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https://udwinprod-my.sharepoint.com/personal/octat_udel_edu/Documents/FINC312/"/>
    </mc:Choice>
  </mc:AlternateContent>
  <xr:revisionPtr revIDLastSave="2" documentId="8_{74616882-C217-0B48-8A61-EFA10E4AC1C5}" xr6:coauthVersionLast="47" xr6:coauthVersionMax="47" xr10:uidLastSave="{8ABE593A-6998-7E41-9791-FFE290A75686}"/>
  <bookViews>
    <workbookView xWindow="0" yWindow="740" windowWidth="29400" windowHeight="17740" activeTab="1" xr2:uid="{00000000-000D-0000-FFFF-FFFF00000000}"/>
  </bookViews>
  <sheets>
    <sheet name="BASE" sheetId="9" r:id="rId1"/>
    <sheet name="Monte Carlo Simulation" sheetId="12" r:id="rId2"/>
    <sheet name="Scenario 1" sheetId="1" r:id="rId3"/>
    <sheet name="Scenario 2" sheetId="2" r:id="rId4"/>
    <sheet name="Scenario 3" sheetId="3" r:id="rId5"/>
    <sheet name="Scenario 4" sheetId="4" r:id="rId6"/>
    <sheet name="Scenario 5" sheetId="5" r:id="rId7"/>
    <sheet name="Scenario 6" sheetId="6" r:id="rId8"/>
    <sheet name="Scenario 7" sheetId="7" r:id="rId9"/>
    <sheet name="Scenario 8" sheetId="8" r:id="rId10"/>
    <sheet name="Scenario 9" sheetId="10" r:id="rId11"/>
    <sheet name="Scenario 10" sheetId="1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1" l="1"/>
  <c r="F5" i="10"/>
  <c r="F5" i="8"/>
  <c r="J11" i="7"/>
  <c r="K13" i="7" s="1"/>
  <c r="J13" i="7"/>
  <c r="F5" i="6"/>
  <c r="F6" i="5"/>
  <c r="F6" i="4"/>
  <c r="F5" i="3"/>
  <c r="F5" i="2"/>
  <c r="F5" i="1"/>
  <c r="F6" i="9"/>
  <c r="G5" i="8"/>
  <c r="J14" i="7"/>
  <c r="G6" i="9"/>
  <c r="G5" i="3"/>
  <c r="I3" i="12"/>
  <c r="M9" i="12" s="1"/>
  <c r="H9" i="12"/>
  <c r="I9" i="12"/>
  <c r="J9" i="12"/>
  <c r="K9" i="12"/>
  <c r="L9" i="12"/>
  <c r="G9" i="12"/>
  <c r="B9" i="12"/>
  <c r="A9" i="12"/>
  <c r="C8" i="11"/>
  <c r="C18" i="9"/>
  <c r="C17" i="9"/>
  <c r="C16" i="9"/>
  <c r="C15" i="9"/>
  <c r="C14" i="9"/>
  <c r="C13" i="9"/>
  <c r="C11" i="9"/>
  <c r="C12" i="9"/>
  <c r="C10" i="9"/>
  <c r="C9" i="9"/>
  <c r="C8" i="9"/>
  <c r="C7" i="9"/>
  <c r="C9" i="11"/>
  <c r="G5" i="10"/>
  <c r="F17" i="11"/>
  <c r="F16" i="11"/>
  <c r="G5" i="6"/>
  <c r="G6" i="5"/>
  <c r="G6" i="4"/>
  <c r="G5" i="2"/>
  <c r="F17" i="1"/>
  <c r="C17" i="1"/>
  <c r="C16" i="1"/>
  <c r="C15" i="1"/>
  <c r="C14" i="1"/>
  <c r="C13" i="1"/>
  <c r="C12" i="1"/>
  <c r="C11" i="1"/>
  <c r="C10" i="1"/>
  <c r="C9" i="1"/>
  <c r="C8" i="1"/>
  <c r="C7" i="1"/>
  <c r="C6" i="1"/>
  <c r="G5" i="1"/>
  <c r="F17" i="10"/>
  <c r="F7" i="10"/>
  <c r="F7" i="4"/>
  <c r="F6" i="6"/>
  <c r="F6" i="10"/>
  <c r="F6" i="11"/>
  <c r="C17" i="11"/>
  <c r="C16" i="11"/>
  <c r="F7" i="8"/>
  <c r="F16" i="8"/>
  <c r="F17" i="8"/>
  <c r="F8" i="5"/>
  <c r="H12" i="5"/>
  <c r="F7" i="3"/>
  <c r="I9" i="3"/>
  <c r="I8" i="3"/>
  <c r="F7" i="1"/>
  <c r="F16" i="1"/>
  <c r="F20" i="9"/>
  <c r="F8" i="9" s="1"/>
  <c r="F19" i="9"/>
  <c r="K13" i="9"/>
  <c r="C6" i="9"/>
  <c r="C15" i="11"/>
  <c r="C14" i="11"/>
  <c r="C13" i="11"/>
  <c r="C12" i="11"/>
  <c r="C11" i="11"/>
  <c r="C10" i="11"/>
  <c r="C7" i="11"/>
  <c r="C6" i="11"/>
  <c r="F7" i="11" s="1"/>
  <c r="C5" i="11"/>
  <c r="C15" i="10"/>
  <c r="C14" i="10"/>
  <c r="C13" i="10"/>
  <c r="C12" i="10"/>
  <c r="C11" i="10"/>
  <c r="C10" i="10"/>
  <c r="C9" i="10"/>
  <c r="C8" i="10"/>
  <c r="C7" i="10"/>
  <c r="C6" i="10"/>
  <c r="C5" i="10"/>
  <c r="F16" i="10" s="1"/>
  <c r="F7" i="9"/>
  <c r="F6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N2" i="8"/>
  <c r="M2" i="8"/>
  <c r="L2" i="8"/>
  <c r="K2" i="8"/>
  <c r="J2" i="8"/>
  <c r="I2" i="8"/>
  <c r="H2" i="8"/>
  <c r="C9" i="7"/>
  <c r="C8" i="7"/>
  <c r="C7" i="7"/>
  <c r="C6" i="7"/>
  <c r="C17" i="6"/>
  <c r="C16" i="6"/>
  <c r="C15" i="6"/>
  <c r="C14" i="6"/>
  <c r="C13" i="6"/>
  <c r="C12" i="6"/>
  <c r="C11" i="6"/>
  <c r="C10" i="6"/>
  <c r="C9" i="6"/>
  <c r="C8" i="6"/>
  <c r="C7" i="6"/>
  <c r="C6" i="6"/>
  <c r="F18" i="6" s="1"/>
  <c r="F7" i="6" s="1"/>
  <c r="C17" i="5"/>
  <c r="C16" i="5"/>
  <c r="C15" i="5"/>
  <c r="C14" i="5"/>
  <c r="C13" i="5"/>
  <c r="C12" i="5"/>
  <c r="C11" i="5"/>
  <c r="C10" i="5"/>
  <c r="C9" i="5"/>
  <c r="C8" i="5"/>
  <c r="C7" i="5"/>
  <c r="C6" i="5"/>
  <c r="C18" i="4"/>
  <c r="C17" i="4"/>
  <c r="C16" i="4"/>
  <c r="C15" i="4"/>
  <c r="C14" i="4"/>
  <c r="C13" i="4"/>
  <c r="C12" i="4"/>
  <c r="C11" i="4"/>
  <c r="C10" i="4"/>
  <c r="C9" i="4"/>
  <c r="C8" i="4"/>
  <c r="C7" i="4"/>
  <c r="F8" i="4" s="1"/>
  <c r="C17" i="3"/>
  <c r="C16" i="3"/>
  <c r="C15" i="3"/>
  <c r="C14" i="3"/>
  <c r="C13" i="3"/>
  <c r="C12" i="3"/>
  <c r="C11" i="3"/>
  <c r="C10" i="3"/>
  <c r="C9" i="3"/>
  <c r="C8" i="3"/>
  <c r="C7" i="3"/>
  <c r="C6" i="3"/>
  <c r="C17" i="2"/>
  <c r="C16" i="2"/>
  <c r="C15" i="2"/>
  <c r="C14" i="2"/>
  <c r="C13" i="2"/>
  <c r="C12" i="2"/>
  <c r="C11" i="2"/>
  <c r="C10" i="2"/>
  <c r="C9" i="2"/>
  <c r="C8" i="2"/>
  <c r="C7" i="2"/>
  <c r="C6" i="2"/>
  <c r="F17" i="2" s="1"/>
  <c r="F6" i="2" s="1"/>
  <c r="C5" i="7"/>
  <c r="J10" i="7"/>
  <c r="J9" i="7"/>
  <c r="J8" i="7"/>
  <c r="J7" i="7"/>
  <c r="J6" i="7"/>
  <c r="C5" i="6"/>
  <c r="F17" i="6" s="1"/>
  <c r="F7" i="5"/>
  <c r="C5" i="5"/>
  <c r="C6" i="4"/>
  <c r="F6" i="3"/>
  <c r="C5" i="3"/>
  <c r="F7" i="2"/>
  <c r="C5" i="2"/>
  <c r="F16" i="2" s="1"/>
  <c r="F6" i="1"/>
  <c r="C5" i="1"/>
  <c r="N9" i="12" l="1"/>
  <c r="C12" i="12" s="1"/>
  <c r="G5" i="11"/>
  <c r="F15" i="12" l="1"/>
  <c r="H20" i="12" s="1"/>
  <c r="I17" i="12" l="1"/>
  <c r="H19" i="12"/>
  <c r="I16" i="12"/>
  <c r="I15" i="12"/>
</calcChain>
</file>

<file path=xl/sharedStrings.xml><?xml version="1.0" encoding="utf-8"?>
<sst xmlns="http://schemas.openxmlformats.org/spreadsheetml/2006/main" count="391" uniqueCount="54">
  <si>
    <t xml:space="preserve">Cash Flows 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</si>
  <si>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</si>
  <si>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</si>
  <si>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</si>
  <si>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</si>
  <si>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</si>
  <si>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</si>
  <si>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</si>
  <si>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</si>
  <si>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</si>
  <si>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</si>
  <si>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</si>
  <si>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</si>
  <si>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</si>
  <si>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DCF</t>
  </si>
  <si>
    <t>NPV</t>
  </si>
  <si>
    <t>IRR</t>
  </si>
  <si>
    <t>PI</t>
  </si>
  <si>
    <t xml:space="preserve">Payback Period </t>
  </si>
  <si>
    <t>8.4 Years</t>
  </si>
  <si>
    <t>Tons of Carbon Dioxide</t>
  </si>
  <si>
    <t>EV CD</t>
  </si>
  <si>
    <t>Mid Size Car CD</t>
  </si>
  <si>
    <t>Generated during manufacturing</t>
  </si>
  <si>
    <t xml:space="preserve">Sales Growth </t>
  </si>
  <si>
    <t>Interest Rates</t>
  </si>
  <si>
    <t>Expected</t>
  </si>
  <si>
    <t>Min</t>
  </si>
  <si>
    <t>Max</t>
  </si>
  <si>
    <t>Discount Rate</t>
  </si>
  <si>
    <t>30% Chance: No Salvage Value and 10 Year lifespan</t>
  </si>
  <si>
    <t>Cash Flow Return</t>
  </si>
  <si>
    <t>Random Number</t>
  </si>
  <si>
    <t>Initial Investment</t>
  </si>
  <si>
    <t>&lt;.30 = 0</t>
  </si>
  <si>
    <t>Salvage Value</t>
  </si>
  <si>
    <t>Cash Flow</t>
  </si>
  <si>
    <t>Iteration</t>
  </si>
  <si>
    <t>Mean</t>
  </si>
  <si>
    <t>StDev</t>
  </si>
  <si>
    <t>Pr(NPV&gt;0)</t>
  </si>
  <si>
    <t>Payback Period</t>
  </si>
  <si>
    <t xml:space="preserve">8.4 Years </t>
  </si>
  <si>
    <t>Sum of Cash flows</t>
  </si>
  <si>
    <t xml:space="preserve">total investment </t>
  </si>
  <si>
    <t xml:space="preserve">cash inflows </t>
  </si>
  <si>
    <t xml:space="preserve">Year 0 </t>
  </si>
  <si>
    <t>8.89 Years</t>
  </si>
  <si>
    <t xml:space="preserve">initial investment </t>
  </si>
  <si>
    <t>cash inflows</t>
  </si>
  <si>
    <t xml:space="preserve">If sold </t>
  </si>
  <si>
    <t>N/A</t>
  </si>
  <si>
    <t>initial investment</t>
  </si>
  <si>
    <t>8.94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</si>
</sst>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_);_(&quot;$&quot;* \(#,##0.000\);_(&quot;$&quot;* &quot;-&quot;???_);_(@_)"/>
    <numFmt numFmtId="165" formatCode="0.0%"/>
    <numFmt numFmtId="166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8" fontId="0" fillId="0" borderId="0" xfId="0" applyNumberFormat="1"/>
    <xf numFmtId="2" fontId="0" fillId="0" borderId="0" xfId="0" applyNumberFormat="1"/>
    <xf numFmtId="44" fontId="0" fillId="0" borderId="1" xfId="0" applyNumberFormat="1" applyBorder="1"/>
    <xf numFmtId="10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9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0259-73AA-4017-939D-7F74B4AFE413}">
  <sheetPr>
    <tabColor rgb="FFFF0000"/>
  </sheetPr>
  <dimension ref="A1:N25"/>
  <sheetViews>
    <sheetView zoomScale="92" workbookViewId="0">
      <selection activeCell="E12" sqref="E12"/>
    </sheetView>
  </sheetViews>
  <sheetFormatPr baseColWidth="10" defaultColWidth="8.83203125" defaultRowHeight="15" x14ac:dyDescent="0.2"/>
  <cols>
    <col min="2" max="3" width="17.33203125" bestFit="1" customWidth="1"/>
    <col min="4" max="4" width="16.1640625" bestFit="1" customWidth="1"/>
    <col min="5" max="7" width="17.33203125" bestFit="1" customWidth="1"/>
    <col min="8" max="14" width="16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200000000</v>
      </c>
      <c r="H2" s="1">
        <v>200000000</v>
      </c>
      <c r="I2" s="1">
        <v>200000000</v>
      </c>
      <c r="J2" s="1">
        <v>200000000</v>
      </c>
      <c r="K2" s="1">
        <v>200000000</v>
      </c>
      <c r="L2" s="1">
        <v>200000000</v>
      </c>
      <c r="M2" s="1">
        <v>200000000</v>
      </c>
      <c r="N2" s="1">
        <v>200000000</v>
      </c>
    </row>
    <row r="5" spans="1:14" x14ac:dyDescent="0.2">
      <c r="B5" t="s">
        <v>14</v>
      </c>
    </row>
    <row r="6" spans="1:14" x14ac:dyDescent="0.2">
      <c r="B6" t="s">
        <v>1</v>
      </c>
      <c r="C6" s="1">
        <f>B2</f>
        <v>-800000000</v>
      </c>
      <c r="E6" t="s">
        <v>15</v>
      </c>
      <c r="F6" s="5">
        <f>NPV(0.08,C2:N2)+B2</f>
        <v>-21452301.424732327</v>
      </c>
      <c r="G6" s="1">
        <f>SUM(C6:C18)</f>
        <v>-21452301.424732223</v>
      </c>
    </row>
    <row r="7" spans="1:14" x14ac:dyDescent="0.2">
      <c r="B7" t="s">
        <v>2</v>
      </c>
      <c r="C7" s="1">
        <f>C$2/(1+$B$23)</f>
        <v>-18518518.518518519</v>
      </c>
      <c r="D7" s="1"/>
      <c r="E7" t="s">
        <v>16</v>
      </c>
      <c r="F7" s="8">
        <f>IRR(B2:N2,-8%)</f>
        <v>7.6586755040051857E-2</v>
      </c>
      <c r="G7" s="2"/>
    </row>
    <row r="8" spans="1:14" x14ac:dyDescent="0.2">
      <c r="B8" t="s">
        <v>3</v>
      </c>
      <c r="C8" s="1">
        <f>C$2/(1+$B$23)^2</f>
        <v>-17146776.406035665</v>
      </c>
      <c r="E8" t="s">
        <v>17</v>
      </c>
      <c r="F8" s="6">
        <f>F20/800000000</f>
        <v>0.97318462321908472</v>
      </c>
    </row>
    <row r="9" spans="1:14" x14ac:dyDescent="0.2">
      <c r="B9" t="s">
        <v>4</v>
      </c>
      <c r="C9" s="1">
        <f>C$2/(1+$B$23)^3</f>
        <v>-15876644.820403391</v>
      </c>
      <c r="E9" t="s">
        <v>18</v>
      </c>
      <c r="F9" s="3" t="s">
        <v>19</v>
      </c>
    </row>
    <row r="10" spans="1:14" x14ac:dyDescent="0.2">
      <c r="B10" t="s">
        <v>5</v>
      </c>
      <c r="C10" s="1">
        <f>C$2/(1+$B$23)^4</f>
        <v>-14700597.055929065</v>
      </c>
      <c r="K10" t="s">
        <v>20</v>
      </c>
    </row>
    <row r="11" spans="1:14" x14ac:dyDescent="0.2">
      <c r="B11" t="s">
        <v>6</v>
      </c>
      <c r="C11" s="1">
        <f>$I$2/(1+$B$23)^5</f>
        <v>136116639.40675059</v>
      </c>
      <c r="J11" t="s">
        <v>21</v>
      </c>
      <c r="K11">
        <v>18</v>
      </c>
    </row>
    <row r="12" spans="1:14" x14ac:dyDescent="0.2">
      <c r="B12" t="s">
        <v>7</v>
      </c>
      <c r="C12" s="1">
        <f>$I$2/(1+$B$23)^6</f>
        <v>126033925.37662092</v>
      </c>
      <c r="J12" t="s">
        <v>22</v>
      </c>
      <c r="K12">
        <v>24</v>
      </c>
    </row>
    <row r="13" spans="1:14" x14ac:dyDescent="0.2">
      <c r="B13" t="s">
        <v>8</v>
      </c>
      <c r="C13" s="1">
        <f>$I$2/(1+$B$23)^7</f>
        <v>116698079.05242677</v>
      </c>
      <c r="J13" t="s">
        <v>23</v>
      </c>
      <c r="K13">
        <f>K11*0.46</f>
        <v>8.2800000000000011</v>
      </c>
    </row>
    <row r="14" spans="1:14" x14ac:dyDescent="0.2">
      <c r="B14" t="s">
        <v>9</v>
      </c>
      <c r="C14" s="1">
        <f>$I$2/(1+$B$23)^8</f>
        <v>108053776.90039515</v>
      </c>
    </row>
    <row r="15" spans="1:14" x14ac:dyDescent="0.2">
      <c r="B15" t="s">
        <v>10</v>
      </c>
      <c r="C15" s="1">
        <f>$I$2/(1+$B$23)^9</f>
        <v>100049793.42629181</v>
      </c>
      <c r="K15" t="s">
        <v>24</v>
      </c>
    </row>
    <row r="16" spans="1:14" x14ac:dyDescent="0.2">
      <c r="B16" t="s">
        <v>11</v>
      </c>
      <c r="C16" s="1">
        <f>$I$2/(1+$B$23)^10</f>
        <v>92638697.616936848</v>
      </c>
      <c r="J16">
        <v>2021</v>
      </c>
      <c r="K16" s="2">
        <v>0.26</v>
      </c>
    </row>
    <row r="17" spans="2:11" x14ac:dyDescent="0.2">
      <c r="B17" t="s">
        <v>12</v>
      </c>
      <c r="C17" s="1">
        <f>$I$2/(1+$B$23)^11</f>
        <v>85776571.867534116</v>
      </c>
      <c r="J17">
        <v>2022</v>
      </c>
      <c r="K17" s="2">
        <v>0.17</v>
      </c>
    </row>
    <row r="18" spans="2:11" x14ac:dyDescent="0.2">
      <c r="B18" t="s">
        <v>13</v>
      </c>
      <c r="C18" s="1">
        <f>$I$2/(1+$B$23)^12</f>
        <v>79422751.729198247</v>
      </c>
    </row>
    <row r="19" spans="2:11" x14ac:dyDescent="0.2">
      <c r="C19" s="1"/>
      <c r="F19" s="1">
        <f>C6</f>
        <v>-800000000</v>
      </c>
    </row>
    <row r="20" spans="2:11" x14ac:dyDescent="0.2">
      <c r="F20" s="1">
        <f>SUM(C7:C18)</f>
        <v>778547698.57526779</v>
      </c>
    </row>
    <row r="21" spans="2:11" x14ac:dyDescent="0.2">
      <c r="B21" t="s">
        <v>25</v>
      </c>
    </row>
    <row r="22" spans="2:11" x14ac:dyDescent="0.2">
      <c r="B22" s="2">
        <v>0.1</v>
      </c>
    </row>
    <row r="23" spans="2:11" x14ac:dyDescent="0.2">
      <c r="B23" s="2">
        <v>0.08</v>
      </c>
    </row>
    <row r="24" spans="2:11" x14ac:dyDescent="0.2">
      <c r="B24" s="8">
        <v>7.4999999999999997E-2</v>
      </c>
    </row>
    <row r="25" spans="2:11" x14ac:dyDescent="0.2">
      <c r="B25" s="8">
        <v>8.5000000000000006E-2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D96F-4845-472C-882A-D5C2CD95E659}">
  <sheetPr>
    <tabColor rgb="FFFFC000"/>
  </sheetPr>
  <dimension ref="A1:N1014"/>
  <sheetViews>
    <sheetView tabSelected="1" topLeftCell="B4" zoomScale="117" workbookViewId="0">
      <selection activeCell="H21" sqref="H21"/>
    </sheetView>
  </sheetViews>
  <sheetFormatPr baseColWidth="10" defaultColWidth="8.83203125" defaultRowHeight="15" x14ac:dyDescent="0.2"/>
  <cols>
    <col min="2" max="2" width="16.33203125" bestFit="1" customWidth="1"/>
    <col min="3" max="3" width="16.83203125" bestFit="1" customWidth="1"/>
    <col min="4" max="5" width="15.1640625" bestFit="1" customWidth="1"/>
    <col min="6" max="6" width="17.33203125" bestFit="1" customWidth="1"/>
    <col min="7" max="7" width="15.6640625" bestFit="1" customWidth="1"/>
    <col min="8" max="8" width="45" bestFit="1" customWidth="1"/>
    <col min="9" max="9" width="15.6640625" customWidth="1"/>
    <col min="10" max="14" width="15.6640625" bestFit="1" customWidth="1"/>
  </cols>
  <sheetData>
    <row r="1" spans="1:14" x14ac:dyDescent="0.2">
      <c r="C1" t="s">
        <v>26</v>
      </c>
      <c r="D1" t="s">
        <v>27</v>
      </c>
      <c r="E1" t="s">
        <v>28</v>
      </c>
    </row>
    <row r="2" spans="1:14" x14ac:dyDescent="0.2">
      <c r="B2" t="s">
        <v>29</v>
      </c>
      <c r="C2" s="9">
        <v>0.08</v>
      </c>
      <c r="D2" s="9">
        <v>7.4999999999999997E-2</v>
      </c>
      <c r="E2" s="9">
        <v>8.5000000000000006E-2</v>
      </c>
      <c r="H2" t="s">
        <v>30</v>
      </c>
    </row>
    <row r="3" spans="1:14" x14ac:dyDescent="0.2">
      <c r="B3" t="s">
        <v>31</v>
      </c>
      <c r="C3" s="10">
        <v>200000000</v>
      </c>
      <c r="D3" s="10">
        <v>152000000</v>
      </c>
      <c r="E3" s="10">
        <v>260501288.85448709</v>
      </c>
      <c r="H3" t="s">
        <v>32</v>
      </c>
      <c r="I3">
        <f ca="1">RAND()</f>
        <v>4.257957954510172E-2</v>
      </c>
    </row>
    <row r="4" spans="1:14" x14ac:dyDescent="0.2">
      <c r="B4" t="s">
        <v>33</v>
      </c>
      <c r="C4" s="10">
        <v>800000000</v>
      </c>
      <c r="D4" s="10">
        <v>800000000</v>
      </c>
      <c r="E4" s="10">
        <v>810000000</v>
      </c>
      <c r="H4" t="s">
        <v>34</v>
      </c>
    </row>
    <row r="5" spans="1:14" x14ac:dyDescent="0.2">
      <c r="B5" t="s">
        <v>35</v>
      </c>
      <c r="C5" s="10">
        <v>0</v>
      </c>
      <c r="D5" s="10">
        <v>0</v>
      </c>
      <c r="E5" s="10">
        <v>100000000</v>
      </c>
    </row>
    <row r="8" spans="1:14" x14ac:dyDescent="0.2">
      <c r="A8" t="s">
        <v>36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1:14" x14ac:dyDescent="0.2">
      <c r="A9" s="8">
        <f ca="1">$D$2+RAND()*($E$2-$D$2)</f>
        <v>7.5480266937265381E-2</v>
      </c>
      <c r="B9" s="1">
        <f ca="1">$D$4+RAND()*($E$4-$D$4)</f>
        <v>806722188.0889442</v>
      </c>
      <c r="C9" s="1">
        <v>-20000000</v>
      </c>
      <c r="D9" s="1">
        <v>-20000000</v>
      </c>
      <c r="E9" s="1">
        <v>-20000000</v>
      </c>
      <c r="F9" s="1">
        <v>-20000000</v>
      </c>
      <c r="G9" s="1">
        <f ca="1">$D$3+RAND()*($E$3-$D$3)</f>
        <v>200685605.01698473</v>
      </c>
      <c r="H9" s="1">
        <f t="shared" ref="H9:L9" ca="1" si="0">$D$3+RAND()*($E$3-$D$3)</f>
        <v>199949071.60123307</v>
      </c>
      <c r="I9" s="1">
        <f t="shared" ca="1" si="0"/>
        <v>204723107.12486899</v>
      </c>
      <c r="J9" s="1">
        <f t="shared" ca="1" si="0"/>
        <v>227388099.0062632</v>
      </c>
      <c r="K9" s="1">
        <f t="shared" ca="1" si="0"/>
        <v>195829248.50737479</v>
      </c>
      <c r="L9" s="1">
        <f t="shared" ca="1" si="0"/>
        <v>167607124.53220868</v>
      </c>
      <c r="M9" s="1">
        <f ca="1">IF($I$3 &lt;= 0.3, 0, $D$3+RAND()*($E$3-$D$3))</f>
        <v>0</v>
      </c>
      <c r="N9" s="1">
        <f ca="1">IF($I$3 &lt;= 0.3, 0, $D$3+RAND()*($E$3-$D$3))</f>
        <v>0</v>
      </c>
    </row>
    <row r="12" spans="1:14" x14ac:dyDescent="0.2">
      <c r="B12" t="s">
        <v>15</v>
      </c>
      <c r="C12" s="5">
        <f ca="1">NPV(A9,C9:N9)-B9</f>
        <v>-172200714.88564849</v>
      </c>
    </row>
    <row r="13" spans="1:14" x14ac:dyDescent="0.2">
      <c r="C13" s="11"/>
    </row>
    <row r="14" spans="1:14" x14ac:dyDescent="0.2">
      <c r="E14" t="s">
        <v>37</v>
      </c>
      <c r="F14" t="s">
        <v>15</v>
      </c>
    </row>
    <row r="15" spans="1:14" x14ac:dyDescent="0.2">
      <c r="E15">
        <v>1</v>
      </c>
      <c r="F15" s="1">
        <f ca="1">$C$12</f>
        <v>-172200714.88564849</v>
      </c>
      <c r="H15" t="s">
        <v>38</v>
      </c>
      <c r="I15" s="1">
        <f ca="1">AVERAGE(F15:F1014)</f>
        <v>-54453276.830405332</v>
      </c>
    </row>
    <row r="16" spans="1:14" x14ac:dyDescent="0.2">
      <c r="E16">
        <v>2</v>
      </c>
      <c r="F16" s="1">
        <f t="dataTable" ref="F16:F1014" dt2D="0" dtr="0" r1="I17" ca="1"/>
        <v>7942758.300997138</v>
      </c>
      <c r="H16" t="s">
        <v>39</v>
      </c>
      <c r="I16">
        <f ca="1">STDEV(F15:F1014)</f>
        <v>94354972.557043999</v>
      </c>
    </row>
    <row r="17" spans="5:9" x14ac:dyDescent="0.2">
      <c r="E17">
        <v>3</v>
      </c>
      <c r="F17" s="1">
        <v>39822833.630375504</v>
      </c>
      <c r="H17" t="s">
        <v>40</v>
      </c>
      <c r="I17" s="6">
        <f ca="1">1-PERCENTRANK(F15:F1014,0)</f>
        <v>0.34399999999999997</v>
      </c>
    </row>
    <row r="18" spans="5:9" x14ac:dyDescent="0.2">
      <c r="E18">
        <v>4</v>
      </c>
      <c r="F18" s="1">
        <v>-1306473.5392735004</v>
      </c>
    </row>
    <row r="19" spans="5:9" x14ac:dyDescent="0.2">
      <c r="E19">
        <v>5</v>
      </c>
      <c r="F19" s="1">
        <v>-715821.18892800808</v>
      </c>
      <c r="H19" s="1">
        <f ca="1">MIN(F15:F1014)</f>
        <v>-296368964.72881782</v>
      </c>
    </row>
    <row r="20" spans="5:9" x14ac:dyDescent="0.2">
      <c r="E20">
        <v>6</v>
      </c>
      <c r="F20" s="1">
        <v>4745865.1981365681</v>
      </c>
      <c r="H20" s="1">
        <f ca="1">MAX(F15:F1014)</f>
        <v>171391880.59637368</v>
      </c>
    </row>
    <row r="21" spans="5:9" x14ac:dyDescent="0.2">
      <c r="E21">
        <v>7</v>
      </c>
      <c r="F21" s="1">
        <v>-157075999.64731371</v>
      </c>
    </row>
    <row r="22" spans="5:9" x14ac:dyDescent="0.2">
      <c r="E22">
        <v>8</v>
      </c>
      <c r="F22" s="1">
        <v>-105143668.35494852</v>
      </c>
    </row>
    <row r="23" spans="5:9" x14ac:dyDescent="0.2">
      <c r="E23">
        <v>9</v>
      </c>
      <c r="F23" s="1">
        <v>24069496.402764678</v>
      </c>
    </row>
    <row r="24" spans="5:9" x14ac:dyDescent="0.2">
      <c r="E24">
        <v>10</v>
      </c>
      <c r="F24" s="1">
        <v>-71927311.35935986</v>
      </c>
    </row>
    <row r="25" spans="5:9" x14ac:dyDescent="0.2">
      <c r="E25">
        <v>11</v>
      </c>
      <c r="F25" s="1">
        <v>45300846.556056023</v>
      </c>
    </row>
    <row r="26" spans="5:9" x14ac:dyDescent="0.2">
      <c r="E26">
        <v>12</v>
      </c>
      <c r="F26" s="1">
        <v>158180076.98499095</v>
      </c>
    </row>
    <row r="27" spans="5:9" x14ac:dyDescent="0.2">
      <c r="E27">
        <v>13</v>
      </c>
      <c r="F27" s="1">
        <v>-186624379.40613818</v>
      </c>
    </row>
    <row r="28" spans="5:9" x14ac:dyDescent="0.2">
      <c r="E28">
        <v>14</v>
      </c>
      <c r="F28" s="1">
        <v>-229906815.38508749</v>
      </c>
    </row>
    <row r="29" spans="5:9" x14ac:dyDescent="0.2">
      <c r="E29">
        <v>15</v>
      </c>
      <c r="F29" s="1">
        <v>-144718951.53710663</v>
      </c>
    </row>
    <row r="30" spans="5:9" x14ac:dyDescent="0.2">
      <c r="E30">
        <v>16</v>
      </c>
      <c r="F30" s="1">
        <v>-61026115.512263656</v>
      </c>
    </row>
    <row r="31" spans="5:9" x14ac:dyDescent="0.2">
      <c r="E31">
        <v>17</v>
      </c>
      <c r="F31" s="1">
        <v>-16245190.099235535</v>
      </c>
    </row>
    <row r="32" spans="5:9" x14ac:dyDescent="0.2">
      <c r="E32">
        <v>18</v>
      </c>
      <c r="F32" s="1">
        <v>7172474.1077287197</v>
      </c>
    </row>
    <row r="33" spans="5:6" x14ac:dyDescent="0.2">
      <c r="E33">
        <v>19</v>
      </c>
      <c r="F33" s="1">
        <v>-14338146.820275903</v>
      </c>
    </row>
    <row r="34" spans="5:6" x14ac:dyDescent="0.2">
      <c r="E34">
        <v>20</v>
      </c>
      <c r="F34" s="1">
        <v>130689575.21974993</v>
      </c>
    </row>
    <row r="35" spans="5:6" x14ac:dyDescent="0.2">
      <c r="E35">
        <v>21</v>
      </c>
      <c r="F35" s="1">
        <v>-5812109.8127784729</v>
      </c>
    </row>
    <row r="36" spans="5:6" x14ac:dyDescent="0.2">
      <c r="E36">
        <v>22</v>
      </c>
      <c r="F36" s="1">
        <v>-172737641.5662092</v>
      </c>
    </row>
    <row r="37" spans="5:6" x14ac:dyDescent="0.2">
      <c r="E37">
        <v>23</v>
      </c>
      <c r="F37" s="1">
        <v>45707946.405960321</v>
      </c>
    </row>
    <row r="38" spans="5:6" x14ac:dyDescent="0.2">
      <c r="E38">
        <v>24</v>
      </c>
      <c r="F38" s="1">
        <v>-37044823.399212837</v>
      </c>
    </row>
    <row r="39" spans="5:6" x14ac:dyDescent="0.2">
      <c r="E39">
        <v>25</v>
      </c>
      <c r="F39" s="1">
        <v>-196920679.76211679</v>
      </c>
    </row>
    <row r="40" spans="5:6" x14ac:dyDescent="0.2">
      <c r="E40">
        <v>26</v>
      </c>
      <c r="F40" s="1">
        <v>2553274.7862852812</v>
      </c>
    </row>
    <row r="41" spans="5:6" x14ac:dyDescent="0.2">
      <c r="E41">
        <v>27</v>
      </c>
      <c r="F41" s="1">
        <v>-60291657.657127857</v>
      </c>
    </row>
    <row r="42" spans="5:6" x14ac:dyDescent="0.2">
      <c r="E42">
        <v>28</v>
      </c>
      <c r="F42" s="1">
        <v>-8299276.5300678015</v>
      </c>
    </row>
    <row r="43" spans="5:6" x14ac:dyDescent="0.2">
      <c r="E43">
        <v>29</v>
      </c>
      <c r="F43" s="1">
        <v>-77783724.55797863</v>
      </c>
    </row>
    <row r="44" spans="5:6" x14ac:dyDescent="0.2">
      <c r="E44">
        <v>30</v>
      </c>
      <c r="F44" s="1">
        <v>23255707.970713019</v>
      </c>
    </row>
    <row r="45" spans="5:6" x14ac:dyDescent="0.2">
      <c r="E45">
        <v>31</v>
      </c>
      <c r="F45" s="1">
        <v>-91845544.991809011</v>
      </c>
    </row>
    <row r="46" spans="5:6" x14ac:dyDescent="0.2">
      <c r="E46">
        <v>32</v>
      </c>
      <c r="F46" s="1">
        <v>15628580.745669007</v>
      </c>
    </row>
    <row r="47" spans="5:6" x14ac:dyDescent="0.2">
      <c r="E47">
        <v>33</v>
      </c>
      <c r="F47" s="1">
        <v>-41066735.238968253</v>
      </c>
    </row>
    <row r="48" spans="5:6" x14ac:dyDescent="0.2">
      <c r="E48">
        <v>34</v>
      </c>
      <c r="F48" s="1">
        <v>84341147.844889522</v>
      </c>
    </row>
    <row r="49" spans="5:6" x14ac:dyDescent="0.2">
      <c r="E49">
        <v>35</v>
      </c>
      <c r="F49" s="1">
        <v>-90734558.196301222</v>
      </c>
    </row>
    <row r="50" spans="5:6" x14ac:dyDescent="0.2">
      <c r="E50">
        <v>36</v>
      </c>
      <c r="F50" s="1">
        <v>-1620180.3164758682</v>
      </c>
    </row>
    <row r="51" spans="5:6" x14ac:dyDescent="0.2">
      <c r="E51">
        <v>37</v>
      </c>
      <c r="F51" s="1">
        <v>13314161.752156973</v>
      </c>
    </row>
    <row r="52" spans="5:6" x14ac:dyDescent="0.2">
      <c r="E52">
        <v>38</v>
      </c>
      <c r="F52" s="1">
        <v>-23687120.335023999</v>
      </c>
    </row>
    <row r="53" spans="5:6" x14ac:dyDescent="0.2">
      <c r="E53">
        <v>39</v>
      </c>
      <c r="F53" s="1">
        <v>149666014.75080407</v>
      </c>
    </row>
    <row r="54" spans="5:6" x14ac:dyDescent="0.2">
      <c r="E54">
        <v>40</v>
      </c>
      <c r="F54" s="1">
        <v>-172589134.70049858</v>
      </c>
    </row>
    <row r="55" spans="5:6" x14ac:dyDescent="0.2">
      <c r="E55">
        <v>41</v>
      </c>
      <c r="F55" s="1">
        <v>-162654065.32288003</v>
      </c>
    </row>
    <row r="56" spans="5:6" x14ac:dyDescent="0.2">
      <c r="E56">
        <v>42</v>
      </c>
      <c r="F56" s="1">
        <v>30177034.404234052</v>
      </c>
    </row>
    <row r="57" spans="5:6" x14ac:dyDescent="0.2">
      <c r="E57">
        <v>43</v>
      </c>
      <c r="F57" s="1">
        <v>-136915179.27828395</v>
      </c>
    </row>
    <row r="58" spans="5:6" x14ac:dyDescent="0.2">
      <c r="E58">
        <v>44</v>
      </c>
      <c r="F58" s="1">
        <v>-25464860.884631991</v>
      </c>
    </row>
    <row r="59" spans="5:6" x14ac:dyDescent="0.2">
      <c r="E59">
        <v>45</v>
      </c>
      <c r="F59" s="1">
        <v>-217696306.57471454</v>
      </c>
    </row>
    <row r="60" spans="5:6" x14ac:dyDescent="0.2">
      <c r="E60">
        <v>46</v>
      </c>
      <c r="F60" s="1">
        <v>-27280151.139860272</v>
      </c>
    </row>
    <row r="61" spans="5:6" x14ac:dyDescent="0.2">
      <c r="E61">
        <v>47</v>
      </c>
      <c r="F61" s="1">
        <v>-24028431.741738558</v>
      </c>
    </row>
    <row r="62" spans="5:6" x14ac:dyDescent="0.2">
      <c r="E62">
        <v>48</v>
      </c>
      <c r="F62" s="1">
        <v>-330936.1253554821</v>
      </c>
    </row>
    <row r="63" spans="5:6" x14ac:dyDescent="0.2">
      <c r="E63">
        <v>49</v>
      </c>
      <c r="F63" s="1">
        <v>22262853.673348546</v>
      </c>
    </row>
    <row r="64" spans="5:6" x14ac:dyDescent="0.2">
      <c r="E64">
        <v>50</v>
      </c>
      <c r="F64" s="1">
        <v>-118845237.63754606</v>
      </c>
    </row>
    <row r="65" spans="5:6" x14ac:dyDescent="0.2">
      <c r="E65">
        <v>51</v>
      </c>
      <c r="F65" s="1">
        <v>-3796885.9939510822</v>
      </c>
    </row>
    <row r="66" spans="5:6" x14ac:dyDescent="0.2">
      <c r="E66">
        <v>52</v>
      </c>
      <c r="F66" s="1">
        <v>-149034209.76964569</v>
      </c>
    </row>
    <row r="67" spans="5:6" x14ac:dyDescent="0.2">
      <c r="E67">
        <v>53</v>
      </c>
      <c r="F67" s="1">
        <v>-181761071.2560904</v>
      </c>
    </row>
    <row r="68" spans="5:6" x14ac:dyDescent="0.2">
      <c r="E68">
        <v>54</v>
      </c>
      <c r="F68" s="1">
        <v>37909867.441853166</v>
      </c>
    </row>
    <row r="69" spans="5:6" x14ac:dyDescent="0.2">
      <c r="E69">
        <v>55</v>
      </c>
      <c r="F69" s="1">
        <v>-68818945.398837447</v>
      </c>
    </row>
    <row r="70" spans="5:6" x14ac:dyDescent="0.2">
      <c r="E70">
        <v>56</v>
      </c>
      <c r="F70" s="1">
        <v>10659095.362498164</v>
      </c>
    </row>
    <row r="71" spans="5:6" x14ac:dyDescent="0.2">
      <c r="E71">
        <v>57</v>
      </c>
      <c r="F71" s="1">
        <v>-11971704.822379351</v>
      </c>
    </row>
    <row r="72" spans="5:6" x14ac:dyDescent="0.2">
      <c r="E72">
        <v>58</v>
      </c>
      <c r="F72" s="1">
        <v>116965059.67684066</v>
      </c>
    </row>
    <row r="73" spans="5:6" x14ac:dyDescent="0.2">
      <c r="E73">
        <v>59</v>
      </c>
      <c r="F73" s="1">
        <v>-31682945.7231282</v>
      </c>
    </row>
    <row r="74" spans="5:6" x14ac:dyDescent="0.2">
      <c r="E74">
        <v>60</v>
      </c>
      <c r="F74" s="1">
        <v>44450480.706730366</v>
      </c>
    </row>
    <row r="75" spans="5:6" x14ac:dyDescent="0.2">
      <c r="E75">
        <v>61</v>
      </c>
      <c r="F75" s="1">
        <v>-216779690.46715462</v>
      </c>
    </row>
    <row r="76" spans="5:6" x14ac:dyDescent="0.2">
      <c r="E76">
        <v>62</v>
      </c>
      <c r="F76" s="1">
        <v>20757472.725426197</v>
      </c>
    </row>
    <row r="77" spans="5:6" x14ac:dyDescent="0.2">
      <c r="E77">
        <v>63</v>
      </c>
      <c r="F77" s="1">
        <v>-183932101.82685697</v>
      </c>
    </row>
    <row r="78" spans="5:6" x14ac:dyDescent="0.2">
      <c r="E78">
        <v>64</v>
      </c>
      <c r="F78" s="1">
        <v>-100823819.03756678</v>
      </c>
    </row>
    <row r="79" spans="5:6" x14ac:dyDescent="0.2">
      <c r="E79">
        <v>65</v>
      </c>
      <c r="F79" s="1">
        <v>86723470.445866227</v>
      </c>
    </row>
    <row r="80" spans="5:6" x14ac:dyDescent="0.2">
      <c r="E80">
        <v>66</v>
      </c>
      <c r="F80" s="1">
        <v>-13360298.546714544</v>
      </c>
    </row>
    <row r="81" spans="5:6" x14ac:dyDescent="0.2">
      <c r="E81">
        <v>67</v>
      </c>
      <c r="F81" s="1">
        <v>-146554363.28951752</v>
      </c>
    </row>
    <row r="82" spans="5:6" x14ac:dyDescent="0.2">
      <c r="E82">
        <v>68</v>
      </c>
      <c r="F82" s="1">
        <v>-5211187.3972815275</v>
      </c>
    </row>
    <row r="83" spans="5:6" x14ac:dyDescent="0.2">
      <c r="E83">
        <v>69</v>
      </c>
      <c r="F83" s="1">
        <v>-22451711.830109</v>
      </c>
    </row>
    <row r="84" spans="5:6" x14ac:dyDescent="0.2">
      <c r="E84">
        <v>70</v>
      </c>
      <c r="F84" s="1">
        <v>-48728618.415953875</v>
      </c>
    </row>
    <row r="85" spans="5:6" x14ac:dyDescent="0.2">
      <c r="E85">
        <v>71</v>
      </c>
      <c r="F85" s="1">
        <v>-23256512.430853486</v>
      </c>
    </row>
    <row r="86" spans="5:6" x14ac:dyDescent="0.2">
      <c r="E86">
        <v>72</v>
      </c>
      <c r="F86" s="1">
        <v>5715783.0307424068</v>
      </c>
    </row>
    <row r="87" spans="5:6" x14ac:dyDescent="0.2">
      <c r="E87">
        <v>73</v>
      </c>
      <c r="F87" s="1">
        <v>13851588.153776526</v>
      </c>
    </row>
    <row r="88" spans="5:6" x14ac:dyDescent="0.2">
      <c r="E88">
        <v>74</v>
      </c>
      <c r="F88" s="1">
        <v>-205341999.04089344</v>
      </c>
    </row>
    <row r="89" spans="5:6" x14ac:dyDescent="0.2">
      <c r="E89">
        <v>75</v>
      </c>
      <c r="F89" s="1">
        <v>-197552997.01415598</v>
      </c>
    </row>
    <row r="90" spans="5:6" x14ac:dyDescent="0.2">
      <c r="E90">
        <v>76</v>
      </c>
      <c r="F90" s="1">
        <v>-22828260.660715103</v>
      </c>
    </row>
    <row r="91" spans="5:6" x14ac:dyDescent="0.2">
      <c r="E91">
        <v>77</v>
      </c>
      <c r="F91" s="1">
        <v>-153511710.55617571</v>
      </c>
    </row>
    <row r="92" spans="5:6" x14ac:dyDescent="0.2">
      <c r="E92">
        <v>78</v>
      </c>
      <c r="F92" s="1">
        <v>-178475130.25442076</v>
      </c>
    </row>
    <row r="93" spans="5:6" x14ac:dyDescent="0.2">
      <c r="E93">
        <v>79</v>
      </c>
      <c r="F93" s="1">
        <v>-11685775.351230502</v>
      </c>
    </row>
    <row r="94" spans="5:6" x14ac:dyDescent="0.2">
      <c r="E94">
        <v>80</v>
      </c>
      <c r="F94" s="1">
        <v>-180478754.43877077</v>
      </c>
    </row>
    <row r="95" spans="5:6" x14ac:dyDescent="0.2">
      <c r="E95">
        <v>81</v>
      </c>
      <c r="F95" s="1">
        <v>-238308579.51596594</v>
      </c>
    </row>
    <row r="96" spans="5:6" x14ac:dyDescent="0.2">
      <c r="E96">
        <v>82</v>
      </c>
      <c r="F96" s="1">
        <v>-8011531.8011353016</v>
      </c>
    </row>
    <row r="97" spans="5:6" x14ac:dyDescent="0.2">
      <c r="E97">
        <v>83</v>
      </c>
      <c r="F97" s="1">
        <v>-59552953.054278731</v>
      </c>
    </row>
    <row r="98" spans="5:6" x14ac:dyDescent="0.2">
      <c r="E98">
        <v>84</v>
      </c>
      <c r="F98" s="1">
        <v>-51375927.984925985</v>
      </c>
    </row>
    <row r="99" spans="5:6" x14ac:dyDescent="0.2">
      <c r="E99">
        <v>85</v>
      </c>
      <c r="F99" s="1">
        <v>-46728555.243594527</v>
      </c>
    </row>
    <row r="100" spans="5:6" x14ac:dyDescent="0.2">
      <c r="E100">
        <v>86</v>
      </c>
      <c r="F100" s="1">
        <v>-125600317.03533375</v>
      </c>
    </row>
    <row r="101" spans="5:6" x14ac:dyDescent="0.2">
      <c r="E101">
        <v>87</v>
      </c>
      <c r="F101" s="1">
        <v>28700207.09017992</v>
      </c>
    </row>
    <row r="102" spans="5:6" x14ac:dyDescent="0.2">
      <c r="E102">
        <v>88</v>
      </c>
      <c r="F102" s="1">
        <v>-154234894.18996787</v>
      </c>
    </row>
    <row r="103" spans="5:6" x14ac:dyDescent="0.2">
      <c r="E103">
        <v>89</v>
      </c>
      <c r="F103" s="1">
        <v>-7462936.8538185358</v>
      </c>
    </row>
    <row r="104" spans="5:6" x14ac:dyDescent="0.2">
      <c r="E104">
        <v>90</v>
      </c>
      <c r="F104" s="1">
        <v>-172123809.3976109</v>
      </c>
    </row>
    <row r="105" spans="5:6" x14ac:dyDescent="0.2">
      <c r="E105">
        <v>91</v>
      </c>
      <c r="F105" s="1">
        <v>68520000.694114685</v>
      </c>
    </row>
    <row r="106" spans="5:6" x14ac:dyDescent="0.2">
      <c r="E106">
        <v>92</v>
      </c>
      <c r="F106" s="1">
        <v>-11861182.51639998</v>
      </c>
    </row>
    <row r="107" spans="5:6" x14ac:dyDescent="0.2">
      <c r="E107">
        <v>93</v>
      </c>
      <c r="F107" s="1">
        <v>-152203788.43458343</v>
      </c>
    </row>
    <row r="108" spans="5:6" x14ac:dyDescent="0.2">
      <c r="E108">
        <v>94</v>
      </c>
      <c r="F108" s="1">
        <v>58619727.207075596</v>
      </c>
    </row>
    <row r="109" spans="5:6" x14ac:dyDescent="0.2">
      <c r="E109">
        <v>95</v>
      </c>
      <c r="F109" s="1">
        <v>-56253160.532404184</v>
      </c>
    </row>
    <row r="110" spans="5:6" x14ac:dyDescent="0.2">
      <c r="E110">
        <v>96</v>
      </c>
      <c r="F110" s="1">
        <v>-128023659.17046189</v>
      </c>
    </row>
    <row r="111" spans="5:6" x14ac:dyDescent="0.2">
      <c r="E111">
        <v>97</v>
      </c>
      <c r="F111" s="1">
        <v>-188555790.07511139</v>
      </c>
    </row>
    <row r="112" spans="5:6" x14ac:dyDescent="0.2">
      <c r="E112">
        <v>98</v>
      </c>
      <c r="F112" s="1">
        <v>41569921.931831837</v>
      </c>
    </row>
    <row r="113" spans="5:6" x14ac:dyDescent="0.2">
      <c r="E113">
        <v>99</v>
      </c>
      <c r="F113" s="1">
        <v>-206770364.50138259</v>
      </c>
    </row>
    <row r="114" spans="5:6" x14ac:dyDescent="0.2">
      <c r="E114">
        <v>100</v>
      </c>
      <c r="F114" s="1">
        <v>30135894.281074405</v>
      </c>
    </row>
    <row r="115" spans="5:6" x14ac:dyDescent="0.2">
      <c r="E115">
        <v>101</v>
      </c>
      <c r="F115" s="1">
        <v>9189781.9617754221</v>
      </c>
    </row>
    <row r="116" spans="5:6" x14ac:dyDescent="0.2">
      <c r="E116">
        <v>102</v>
      </c>
      <c r="F116" s="1">
        <v>-2825319.057721138</v>
      </c>
    </row>
    <row r="117" spans="5:6" x14ac:dyDescent="0.2">
      <c r="E117">
        <v>103</v>
      </c>
      <c r="F117" s="1">
        <v>-223043570.40441382</v>
      </c>
    </row>
    <row r="118" spans="5:6" x14ac:dyDescent="0.2">
      <c r="E118">
        <v>104</v>
      </c>
      <c r="F118" s="1">
        <v>-240919807.82176995</v>
      </c>
    </row>
    <row r="119" spans="5:6" x14ac:dyDescent="0.2">
      <c r="E119">
        <v>105</v>
      </c>
      <c r="F119" s="1">
        <v>-15528622.392003655</v>
      </c>
    </row>
    <row r="120" spans="5:6" x14ac:dyDescent="0.2">
      <c r="E120">
        <v>106</v>
      </c>
      <c r="F120" s="1">
        <v>-178066521.42383111</v>
      </c>
    </row>
    <row r="121" spans="5:6" x14ac:dyDescent="0.2">
      <c r="E121">
        <v>107</v>
      </c>
      <c r="F121" s="1">
        <v>64532966.731159806</v>
      </c>
    </row>
    <row r="122" spans="5:6" x14ac:dyDescent="0.2">
      <c r="E122">
        <v>108</v>
      </c>
      <c r="F122" s="1">
        <v>-115589463.45736325</v>
      </c>
    </row>
    <row r="123" spans="5:6" x14ac:dyDescent="0.2">
      <c r="E123">
        <v>109</v>
      </c>
      <c r="F123" s="1">
        <v>-46565023.603678346</v>
      </c>
    </row>
    <row r="124" spans="5:6" x14ac:dyDescent="0.2">
      <c r="E124">
        <v>110</v>
      </c>
      <c r="F124" s="1">
        <v>79452244.144365072</v>
      </c>
    </row>
    <row r="125" spans="5:6" x14ac:dyDescent="0.2">
      <c r="E125">
        <v>111</v>
      </c>
      <c r="F125" s="1">
        <v>-163084121.22435284</v>
      </c>
    </row>
    <row r="126" spans="5:6" x14ac:dyDescent="0.2">
      <c r="E126">
        <v>112</v>
      </c>
      <c r="F126" s="1">
        <v>-146760515.88865697</v>
      </c>
    </row>
    <row r="127" spans="5:6" x14ac:dyDescent="0.2">
      <c r="E127">
        <v>113</v>
      </c>
      <c r="F127" s="1">
        <v>3115607.1552144289</v>
      </c>
    </row>
    <row r="128" spans="5:6" x14ac:dyDescent="0.2">
      <c r="E128">
        <v>114</v>
      </c>
      <c r="F128" s="1">
        <v>-35478933.07149756</v>
      </c>
    </row>
    <row r="129" spans="5:6" x14ac:dyDescent="0.2">
      <c r="E129">
        <v>115</v>
      </c>
      <c r="F129" s="1">
        <v>17633529.186136723</v>
      </c>
    </row>
    <row r="130" spans="5:6" x14ac:dyDescent="0.2">
      <c r="E130">
        <v>116</v>
      </c>
      <c r="F130" s="1">
        <v>-208347288.34594655</v>
      </c>
    </row>
    <row r="131" spans="5:6" x14ac:dyDescent="0.2">
      <c r="E131">
        <v>117</v>
      </c>
      <c r="F131" s="1">
        <v>-100139163.01364589</v>
      </c>
    </row>
    <row r="132" spans="5:6" x14ac:dyDescent="0.2">
      <c r="E132">
        <v>118</v>
      </c>
      <c r="F132" s="1">
        <v>57460448.208610654</v>
      </c>
    </row>
    <row r="133" spans="5:6" x14ac:dyDescent="0.2">
      <c r="E133">
        <v>119</v>
      </c>
      <c r="F133" s="1">
        <v>-20547415.671193242</v>
      </c>
    </row>
    <row r="134" spans="5:6" x14ac:dyDescent="0.2">
      <c r="E134">
        <v>120</v>
      </c>
      <c r="F134" s="1">
        <v>13360910.760503173</v>
      </c>
    </row>
    <row r="135" spans="5:6" x14ac:dyDescent="0.2">
      <c r="E135">
        <v>121</v>
      </c>
      <c r="F135" s="1">
        <v>27460353.413242459</v>
      </c>
    </row>
    <row r="136" spans="5:6" x14ac:dyDescent="0.2">
      <c r="E136">
        <v>122</v>
      </c>
      <c r="F136" s="1">
        <v>-165349323.56018758</v>
      </c>
    </row>
    <row r="137" spans="5:6" x14ac:dyDescent="0.2">
      <c r="E137">
        <v>123</v>
      </c>
      <c r="F137" s="1">
        <v>32406926.657893777</v>
      </c>
    </row>
    <row r="138" spans="5:6" x14ac:dyDescent="0.2">
      <c r="E138">
        <v>124</v>
      </c>
      <c r="F138" s="1">
        <v>67274971.534809113</v>
      </c>
    </row>
    <row r="139" spans="5:6" x14ac:dyDescent="0.2">
      <c r="E139">
        <v>125</v>
      </c>
      <c r="F139" s="1">
        <v>-56188541.010746241</v>
      </c>
    </row>
    <row r="140" spans="5:6" x14ac:dyDescent="0.2">
      <c r="E140">
        <v>126</v>
      </c>
      <c r="F140" s="1">
        <v>-205832248.38252151</v>
      </c>
    </row>
    <row r="141" spans="5:6" x14ac:dyDescent="0.2">
      <c r="E141">
        <v>127</v>
      </c>
      <c r="F141" s="1">
        <v>-277066435.27409524</v>
      </c>
    </row>
    <row r="142" spans="5:6" x14ac:dyDescent="0.2">
      <c r="E142">
        <v>128</v>
      </c>
      <c r="F142" s="1">
        <v>-101810769.72146022</v>
      </c>
    </row>
    <row r="143" spans="5:6" x14ac:dyDescent="0.2">
      <c r="E143">
        <v>129</v>
      </c>
      <c r="F143" s="1">
        <v>18608709.712731361</v>
      </c>
    </row>
    <row r="144" spans="5:6" x14ac:dyDescent="0.2">
      <c r="E144">
        <v>130</v>
      </c>
      <c r="F144" s="1">
        <v>29301040.313317657</v>
      </c>
    </row>
    <row r="145" spans="5:6" x14ac:dyDescent="0.2">
      <c r="E145">
        <v>131</v>
      </c>
      <c r="F145" s="1">
        <v>-56209459.166620016</v>
      </c>
    </row>
    <row r="146" spans="5:6" x14ac:dyDescent="0.2">
      <c r="E146">
        <v>132</v>
      </c>
      <c r="F146" s="1">
        <v>3529983.6758636236</v>
      </c>
    </row>
    <row r="147" spans="5:6" x14ac:dyDescent="0.2">
      <c r="E147">
        <v>133</v>
      </c>
      <c r="F147" s="1">
        <v>3746545.25342834</v>
      </c>
    </row>
    <row r="148" spans="5:6" x14ac:dyDescent="0.2">
      <c r="E148">
        <v>134</v>
      </c>
      <c r="F148" s="1">
        <v>-40956112.853267431</v>
      </c>
    </row>
    <row r="149" spans="5:6" x14ac:dyDescent="0.2">
      <c r="E149">
        <v>135</v>
      </c>
      <c r="F149" s="1">
        <v>-53527529.953343749</v>
      </c>
    </row>
    <row r="150" spans="5:6" x14ac:dyDescent="0.2">
      <c r="E150">
        <v>136</v>
      </c>
      <c r="F150" s="1">
        <v>20354506.825740337</v>
      </c>
    </row>
    <row r="151" spans="5:6" x14ac:dyDescent="0.2">
      <c r="E151">
        <v>137</v>
      </c>
      <c r="F151" s="1">
        <v>-195502730.16276467</v>
      </c>
    </row>
    <row r="152" spans="5:6" x14ac:dyDescent="0.2">
      <c r="E152">
        <v>138</v>
      </c>
      <c r="F152" s="1">
        <v>-10413418.840107918</v>
      </c>
    </row>
    <row r="153" spans="5:6" x14ac:dyDescent="0.2">
      <c r="E153">
        <v>139</v>
      </c>
      <c r="F153" s="1">
        <v>-15932973.959361076</v>
      </c>
    </row>
    <row r="154" spans="5:6" x14ac:dyDescent="0.2">
      <c r="E154">
        <v>140</v>
      </c>
      <c r="F154" s="1">
        <v>-15386187.550329208</v>
      </c>
    </row>
    <row r="155" spans="5:6" x14ac:dyDescent="0.2">
      <c r="E155">
        <v>141</v>
      </c>
      <c r="F155" s="1">
        <v>14573618.482820272</v>
      </c>
    </row>
    <row r="156" spans="5:6" x14ac:dyDescent="0.2">
      <c r="E156">
        <v>142</v>
      </c>
      <c r="F156" s="1">
        <v>-134149419.87484646</v>
      </c>
    </row>
    <row r="157" spans="5:6" x14ac:dyDescent="0.2">
      <c r="E157">
        <v>143</v>
      </c>
      <c r="F157" s="1">
        <v>-149238989.45582521</v>
      </c>
    </row>
    <row r="158" spans="5:6" x14ac:dyDescent="0.2">
      <c r="E158">
        <v>144</v>
      </c>
      <c r="F158" s="1">
        <v>54554599.756693125</v>
      </c>
    </row>
    <row r="159" spans="5:6" x14ac:dyDescent="0.2">
      <c r="E159">
        <v>145</v>
      </c>
      <c r="F159" s="1">
        <v>-104108056.50414181</v>
      </c>
    </row>
    <row r="160" spans="5:6" x14ac:dyDescent="0.2">
      <c r="E160">
        <v>146</v>
      </c>
      <c r="F160" s="1">
        <v>48472748.649968386</v>
      </c>
    </row>
    <row r="161" spans="5:6" x14ac:dyDescent="0.2">
      <c r="E161">
        <v>147</v>
      </c>
      <c r="F161" s="1">
        <v>-137450759.21415615</v>
      </c>
    </row>
    <row r="162" spans="5:6" x14ac:dyDescent="0.2">
      <c r="E162">
        <v>148</v>
      </c>
      <c r="F162" s="1">
        <v>-17142446.078636408</v>
      </c>
    </row>
    <row r="163" spans="5:6" x14ac:dyDescent="0.2">
      <c r="E163">
        <v>149</v>
      </c>
      <c r="F163" s="1">
        <v>-178685601.66024649</v>
      </c>
    </row>
    <row r="164" spans="5:6" x14ac:dyDescent="0.2">
      <c r="E164">
        <v>150</v>
      </c>
      <c r="F164" s="1">
        <v>53998847.427685738</v>
      </c>
    </row>
    <row r="165" spans="5:6" x14ac:dyDescent="0.2">
      <c r="E165">
        <v>151</v>
      </c>
      <c r="F165" s="1">
        <v>-80432736.04488945</v>
      </c>
    </row>
    <row r="166" spans="5:6" x14ac:dyDescent="0.2">
      <c r="E166">
        <v>152</v>
      </c>
      <c r="F166" s="1">
        <v>-89740002.298917055</v>
      </c>
    </row>
    <row r="167" spans="5:6" x14ac:dyDescent="0.2">
      <c r="E167">
        <v>153</v>
      </c>
      <c r="F167" s="1">
        <v>50605092.196822643</v>
      </c>
    </row>
    <row r="168" spans="5:6" x14ac:dyDescent="0.2">
      <c r="E168">
        <v>154</v>
      </c>
      <c r="F168" s="1">
        <v>51327148.56917727</v>
      </c>
    </row>
    <row r="169" spans="5:6" x14ac:dyDescent="0.2">
      <c r="E169">
        <v>155</v>
      </c>
      <c r="F169" s="1">
        <v>-89534570.854969382</v>
      </c>
    </row>
    <row r="170" spans="5:6" x14ac:dyDescent="0.2">
      <c r="E170">
        <v>156</v>
      </c>
      <c r="F170" s="1">
        <v>-211818311.40094721</v>
      </c>
    </row>
    <row r="171" spans="5:6" x14ac:dyDescent="0.2">
      <c r="E171">
        <v>157</v>
      </c>
      <c r="F171" s="1">
        <v>-55681953.661168575</v>
      </c>
    </row>
    <row r="172" spans="5:6" x14ac:dyDescent="0.2">
      <c r="E172">
        <v>158</v>
      </c>
      <c r="F172" s="1">
        <v>34557829.163960099</v>
      </c>
    </row>
    <row r="173" spans="5:6" x14ac:dyDescent="0.2">
      <c r="E173">
        <v>159</v>
      </c>
      <c r="F173" s="1">
        <v>48588219.256251931</v>
      </c>
    </row>
    <row r="174" spans="5:6" x14ac:dyDescent="0.2">
      <c r="E174">
        <v>160</v>
      </c>
      <c r="F174" s="1">
        <v>8695824.5062143803</v>
      </c>
    </row>
    <row r="175" spans="5:6" x14ac:dyDescent="0.2">
      <c r="E175">
        <v>161</v>
      </c>
      <c r="F175" s="1">
        <v>-86072720.282223821</v>
      </c>
    </row>
    <row r="176" spans="5:6" x14ac:dyDescent="0.2">
      <c r="E176">
        <v>162</v>
      </c>
      <c r="F176" s="1">
        <v>-31202562.799589872</v>
      </c>
    </row>
    <row r="177" spans="5:6" x14ac:dyDescent="0.2">
      <c r="E177">
        <v>163</v>
      </c>
      <c r="F177" s="1">
        <v>197088.84323310852</v>
      </c>
    </row>
    <row r="178" spans="5:6" x14ac:dyDescent="0.2">
      <c r="E178">
        <v>164</v>
      </c>
      <c r="F178" s="1">
        <v>-72145415.990728617</v>
      </c>
    </row>
    <row r="179" spans="5:6" x14ac:dyDescent="0.2">
      <c r="E179">
        <v>165</v>
      </c>
      <c r="F179" s="1">
        <v>-3249710.5755932331</v>
      </c>
    </row>
    <row r="180" spans="5:6" x14ac:dyDescent="0.2">
      <c r="E180">
        <v>166</v>
      </c>
      <c r="F180" s="1">
        <v>-42785920.509106994</v>
      </c>
    </row>
    <row r="181" spans="5:6" x14ac:dyDescent="0.2">
      <c r="E181">
        <v>167</v>
      </c>
      <c r="F181" s="1">
        <v>-198752146.49999797</v>
      </c>
    </row>
    <row r="182" spans="5:6" x14ac:dyDescent="0.2">
      <c r="E182">
        <v>168</v>
      </c>
      <c r="F182" s="1">
        <v>-57203381.883559108</v>
      </c>
    </row>
    <row r="183" spans="5:6" x14ac:dyDescent="0.2">
      <c r="E183">
        <v>169</v>
      </c>
      <c r="F183" s="1">
        <v>24937929.962716579</v>
      </c>
    </row>
    <row r="184" spans="5:6" x14ac:dyDescent="0.2">
      <c r="E184">
        <v>170</v>
      </c>
      <c r="F184" s="1">
        <v>64096293.781039596</v>
      </c>
    </row>
    <row r="185" spans="5:6" x14ac:dyDescent="0.2">
      <c r="E185">
        <v>171</v>
      </c>
      <c r="F185" s="1">
        <v>7965345.7476736307</v>
      </c>
    </row>
    <row r="186" spans="5:6" x14ac:dyDescent="0.2">
      <c r="E186">
        <v>172</v>
      </c>
      <c r="F186" s="1">
        <v>24849886.281670928</v>
      </c>
    </row>
    <row r="187" spans="5:6" x14ac:dyDescent="0.2">
      <c r="E187">
        <v>173</v>
      </c>
      <c r="F187" s="1">
        <v>-55626684.003196478</v>
      </c>
    </row>
    <row r="188" spans="5:6" x14ac:dyDescent="0.2">
      <c r="E188">
        <v>174</v>
      </c>
      <c r="F188" s="1">
        <v>20107087.29923439</v>
      </c>
    </row>
    <row r="189" spans="5:6" x14ac:dyDescent="0.2">
      <c r="E189">
        <v>175</v>
      </c>
      <c r="F189" s="1">
        <v>-102366350.73554206</v>
      </c>
    </row>
    <row r="190" spans="5:6" x14ac:dyDescent="0.2">
      <c r="E190">
        <v>176</v>
      </c>
      <c r="F190" s="1">
        <v>-159511658.52356958</v>
      </c>
    </row>
    <row r="191" spans="5:6" x14ac:dyDescent="0.2">
      <c r="E191">
        <v>177</v>
      </c>
      <c r="F191" s="1">
        <v>-31262831.531295776</v>
      </c>
    </row>
    <row r="192" spans="5:6" x14ac:dyDescent="0.2">
      <c r="E192">
        <v>178</v>
      </c>
      <c r="F192" s="1">
        <v>-146543671.5877645</v>
      </c>
    </row>
    <row r="193" spans="5:6" x14ac:dyDescent="0.2">
      <c r="E193">
        <v>179</v>
      </c>
      <c r="F193" s="1">
        <v>28633334.303635955</v>
      </c>
    </row>
    <row r="194" spans="5:6" x14ac:dyDescent="0.2">
      <c r="E194">
        <v>180</v>
      </c>
      <c r="F194" s="1">
        <v>-14112174.296787262</v>
      </c>
    </row>
    <row r="195" spans="5:6" x14ac:dyDescent="0.2">
      <c r="E195">
        <v>181</v>
      </c>
      <c r="F195" s="1">
        <v>-640993.50861883163</v>
      </c>
    </row>
    <row r="196" spans="5:6" x14ac:dyDescent="0.2">
      <c r="E196">
        <v>182</v>
      </c>
      <c r="F196" s="1">
        <v>55774394.030090451</v>
      </c>
    </row>
    <row r="197" spans="5:6" x14ac:dyDescent="0.2">
      <c r="E197">
        <v>183</v>
      </c>
      <c r="F197" s="1">
        <v>-45119944.401370525</v>
      </c>
    </row>
    <row r="198" spans="5:6" x14ac:dyDescent="0.2">
      <c r="E198">
        <v>184</v>
      </c>
      <c r="F198" s="1">
        <v>41975877.697150707</v>
      </c>
    </row>
    <row r="199" spans="5:6" x14ac:dyDescent="0.2">
      <c r="E199">
        <v>185</v>
      </c>
      <c r="F199" s="1">
        <v>-48391357.927576184</v>
      </c>
    </row>
    <row r="200" spans="5:6" x14ac:dyDescent="0.2">
      <c r="E200">
        <v>186</v>
      </c>
      <c r="F200" s="1">
        <v>-24161548.847611547</v>
      </c>
    </row>
    <row r="201" spans="5:6" x14ac:dyDescent="0.2">
      <c r="E201">
        <v>187</v>
      </c>
      <c r="F201" s="1">
        <v>18227632.060611486</v>
      </c>
    </row>
    <row r="202" spans="5:6" x14ac:dyDescent="0.2">
      <c r="E202">
        <v>188</v>
      </c>
      <c r="F202" s="1">
        <v>31216010.817107797</v>
      </c>
    </row>
    <row r="203" spans="5:6" x14ac:dyDescent="0.2">
      <c r="E203">
        <v>189</v>
      </c>
      <c r="F203" s="1">
        <v>22158297.503877163</v>
      </c>
    </row>
    <row r="204" spans="5:6" x14ac:dyDescent="0.2">
      <c r="E204">
        <v>190</v>
      </c>
      <c r="F204" s="1">
        <v>37253137.568213105</v>
      </c>
    </row>
    <row r="205" spans="5:6" x14ac:dyDescent="0.2">
      <c r="E205">
        <v>191</v>
      </c>
      <c r="F205" s="1">
        <v>-142870909.35490739</v>
      </c>
    </row>
    <row r="206" spans="5:6" x14ac:dyDescent="0.2">
      <c r="E206">
        <v>192</v>
      </c>
      <c r="F206" s="1">
        <v>-150483061.32328355</v>
      </c>
    </row>
    <row r="207" spans="5:6" x14ac:dyDescent="0.2">
      <c r="E207">
        <v>193</v>
      </c>
      <c r="F207" s="1">
        <v>-123234722.64779282</v>
      </c>
    </row>
    <row r="208" spans="5:6" x14ac:dyDescent="0.2">
      <c r="E208">
        <v>194</v>
      </c>
      <c r="F208" s="1">
        <v>16139641.40206027</v>
      </c>
    </row>
    <row r="209" spans="5:6" x14ac:dyDescent="0.2">
      <c r="E209">
        <v>195</v>
      </c>
      <c r="F209" s="1">
        <v>-9938089.9815801382</v>
      </c>
    </row>
    <row r="210" spans="5:6" x14ac:dyDescent="0.2">
      <c r="E210">
        <v>196</v>
      </c>
      <c r="F210" s="1">
        <v>-83347580.942186475</v>
      </c>
    </row>
    <row r="211" spans="5:6" x14ac:dyDescent="0.2">
      <c r="E211">
        <v>197</v>
      </c>
      <c r="F211" s="1">
        <v>20589351.756667137</v>
      </c>
    </row>
    <row r="212" spans="5:6" x14ac:dyDescent="0.2">
      <c r="E212">
        <v>198</v>
      </c>
      <c r="F212" s="1">
        <v>-176622108.9197495</v>
      </c>
    </row>
    <row r="213" spans="5:6" x14ac:dyDescent="0.2">
      <c r="E213">
        <v>199</v>
      </c>
      <c r="F213" s="1">
        <v>20252676.558574319</v>
      </c>
    </row>
    <row r="214" spans="5:6" x14ac:dyDescent="0.2">
      <c r="E214">
        <v>200</v>
      </c>
      <c r="F214" s="1">
        <v>-141596066.23223817</v>
      </c>
    </row>
    <row r="215" spans="5:6" x14ac:dyDescent="0.2">
      <c r="E215">
        <v>201</v>
      </c>
      <c r="F215" s="1">
        <v>-213180308.51521194</v>
      </c>
    </row>
    <row r="216" spans="5:6" x14ac:dyDescent="0.2">
      <c r="E216">
        <v>202</v>
      </c>
      <c r="F216" s="1">
        <v>9210877.1717686653</v>
      </c>
    </row>
    <row r="217" spans="5:6" x14ac:dyDescent="0.2">
      <c r="E217">
        <v>203</v>
      </c>
      <c r="F217" s="1">
        <v>109559423.95535576</v>
      </c>
    </row>
    <row r="218" spans="5:6" x14ac:dyDescent="0.2">
      <c r="E218">
        <v>204</v>
      </c>
      <c r="F218" s="1">
        <v>-128358962.12512791</v>
      </c>
    </row>
    <row r="219" spans="5:6" x14ac:dyDescent="0.2">
      <c r="E219">
        <v>205</v>
      </c>
      <c r="F219" s="1">
        <v>1955324.8722935915</v>
      </c>
    </row>
    <row r="220" spans="5:6" x14ac:dyDescent="0.2">
      <c r="E220">
        <v>206</v>
      </c>
      <c r="F220" s="1">
        <v>-47426333.604088664</v>
      </c>
    </row>
    <row r="221" spans="5:6" x14ac:dyDescent="0.2">
      <c r="E221">
        <v>207</v>
      </c>
      <c r="F221" s="1">
        <v>-3156954.8304251432</v>
      </c>
    </row>
    <row r="222" spans="5:6" x14ac:dyDescent="0.2">
      <c r="E222">
        <v>208</v>
      </c>
      <c r="F222" s="1">
        <v>-151248460.04878998</v>
      </c>
    </row>
    <row r="223" spans="5:6" x14ac:dyDescent="0.2">
      <c r="E223">
        <v>209</v>
      </c>
      <c r="F223" s="1">
        <v>-18475254.384464741</v>
      </c>
    </row>
    <row r="224" spans="5:6" x14ac:dyDescent="0.2">
      <c r="E224">
        <v>210</v>
      </c>
      <c r="F224" s="1">
        <v>13165063.141707182</v>
      </c>
    </row>
    <row r="225" spans="5:6" x14ac:dyDescent="0.2">
      <c r="E225">
        <v>211</v>
      </c>
      <c r="F225" s="1">
        <v>-184793720.60823298</v>
      </c>
    </row>
    <row r="226" spans="5:6" x14ac:dyDescent="0.2">
      <c r="E226">
        <v>212</v>
      </c>
      <c r="F226" s="1">
        <v>-140799046.69436085</v>
      </c>
    </row>
    <row r="227" spans="5:6" x14ac:dyDescent="0.2">
      <c r="E227">
        <v>213</v>
      </c>
      <c r="F227" s="1">
        <v>50138193.675428748</v>
      </c>
    </row>
    <row r="228" spans="5:6" x14ac:dyDescent="0.2">
      <c r="E228">
        <v>214</v>
      </c>
      <c r="F228" s="1">
        <v>-132275820.16700602</v>
      </c>
    </row>
    <row r="229" spans="5:6" x14ac:dyDescent="0.2">
      <c r="E229">
        <v>215</v>
      </c>
      <c r="F229" s="1">
        <v>-247137907.85448515</v>
      </c>
    </row>
    <row r="230" spans="5:6" x14ac:dyDescent="0.2">
      <c r="E230">
        <v>216</v>
      </c>
      <c r="F230" s="1">
        <v>88838127.315240145</v>
      </c>
    </row>
    <row r="231" spans="5:6" x14ac:dyDescent="0.2">
      <c r="E231">
        <v>217</v>
      </c>
      <c r="F231" s="1">
        <v>-140408979.37543988</v>
      </c>
    </row>
    <row r="232" spans="5:6" x14ac:dyDescent="0.2">
      <c r="E232">
        <v>218</v>
      </c>
      <c r="F232" s="1">
        <v>-160186423.33027804</v>
      </c>
    </row>
    <row r="233" spans="5:6" x14ac:dyDescent="0.2">
      <c r="E233">
        <v>219</v>
      </c>
      <c r="F233" s="1">
        <v>-134958265.26322567</v>
      </c>
    </row>
    <row r="234" spans="5:6" x14ac:dyDescent="0.2">
      <c r="E234">
        <v>220</v>
      </c>
      <c r="F234" s="1">
        <v>-82011928.995249033</v>
      </c>
    </row>
    <row r="235" spans="5:6" x14ac:dyDescent="0.2">
      <c r="E235">
        <v>221</v>
      </c>
      <c r="F235" s="1">
        <v>-3010384.6799658537</v>
      </c>
    </row>
    <row r="236" spans="5:6" x14ac:dyDescent="0.2">
      <c r="E236">
        <v>222</v>
      </c>
      <c r="F236" s="1">
        <v>-192684974.33086014</v>
      </c>
    </row>
    <row r="237" spans="5:6" x14ac:dyDescent="0.2">
      <c r="E237">
        <v>223</v>
      </c>
      <c r="F237" s="1">
        <v>-189963659.69738364</v>
      </c>
    </row>
    <row r="238" spans="5:6" x14ac:dyDescent="0.2">
      <c r="E238">
        <v>224</v>
      </c>
      <c r="F238" s="1">
        <v>-234214469.27250016</v>
      </c>
    </row>
    <row r="239" spans="5:6" x14ac:dyDescent="0.2">
      <c r="E239">
        <v>225</v>
      </c>
      <c r="F239" s="1">
        <v>-90896919.783605456</v>
      </c>
    </row>
    <row r="240" spans="5:6" x14ac:dyDescent="0.2">
      <c r="E240">
        <v>226</v>
      </c>
      <c r="F240" s="1">
        <v>-179194008.47833908</v>
      </c>
    </row>
    <row r="241" spans="5:6" x14ac:dyDescent="0.2">
      <c r="E241">
        <v>227</v>
      </c>
      <c r="F241" s="1">
        <v>-21806866.019067168</v>
      </c>
    </row>
    <row r="242" spans="5:6" x14ac:dyDescent="0.2">
      <c r="E242">
        <v>228</v>
      </c>
      <c r="F242" s="1">
        <v>19206977.001377106</v>
      </c>
    </row>
    <row r="243" spans="5:6" x14ac:dyDescent="0.2">
      <c r="E243">
        <v>229</v>
      </c>
      <c r="F243" s="1">
        <v>-19787021.341645718</v>
      </c>
    </row>
    <row r="244" spans="5:6" x14ac:dyDescent="0.2">
      <c r="E244">
        <v>230</v>
      </c>
      <c r="F244" s="1">
        <v>-146264092.77079582</v>
      </c>
    </row>
    <row r="245" spans="5:6" x14ac:dyDescent="0.2">
      <c r="E245">
        <v>231</v>
      </c>
      <c r="F245" s="1">
        <v>-63617500.148167729</v>
      </c>
    </row>
    <row r="246" spans="5:6" x14ac:dyDescent="0.2">
      <c r="E246">
        <v>232</v>
      </c>
      <c r="F246" s="1">
        <v>95195784.742078066</v>
      </c>
    </row>
    <row r="247" spans="5:6" x14ac:dyDescent="0.2">
      <c r="E247">
        <v>233</v>
      </c>
      <c r="F247" s="1">
        <v>38704192.599932194</v>
      </c>
    </row>
    <row r="248" spans="5:6" x14ac:dyDescent="0.2">
      <c r="E248">
        <v>234</v>
      </c>
      <c r="F248" s="1">
        <v>-30372970.03092587</v>
      </c>
    </row>
    <row r="249" spans="5:6" x14ac:dyDescent="0.2">
      <c r="E249">
        <v>235</v>
      </c>
      <c r="F249" s="1">
        <v>-148882763.72426248</v>
      </c>
    </row>
    <row r="250" spans="5:6" x14ac:dyDescent="0.2">
      <c r="E250">
        <v>236</v>
      </c>
      <c r="F250" s="1">
        <v>-114778710.46526062</v>
      </c>
    </row>
    <row r="251" spans="5:6" x14ac:dyDescent="0.2">
      <c r="E251">
        <v>237</v>
      </c>
      <c r="F251" s="1">
        <v>-8100533.2484843731</v>
      </c>
    </row>
    <row r="252" spans="5:6" x14ac:dyDescent="0.2">
      <c r="E252">
        <v>238</v>
      </c>
      <c r="F252" s="1">
        <v>-86388440.247054696</v>
      </c>
    </row>
    <row r="253" spans="5:6" x14ac:dyDescent="0.2">
      <c r="E253">
        <v>239</v>
      </c>
      <c r="F253" s="1">
        <v>-37009389.979507208</v>
      </c>
    </row>
    <row r="254" spans="5:6" x14ac:dyDescent="0.2">
      <c r="E254">
        <v>240</v>
      </c>
      <c r="F254" s="1">
        <v>35759771.802742124</v>
      </c>
    </row>
    <row r="255" spans="5:6" x14ac:dyDescent="0.2">
      <c r="E255">
        <v>241</v>
      </c>
      <c r="F255" s="1">
        <v>-17251402.847393513</v>
      </c>
    </row>
    <row r="256" spans="5:6" x14ac:dyDescent="0.2">
      <c r="E256">
        <v>242</v>
      </c>
      <c r="F256" s="1">
        <v>45275123.856127501</v>
      </c>
    </row>
    <row r="257" spans="5:6" x14ac:dyDescent="0.2">
      <c r="E257">
        <v>243</v>
      </c>
      <c r="F257" s="1">
        <v>-85084311.053345561</v>
      </c>
    </row>
    <row r="258" spans="5:6" x14ac:dyDescent="0.2">
      <c r="E258">
        <v>244</v>
      </c>
      <c r="F258" s="1">
        <v>-82590924.171464443</v>
      </c>
    </row>
    <row r="259" spans="5:6" x14ac:dyDescent="0.2">
      <c r="E259">
        <v>245</v>
      </c>
      <c r="F259" s="1">
        <v>-175559000.16908586</v>
      </c>
    </row>
    <row r="260" spans="5:6" x14ac:dyDescent="0.2">
      <c r="E260">
        <v>246</v>
      </c>
      <c r="F260" s="1">
        <v>17183343.24558413</v>
      </c>
    </row>
    <row r="261" spans="5:6" x14ac:dyDescent="0.2">
      <c r="E261">
        <v>247</v>
      </c>
      <c r="F261" s="1">
        <v>35423508.438812256</v>
      </c>
    </row>
    <row r="262" spans="5:6" x14ac:dyDescent="0.2">
      <c r="E262">
        <v>248</v>
      </c>
      <c r="F262" s="1">
        <v>9291704.0120207071</v>
      </c>
    </row>
    <row r="263" spans="5:6" x14ac:dyDescent="0.2">
      <c r="E263">
        <v>249</v>
      </c>
      <c r="F263" s="1">
        <v>8998944.9609994888</v>
      </c>
    </row>
    <row r="264" spans="5:6" x14ac:dyDescent="0.2">
      <c r="E264">
        <v>250</v>
      </c>
      <c r="F264" s="1">
        <v>13974277.343811393</v>
      </c>
    </row>
    <row r="265" spans="5:6" x14ac:dyDescent="0.2">
      <c r="E265">
        <v>251</v>
      </c>
      <c r="F265" s="1">
        <v>24769860.012557983</v>
      </c>
    </row>
    <row r="266" spans="5:6" x14ac:dyDescent="0.2">
      <c r="E266">
        <v>252</v>
      </c>
      <c r="F266" s="1">
        <v>-3493218.7005290985</v>
      </c>
    </row>
    <row r="267" spans="5:6" x14ac:dyDescent="0.2">
      <c r="E267">
        <v>253</v>
      </c>
      <c r="F267" s="1">
        <v>-93262786.512658</v>
      </c>
    </row>
    <row r="268" spans="5:6" x14ac:dyDescent="0.2">
      <c r="E268">
        <v>254</v>
      </c>
      <c r="F268" s="1">
        <v>32053824.705434322</v>
      </c>
    </row>
    <row r="269" spans="5:6" x14ac:dyDescent="0.2">
      <c r="E269">
        <v>255</v>
      </c>
      <c r="F269" s="1">
        <v>-2594973.973472476</v>
      </c>
    </row>
    <row r="270" spans="5:6" x14ac:dyDescent="0.2">
      <c r="E270">
        <v>256</v>
      </c>
      <c r="F270" s="1">
        <v>-232532690.1920141</v>
      </c>
    </row>
    <row r="271" spans="5:6" x14ac:dyDescent="0.2">
      <c r="E271">
        <v>257</v>
      </c>
      <c r="F271" s="1">
        <v>53213223.426743269</v>
      </c>
    </row>
    <row r="272" spans="5:6" x14ac:dyDescent="0.2">
      <c r="E272">
        <v>258</v>
      </c>
      <c r="F272" s="1">
        <v>-71403370.42426765</v>
      </c>
    </row>
    <row r="273" spans="5:6" x14ac:dyDescent="0.2">
      <c r="E273">
        <v>259</v>
      </c>
      <c r="F273" s="1">
        <v>-216196185.5119859</v>
      </c>
    </row>
    <row r="274" spans="5:6" x14ac:dyDescent="0.2">
      <c r="E274">
        <v>260</v>
      </c>
      <c r="F274" s="1">
        <v>67981000.837080836</v>
      </c>
    </row>
    <row r="275" spans="5:6" x14ac:dyDescent="0.2">
      <c r="E275">
        <v>261</v>
      </c>
      <c r="F275" s="1">
        <v>49282057.871806741</v>
      </c>
    </row>
    <row r="276" spans="5:6" x14ac:dyDescent="0.2">
      <c r="E276">
        <v>262</v>
      </c>
      <c r="F276" s="1">
        <v>-34991319.583771706</v>
      </c>
    </row>
    <row r="277" spans="5:6" x14ac:dyDescent="0.2">
      <c r="E277">
        <v>263</v>
      </c>
      <c r="F277" s="1">
        <v>82370807.434649706</v>
      </c>
    </row>
    <row r="278" spans="5:6" x14ac:dyDescent="0.2">
      <c r="E278">
        <v>264</v>
      </c>
      <c r="F278" s="1">
        <v>-237136774.17536724</v>
      </c>
    </row>
    <row r="279" spans="5:6" x14ac:dyDescent="0.2">
      <c r="E279">
        <v>265</v>
      </c>
      <c r="F279" s="1">
        <v>42496120.331447482</v>
      </c>
    </row>
    <row r="280" spans="5:6" x14ac:dyDescent="0.2">
      <c r="E280">
        <v>266</v>
      </c>
      <c r="F280" s="1">
        <v>-103827454.46881247</v>
      </c>
    </row>
    <row r="281" spans="5:6" x14ac:dyDescent="0.2">
      <c r="E281">
        <v>267</v>
      </c>
      <c r="F281" s="1">
        <v>89855717.07385087</v>
      </c>
    </row>
    <row r="282" spans="5:6" x14ac:dyDescent="0.2">
      <c r="E282">
        <v>268</v>
      </c>
      <c r="F282" s="1">
        <v>-55945089.172751546</v>
      </c>
    </row>
    <row r="283" spans="5:6" x14ac:dyDescent="0.2">
      <c r="E283">
        <v>269</v>
      </c>
      <c r="F283" s="1">
        <v>-149252331.58148074</v>
      </c>
    </row>
    <row r="284" spans="5:6" x14ac:dyDescent="0.2">
      <c r="E284">
        <v>270</v>
      </c>
      <c r="F284" s="1">
        <v>-194446650.62147021</v>
      </c>
    </row>
    <row r="285" spans="5:6" x14ac:dyDescent="0.2">
      <c r="E285">
        <v>271</v>
      </c>
      <c r="F285" s="1">
        <v>12656775.651172638</v>
      </c>
    </row>
    <row r="286" spans="5:6" x14ac:dyDescent="0.2">
      <c r="E286">
        <v>272</v>
      </c>
      <c r="F286" s="1">
        <v>-28851604.627114415</v>
      </c>
    </row>
    <row r="287" spans="5:6" x14ac:dyDescent="0.2">
      <c r="E287">
        <v>273</v>
      </c>
      <c r="F287" s="1">
        <v>-2491580.5653487444</v>
      </c>
    </row>
    <row r="288" spans="5:6" x14ac:dyDescent="0.2">
      <c r="E288">
        <v>274</v>
      </c>
      <c r="F288" s="1">
        <v>6609825.7483477592</v>
      </c>
    </row>
    <row r="289" spans="5:6" x14ac:dyDescent="0.2">
      <c r="E289">
        <v>275</v>
      </c>
      <c r="F289" s="1">
        <v>16617033.612047791</v>
      </c>
    </row>
    <row r="290" spans="5:6" x14ac:dyDescent="0.2">
      <c r="E290">
        <v>276</v>
      </c>
      <c r="F290" s="1">
        <v>5706416.6283614635</v>
      </c>
    </row>
    <row r="291" spans="5:6" x14ac:dyDescent="0.2">
      <c r="E291">
        <v>277</v>
      </c>
      <c r="F291" s="1">
        <v>21941145.063936591</v>
      </c>
    </row>
    <row r="292" spans="5:6" x14ac:dyDescent="0.2">
      <c r="E292">
        <v>278</v>
      </c>
      <c r="F292" s="1">
        <v>-104158895.35019469</v>
      </c>
    </row>
    <row r="293" spans="5:6" x14ac:dyDescent="0.2">
      <c r="E293">
        <v>279</v>
      </c>
      <c r="F293" s="1">
        <v>-170841793.5414362</v>
      </c>
    </row>
    <row r="294" spans="5:6" x14ac:dyDescent="0.2">
      <c r="E294">
        <v>280</v>
      </c>
      <c r="F294" s="1">
        <v>14615309.690305352</v>
      </c>
    </row>
    <row r="295" spans="5:6" x14ac:dyDescent="0.2">
      <c r="E295">
        <v>281</v>
      </c>
      <c r="F295" s="1">
        <v>30243286.675635219</v>
      </c>
    </row>
    <row r="296" spans="5:6" x14ac:dyDescent="0.2">
      <c r="E296">
        <v>282</v>
      </c>
      <c r="F296" s="1">
        <v>-47714351.281649232</v>
      </c>
    </row>
    <row r="297" spans="5:6" x14ac:dyDescent="0.2">
      <c r="E297">
        <v>283</v>
      </c>
      <c r="F297" s="1">
        <v>11919032.256587029</v>
      </c>
    </row>
    <row r="298" spans="5:6" x14ac:dyDescent="0.2">
      <c r="E298">
        <v>284</v>
      </c>
      <c r="F298" s="1">
        <v>-235083646.23176408</v>
      </c>
    </row>
    <row r="299" spans="5:6" x14ac:dyDescent="0.2">
      <c r="E299">
        <v>285</v>
      </c>
      <c r="F299" s="1">
        <v>-224303635.05206835</v>
      </c>
    </row>
    <row r="300" spans="5:6" x14ac:dyDescent="0.2">
      <c r="E300">
        <v>286</v>
      </c>
      <c r="F300" s="1">
        <v>36806738.001560211</v>
      </c>
    </row>
    <row r="301" spans="5:6" x14ac:dyDescent="0.2">
      <c r="E301">
        <v>287</v>
      </c>
      <c r="F301" s="1">
        <v>21134352.805624604</v>
      </c>
    </row>
    <row r="302" spans="5:6" x14ac:dyDescent="0.2">
      <c r="E302">
        <v>288</v>
      </c>
      <c r="F302" s="1">
        <v>-131150962.46334696</v>
      </c>
    </row>
    <row r="303" spans="5:6" x14ac:dyDescent="0.2">
      <c r="E303">
        <v>289</v>
      </c>
      <c r="F303" s="1">
        <v>-172053111.6249305</v>
      </c>
    </row>
    <row r="304" spans="5:6" x14ac:dyDescent="0.2">
      <c r="E304">
        <v>290</v>
      </c>
      <c r="F304" s="1">
        <v>25889506.535359144</v>
      </c>
    </row>
    <row r="305" spans="5:6" x14ac:dyDescent="0.2">
      <c r="E305">
        <v>291</v>
      </c>
      <c r="F305" s="1">
        <v>121335067.57976437</v>
      </c>
    </row>
    <row r="306" spans="5:6" x14ac:dyDescent="0.2">
      <c r="E306">
        <v>292</v>
      </c>
      <c r="F306" s="1">
        <v>-212896169.59454548</v>
      </c>
    </row>
    <row r="307" spans="5:6" x14ac:dyDescent="0.2">
      <c r="E307">
        <v>293</v>
      </c>
      <c r="F307" s="1">
        <v>-37636758.150693297</v>
      </c>
    </row>
    <row r="308" spans="5:6" x14ac:dyDescent="0.2">
      <c r="E308">
        <v>294</v>
      </c>
      <c r="F308" s="1">
        <v>-61072958.915453315</v>
      </c>
    </row>
    <row r="309" spans="5:6" x14ac:dyDescent="0.2">
      <c r="E309">
        <v>295</v>
      </c>
      <c r="F309" s="1">
        <v>-28402.725734829903</v>
      </c>
    </row>
    <row r="310" spans="5:6" x14ac:dyDescent="0.2">
      <c r="E310">
        <v>296</v>
      </c>
      <c r="F310" s="1">
        <v>-159298374.20055914</v>
      </c>
    </row>
    <row r="311" spans="5:6" x14ac:dyDescent="0.2">
      <c r="E311">
        <v>297</v>
      </c>
      <c r="F311" s="1">
        <v>-82609349.404700279</v>
      </c>
    </row>
    <row r="312" spans="5:6" x14ac:dyDescent="0.2">
      <c r="E312">
        <v>298</v>
      </c>
      <c r="F312" s="1">
        <v>-108340883.00103641</v>
      </c>
    </row>
    <row r="313" spans="5:6" x14ac:dyDescent="0.2">
      <c r="E313">
        <v>299</v>
      </c>
      <c r="F313" s="1">
        <v>-30443418.612323284</v>
      </c>
    </row>
    <row r="314" spans="5:6" x14ac:dyDescent="0.2">
      <c r="E314">
        <v>300</v>
      </c>
      <c r="F314" s="1">
        <v>-74980860.487358809</v>
      </c>
    </row>
    <row r="315" spans="5:6" x14ac:dyDescent="0.2">
      <c r="E315">
        <v>301</v>
      </c>
      <c r="F315" s="1">
        <v>-203472234.14343953</v>
      </c>
    </row>
    <row r="316" spans="5:6" x14ac:dyDescent="0.2">
      <c r="E316">
        <v>302</v>
      </c>
      <c r="F316" s="1">
        <v>-33406274.350874424</v>
      </c>
    </row>
    <row r="317" spans="5:6" x14ac:dyDescent="0.2">
      <c r="E317">
        <v>303</v>
      </c>
      <c r="F317" s="1">
        <v>-149719854.79856324</v>
      </c>
    </row>
    <row r="318" spans="5:6" x14ac:dyDescent="0.2">
      <c r="E318">
        <v>304</v>
      </c>
      <c r="F318" s="1">
        <v>-3919688.5395011902</v>
      </c>
    </row>
    <row r="319" spans="5:6" x14ac:dyDescent="0.2">
      <c r="E319">
        <v>305</v>
      </c>
      <c r="F319" s="1">
        <v>30856651.337605119</v>
      </c>
    </row>
    <row r="320" spans="5:6" x14ac:dyDescent="0.2">
      <c r="E320">
        <v>306</v>
      </c>
      <c r="F320" s="1">
        <v>65336165.089060664</v>
      </c>
    </row>
    <row r="321" spans="5:6" x14ac:dyDescent="0.2">
      <c r="E321">
        <v>307</v>
      </c>
      <c r="F321" s="1">
        <v>-218528128.29074454</v>
      </c>
    </row>
    <row r="322" spans="5:6" x14ac:dyDescent="0.2">
      <c r="E322">
        <v>308</v>
      </c>
      <c r="F322" s="1">
        <v>10874725.000335574</v>
      </c>
    </row>
    <row r="323" spans="5:6" x14ac:dyDescent="0.2">
      <c r="E323">
        <v>309</v>
      </c>
      <c r="F323" s="1">
        <v>17556395.513865829</v>
      </c>
    </row>
    <row r="324" spans="5:6" x14ac:dyDescent="0.2">
      <c r="E324">
        <v>310</v>
      </c>
      <c r="F324" s="1">
        <v>5398021.5126767159</v>
      </c>
    </row>
    <row r="325" spans="5:6" x14ac:dyDescent="0.2">
      <c r="E325">
        <v>311</v>
      </c>
      <c r="F325" s="1">
        <v>-80756045.232334375</v>
      </c>
    </row>
    <row r="326" spans="5:6" x14ac:dyDescent="0.2">
      <c r="E326">
        <v>312</v>
      </c>
      <c r="F326" s="1">
        <v>-146505806.20187986</v>
      </c>
    </row>
    <row r="327" spans="5:6" x14ac:dyDescent="0.2">
      <c r="E327">
        <v>313</v>
      </c>
      <c r="F327" s="1">
        <v>-17360506.542265058</v>
      </c>
    </row>
    <row r="328" spans="5:6" x14ac:dyDescent="0.2">
      <c r="E328">
        <v>314</v>
      </c>
      <c r="F328" s="1">
        <v>82574976.365518928</v>
      </c>
    </row>
    <row r="329" spans="5:6" x14ac:dyDescent="0.2">
      <c r="E329">
        <v>315</v>
      </c>
      <c r="F329" s="1">
        <v>-67366130.349761605</v>
      </c>
    </row>
    <row r="330" spans="5:6" x14ac:dyDescent="0.2">
      <c r="E330">
        <v>316</v>
      </c>
      <c r="F330" s="1">
        <v>-30997211.727343202</v>
      </c>
    </row>
    <row r="331" spans="5:6" x14ac:dyDescent="0.2">
      <c r="E331">
        <v>317</v>
      </c>
      <c r="F331" s="1">
        <v>69744906.254595637</v>
      </c>
    </row>
    <row r="332" spans="5:6" x14ac:dyDescent="0.2">
      <c r="E332">
        <v>318</v>
      </c>
      <c r="F332" s="1">
        <v>-102266379.48706532</v>
      </c>
    </row>
    <row r="333" spans="5:6" x14ac:dyDescent="0.2">
      <c r="E333">
        <v>319</v>
      </c>
      <c r="F333" s="1">
        <v>-41601960.673879385</v>
      </c>
    </row>
    <row r="334" spans="5:6" x14ac:dyDescent="0.2">
      <c r="E334">
        <v>320</v>
      </c>
      <c r="F334" s="1">
        <v>-191606462.33320558</v>
      </c>
    </row>
    <row r="335" spans="5:6" x14ac:dyDescent="0.2">
      <c r="E335">
        <v>321</v>
      </c>
      <c r="F335" s="1">
        <v>-109272938.62209976</v>
      </c>
    </row>
    <row r="336" spans="5:6" x14ac:dyDescent="0.2">
      <c r="E336">
        <v>322</v>
      </c>
      <c r="F336" s="1">
        <v>-214690528.2508328</v>
      </c>
    </row>
    <row r="337" spans="5:6" x14ac:dyDescent="0.2">
      <c r="E337">
        <v>323</v>
      </c>
      <c r="F337" s="1">
        <v>-275265128.20960915</v>
      </c>
    </row>
    <row r="338" spans="5:6" x14ac:dyDescent="0.2">
      <c r="E338">
        <v>324</v>
      </c>
      <c r="F338" s="1">
        <v>-36741664.086803079</v>
      </c>
    </row>
    <row r="339" spans="5:6" x14ac:dyDescent="0.2">
      <c r="E339">
        <v>325</v>
      </c>
      <c r="F339" s="1">
        <v>-41830074.384513259</v>
      </c>
    </row>
    <row r="340" spans="5:6" x14ac:dyDescent="0.2">
      <c r="E340">
        <v>326</v>
      </c>
      <c r="F340" s="1">
        <v>-143055242.41006374</v>
      </c>
    </row>
    <row r="341" spans="5:6" x14ac:dyDescent="0.2">
      <c r="E341">
        <v>327</v>
      </c>
      <c r="F341" s="1">
        <v>41706156.683571577</v>
      </c>
    </row>
    <row r="342" spans="5:6" x14ac:dyDescent="0.2">
      <c r="E342">
        <v>328</v>
      </c>
      <c r="F342" s="1">
        <v>66708015.388557553</v>
      </c>
    </row>
    <row r="343" spans="5:6" x14ac:dyDescent="0.2">
      <c r="E343">
        <v>329</v>
      </c>
      <c r="F343" s="1">
        <v>-70561647.728239298</v>
      </c>
    </row>
    <row r="344" spans="5:6" x14ac:dyDescent="0.2">
      <c r="E344">
        <v>330</v>
      </c>
      <c r="F344" s="1">
        <v>-180715855.2230643</v>
      </c>
    </row>
    <row r="345" spans="5:6" x14ac:dyDescent="0.2">
      <c r="E345">
        <v>331</v>
      </c>
      <c r="F345" s="1">
        <v>-130725867.35852993</v>
      </c>
    </row>
    <row r="346" spans="5:6" x14ac:dyDescent="0.2">
      <c r="E346">
        <v>332</v>
      </c>
      <c r="F346" s="1">
        <v>-5268330.6989678144</v>
      </c>
    </row>
    <row r="347" spans="5:6" x14ac:dyDescent="0.2">
      <c r="E347">
        <v>333</v>
      </c>
      <c r="F347" s="1">
        <v>171391880.59637368</v>
      </c>
    </row>
    <row r="348" spans="5:6" x14ac:dyDescent="0.2">
      <c r="E348">
        <v>334</v>
      </c>
      <c r="F348" s="1">
        <v>-46640885.894563079</v>
      </c>
    </row>
    <row r="349" spans="5:6" x14ac:dyDescent="0.2">
      <c r="E349">
        <v>335</v>
      </c>
      <c r="F349" s="1">
        <v>9086110.234141469</v>
      </c>
    </row>
    <row r="350" spans="5:6" x14ac:dyDescent="0.2">
      <c r="E350">
        <v>336</v>
      </c>
      <c r="F350" s="1">
        <v>16981716.265128136</v>
      </c>
    </row>
    <row r="351" spans="5:6" x14ac:dyDescent="0.2">
      <c r="E351">
        <v>337</v>
      </c>
      <c r="F351" s="1">
        <v>-37673243.973361373</v>
      </c>
    </row>
    <row r="352" spans="5:6" x14ac:dyDescent="0.2">
      <c r="E352">
        <v>338</v>
      </c>
      <c r="F352" s="1">
        <v>31991280.495539069</v>
      </c>
    </row>
    <row r="353" spans="5:6" x14ac:dyDescent="0.2">
      <c r="E353">
        <v>339</v>
      </c>
      <c r="F353" s="1">
        <v>17275276.202875614</v>
      </c>
    </row>
    <row r="354" spans="5:6" x14ac:dyDescent="0.2">
      <c r="E354">
        <v>340</v>
      </c>
      <c r="F354" s="1">
        <v>18513533.246321797</v>
      </c>
    </row>
    <row r="355" spans="5:6" x14ac:dyDescent="0.2">
      <c r="E355">
        <v>341</v>
      </c>
      <c r="F355" s="1">
        <v>-108630096.94821453</v>
      </c>
    </row>
    <row r="356" spans="5:6" x14ac:dyDescent="0.2">
      <c r="E356">
        <v>342</v>
      </c>
      <c r="F356" s="1">
        <v>-146819451.0645107</v>
      </c>
    </row>
    <row r="357" spans="5:6" x14ac:dyDescent="0.2">
      <c r="E357">
        <v>343</v>
      </c>
      <c r="F357" s="1">
        <v>-145825334.16145694</v>
      </c>
    </row>
    <row r="358" spans="5:6" x14ac:dyDescent="0.2">
      <c r="E358">
        <v>344</v>
      </c>
      <c r="F358" s="1">
        <v>-30945252.541862845</v>
      </c>
    </row>
    <row r="359" spans="5:6" x14ac:dyDescent="0.2">
      <c r="E359">
        <v>345</v>
      </c>
      <c r="F359" s="1">
        <v>-68409134.322255015</v>
      </c>
    </row>
    <row r="360" spans="5:6" x14ac:dyDescent="0.2">
      <c r="E360">
        <v>346</v>
      </c>
      <c r="F360" s="1">
        <v>-25591319.854008198</v>
      </c>
    </row>
    <row r="361" spans="5:6" x14ac:dyDescent="0.2">
      <c r="E361">
        <v>347</v>
      </c>
      <c r="F361" s="1">
        <v>-259796704.0270766</v>
      </c>
    </row>
    <row r="362" spans="5:6" x14ac:dyDescent="0.2">
      <c r="E362">
        <v>348</v>
      </c>
      <c r="F362" s="1">
        <v>38772376.01204288</v>
      </c>
    </row>
    <row r="363" spans="5:6" x14ac:dyDescent="0.2">
      <c r="E363">
        <v>349</v>
      </c>
      <c r="F363" s="1">
        <v>52838157.44942987</v>
      </c>
    </row>
    <row r="364" spans="5:6" x14ac:dyDescent="0.2">
      <c r="E364">
        <v>350</v>
      </c>
      <c r="F364" s="1">
        <v>22296545.95315659</v>
      </c>
    </row>
    <row r="365" spans="5:6" x14ac:dyDescent="0.2">
      <c r="E365">
        <v>351</v>
      </c>
      <c r="F365" s="1">
        <v>-104217921.32958722</v>
      </c>
    </row>
    <row r="366" spans="5:6" x14ac:dyDescent="0.2">
      <c r="E366">
        <v>352</v>
      </c>
      <c r="F366" s="1">
        <v>-83542377.871002555</v>
      </c>
    </row>
    <row r="367" spans="5:6" x14ac:dyDescent="0.2">
      <c r="E367">
        <v>353</v>
      </c>
      <c r="F367" s="1">
        <v>-2725025.7378690243</v>
      </c>
    </row>
    <row r="368" spans="5:6" x14ac:dyDescent="0.2">
      <c r="E368">
        <v>354</v>
      </c>
      <c r="F368" s="1">
        <v>-257510480.76316714</v>
      </c>
    </row>
    <row r="369" spans="5:6" x14ac:dyDescent="0.2">
      <c r="E369">
        <v>355</v>
      </c>
      <c r="F369" s="1">
        <v>28319369.935080647</v>
      </c>
    </row>
    <row r="370" spans="5:6" x14ac:dyDescent="0.2">
      <c r="E370">
        <v>356</v>
      </c>
      <c r="F370" s="1">
        <v>-215095844.10737956</v>
      </c>
    </row>
    <row r="371" spans="5:6" x14ac:dyDescent="0.2">
      <c r="E371">
        <v>357</v>
      </c>
      <c r="F371" s="1">
        <v>-262064716.4212786</v>
      </c>
    </row>
    <row r="372" spans="5:6" x14ac:dyDescent="0.2">
      <c r="E372">
        <v>358</v>
      </c>
      <c r="F372" s="1">
        <v>-26457471.399710894</v>
      </c>
    </row>
    <row r="373" spans="5:6" x14ac:dyDescent="0.2">
      <c r="E373">
        <v>359</v>
      </c>
      <c r="F373" s="1">
        <v>22459974.542069793</v>
      </c>
    </row>
    <row r="374" spans="5:6" x14ac:dyDescent="0.2">
      <c r="E374">
        <v>360</v>
      </c>
      <c r="F374" s="1">
        <v>30528701.172070503</v>
      </c>
    </row>
    <row r="375" spans="5:6" x14ac:dyDescent="0.2">
      <c r="E375">
        <v>361</v>
      </c>
      <c r="F375" s="1">
        <v>-153809886.023049</v>
      </c>
    </row>
    <row r="376" spans="5:6" x14ac:dyDescent="0.2">
      <c r="E376">
        <v>362</v>
      </c>
      <c r="F376" s="1">
        <v>-23115960.767423272</v>
      </c>
    </row>
    <row r="377" spans="5:6" x14ac:dyDescent="0.2">
      <c r="E377">
        <v>363</v>
      </c>
      <c r="F377" s="1">
        <v>-147444969.70605648</v>
      </c>
    </row>
    <row r="378" spans="5:6" x14ac:dyDescent="0.2">
      <c r="E378">
        <v>364</v>
      </c>
      <c r="F378" s="1">
        <v>49264936.265983701</v>
      </c>
    </row>
    <row r="379" spans="5:6" x14ac:dyDescent="0.2">
      <c r="E379">
        <v>365</v>
      </c>
      <c r="F379" s="1">
        <v>74172791.672738671</v>
      </c>
    </row>
    <row r="380" spans="5:6" x14ac:dyDescent="0.2">
      <c r="E380">
        <v>366</v>
      </c>
      <c r="F380" s="1">
        <v>41712586.575270176</v>
      </c>
    </row>
    <row r="381" spans="5:6" x14ac:dyDescent="0.2">
      <c r="E381">
        <v>367</v>
      </c>
      <c r="F381" s="1">
        <v>-178784764.3752892</v>
      </c>
    </row>
    <row r="382" spans="5:6" x14ac:dyDescent="0.2">
      <c r="E382">
        <v>368</v>
      </c>
      <c r="F382" s="1">
        <v>-194499728.6079452</v>
      </c>
    </row>
    <row r="383" spans="5:6" x14ac:dyDescent="0.2">
      <c r="E383">
        <v>369</v>
      </c>
      <c r="F383" s="1">
        <v>-180350921.14103174</v>
      </c>
    </row>
    <row r="384" spans="5:6" x14ac:dyDescent="0.2">
      <c r="E384">
        <v>370</v>
      </c>
      <c r="F384" s="1">
        <v>-2795704.2147430182</v>
      </c>
    </row>
    <row r="385" spans="5:6" x14ac:dyDescent="0.2">
      <c r="E385">
        <v>371</v>
      </c>
      <c r="F385" s="1">
        <v>-10952492.53269577</v>
      </c>
    </row>
    <row r="386" spans="5:6" x14ac:dyDescent="0.2">
      <c r="E386">
        <v>372</v>
      </c>
      <c r="F386" s="1">
        <v>-220474059.30238116</v>
      </c>
    </row>
    <row r="387" spans="5:6" x14ac:dyDescent="0.2">
      <c r="E387">
        <v>373</v>
      </c>
      <c r="F387" s="1">
        <v>-225329549.92071605</v>
      </c>
    </row>
    <row r="388" spans="5:6" x14ac:dyDescent="0.2">
      <c r="E388">
        <v>374</v>
      </c>
      <c r="F388" s="1">
        <v>8495852.3972706795</v>
      </c>
    </row>
    <row r="389" spans="5:6" x14ac:dyDescent="0.2">
      <c r="E389">
        <v>375</v>
      </c>
      <c r="F389" s="1">
        <v>-143120676.69243109</v>
      </c>
    </row>
    <row r="390" spans="5:6" x14ac:dyDescent="0.2">
      <c r="E390">
        <v>376</v>
      </c>
      <c r="F390" s="1">
        <v>-47473465.785033822</v>
      </c>
    </row>
    <row r="391" spans="5:6" x14ac:dyDescent="0.2">
      <c r="E391">
        <v>377</v>
      </c>
      <c r="F391" s="1">
        <v>-43546657.309579611</v>
      </c>
    </row>
    <row r="392" spans="5:6" x14ac:dyDescent="0.2">
      <c r="E392">
        <v>378</v>
      </c>
      <c r="F392" s="1">
        <v>-26459174.555826902</v>
      </c>
    </row>
    <row r="393" spans="5:6" x14ac:dyDescent="0.2">
      <c r="E393">
        <v>379</v>
      </c>
      <c r="F393" s="1">
        <v>-124030508.32637179</v>
      </c>
    </row>
    <row r="394" spans="5:6" x14ac:dyDescent="0.2">
      <c r="E394">
        <v>380</v>
      </c>
      <c r="F394" s="1">
        <v>-210852479.15549707</v>
      </c>
    </row>
    <row r="395" spans="5:6" x14ac:dyDescent="0.2">
      <c r="E395">
        <v>381</v>
      </c>
      <c r="F395" s="1">
        <v>-73599805.890030265</v>
      </c>
    </row>
    <row r="396" spans="5:6" x14ac:dyDescent="0.2">
      <c r="E396">
        <v>382</v>
      </c>
      <c r="F396" s="1">
        <v>76689081.945760846</v>
      </c>
    </row>
    <row r="397" spans="5:6" x14ac:dyDescent="0.2">
      <c r="E397">
        <v>383</v>
      </c>
      <c r="F397" s="1">
        <v>28239018.085306287</v>
      </c>
    </row>
    <row r="398" spans="5:6" x14ac:dyDescent="0.2">
      <c r="E398">
        <v>384</v>
      </c>
      <c r="F398" s="1">
        <v>1628798.0507193804</v>
      </c>
    </row>
    <row r="399" spans="5:6" x14ac:dyDescent="0.2">
      <c r="E399">
        <v>385</v>
      </c>
      <c r="F399" s="1">
        <v>-3537424.0300495625</v>
      </c>
    </row>
    <row r="400" spans="5:6" x14ac:dyDescent="0.2">
      <c r="E400">
        <v>386</v>
      </c>
      <c r="F400" s="1">
        <v>-18581640.497633934</v>
      </c>
    </row>
    <row r="401" spans="5:6" x14ac:dyDescent="0.2">
      <c r="E401">
        <v>387</v>
      </c>
      <c r="F401" s="1">
        <v>64911122.834319949</v>
      </c>
    </row>
    <row r="402" spans="5:6" x14ac:dyDescent="0.2">
      <c r="E402">
        <v>388</v>
      </c>
      <c r="F402" s="1">
        <v>-40020905.665078878</v>
      </c>
    </row>
    <row r="403" spans="5:6" x14ac:dyDescent="0.2">
      <c r="E403">
        <v>389</v>
      </c>
      <c r="F403" s="1">
        <v>-52500594.982121825</v>
      </c>
    </row>
    <row r="404" spans="5:6" x14ac:dyDescent="0.2">
      <c r="E404">
        <v>390</v>
      </c>
      <c r="F404" s="1">
        <v>85410082.00099051</v>
      </c>
    </row>
    <row r="405" spans="5:6" x14ac:dyDescent="0.2">
      <c r="E405">
        <v>391</v>
      </c>
      <c r="F405" s="1">
        <v>-176663403.55775237</v>
      </c>
    </row>
    <row r="406" spans="5:6" x14ac:dyDescent="0.2">
      <c r="E406">
        <v>392</v>
      </c>
      <c r="F406" s="1">
        <v>-98889638.05287385</v>
      </c>
    </row>
    <row r="407" spans="5:6" x14ac:dyDescent="0.2">
      <c r="E407">
        <v>393</v>
      </c>
      <c r="F407" s="1">
        <v>78602535.575063586</v>
      </c>
    </row>
    <row r="408" spans="5:6" x14ac:dyDescent="0.2">
      <c r="E408">
        <v>394</v>
      </c>
      <c r="F408" s="1">
        <v>23153351.998524427</v>
      </c>
    </row>
    <row r="409" spans="5:6" x14ac:dyDescent="0.2">
      <c r="E409">
        <v>395</v>
      </c>
      <c r="F409" s="1">
        <v>-8992362.6830933094</v>
      </c>
    </row>
    <row r="410" spans="5:6" x14ac:dyDescent="0.2">
      <c r="E410">
        <v>396</v>
      </c>
      <c r="F410" s="1">
        <v>-10575165.95748055</v>
      </c>
    </row>
    <row r="411" spans="5:6" x14ac:dyDescent="0.2">
      <c r="E411">
        <v>397</v>
      </c>
      <c r="F411" s="1">
        <v>-114122228.63287461</v>
      </c>
    </row>
    <row r="412" spans="5:6" x14ac:dyDescent="0.2">
      <c r="E412">
        <v>398</v>
      </c>
      <c r="F412" s="1">
        <v>-170372433.11165023</v>
      </c>
    </row>
    <row r="413" spans="5:6" x14ac:dyDescent="0.2">
      <c r="E413">
        <v>399</v>
      </c>
      <c r="F413" s="1">
        <v>-85345959.894374132</v>
      </c>
    </row>
    <row r="414" spans="5:6" x14ac:dyDescent="0.2">
      <c r="E414">
        <v>400</v>
      </c>
      <c r="F414" s="1">
        <v>196830.26583814621</v>
      </c>
    </row>
    <row r="415" spans="5:6" x14ac:dyDescent="0.2">
      <c r="E415">
        <v>401</v>
      </c>
      <c r="F415" s="1">
        <v>-126256273.70206118</v>
      </c>
    </row>
    <row r="416" spans="5:6" x14ac:dyDescent="0.2">
      <c r="E416">
        <v>402</v>
      </c>
      <c r="F416" s="1">
        <v>47496162.904637694</v>
      </c>
    </row>
    <row r="417" spans="5:6" x14ac:dyDescent="0.2">
      <c r="E417">
        <v>403</v>
      </c>
      <c r="F417" s="1">
        <v>-185585847.52051556</v>
      </c>
    </row>
    <row r="418" spans="5:6" x14ac:dyDescent="0.2">
      <c r="E418">
        <v>404</v>
      </c>
      <c r="F418" s="1">
        <v>-286384400.57186985</v>
      </c>
    </row>
    <row r="419" spans="5:6" x14ac:dyDescent="0.2">
      <c r="E419">
        <v>405</v>
      </c>
      <c r="F419" s="1">
        <v>57622198.456001282</v>
      </c>
    </row>
    <row r="420" spans="5:6" x14ac:dyDescent="0.2">
      <c r="E420">
        <v>406</v>
      </c>
      <c r="F420" s="1">
        <v>-159740066.94974983</v>
      </c>
    </row>
    <row r="421" spans="5:6" x14ac:dyDescent="0.2">
      <c r="E421">
        <v>407</v>
      </c>
      <c r="F421" s="1">
        <v>24664641.096570492</v>
      </c>
    </row>
    <row r="422" spans="5:6" x14ac:dyDescent="0.2">
      <c r="E422">
        <v>408</v>
      </c>
      <c r="F422" s="1">
        <v>-154744761.02593195</v>
      </c>
    </row>
    <row r="423" spans="5:6" x14ac:dyDescent="0.2">
      <c r="E423">
        <v>409</v>
      </c>
      <c r="F423" s="1">
        <v>10193782.288325071</v>
      </c>
    </row>
    <row r="424" spans="5:6" x14ac:dyDescent="0.2">
      <c r="E424">
        <v>410</v>
      </c>
      <c r="F424" s="1">
        <v>20745035.623049378</v>
      </c>
    </row>
    <row r="425" spans="5:6" x14ac:dyDescent="0.2">
      <c r="E425">
        <v>411</v>
      </c>
      <c r="F425" s="1">
        <v>-171103518.18079722</v>
      </c>
    </row>
    <row r="426" spans="5:6" x14ac:dyDescent="0.2">
      <c r="E426">
        <v>412</v>
      </c>
      <c r="F426" s="1">
        <v>-37689696.424296498</v>
      </c>
    </row>
    <row r="427" spans="5:6" x14ac:dyDescent="0.2">
      <c r="E427">
        <v>413</v>
      </c>
      <c r="F427" s="1">
        <v>2862671.7495332956</v>
      </c>
    </row>
    <row r="428" spans="5:6" x14ac:dyDescent="0.2">
      <c r="E428">
        <v>414</v>
      </c>
      <c r="F428" s="1">
        <v>-212412763.54262483</v>
      </c>
    </row>
    <row r="429" spans="5:6" x14ac:dyDescent="0.2">
      <c r="E429">
        <v>415</v>
      </c>
      <c r="F429" s="1">
        <v>-146485087.63867974</v>
      </c>
    </row>
    <row r="430" spans="5:6" x14ac:dyDescent="0.2">
      <c r="E430">
        <v>416</v>
      </c>
      <c r="F430" s="1">
        <v>38589948.954100251</v>
      </c>
    </row>
    <row r="431" spans="5:6" x14ac:dyDescent="0.2">
      <c r="E431">
        <v>417</v>
      </c>
      <c r="F431" s="1">
        <v>-232170147.47750509</v>
      </c>
    </row>
    <row r="432" spans="5:6" x14ac:dyDescent="0.2">
      <c r="E432">
        <v>418</v>
      </c>
      <c r="F432" s="1">
        <v>2474480.5919892788</v>
      </c>
    </row>
    <row r="433" spans="5:6" x14ac:dyDescent="0.2">
      <c r="E433">
        <v>419</v>
      </c>
      <c r="F433" s="1">
        <v>-270130559.64789271</v>
      </c>
    </row>
    <row r="434" spans="5:6" x14ac:dyDescent="0.2">
      <c r="E434">
        <v>420</v>
      </c>
      <c r="F434" s="1">
        <v>-155475762.3569721</v>
      </c>
    </row>
    <row r="435" spans="5:6" x14ac:dyDescent="0.2">
      <c r="E435">
        <v>421</v>
      </c>
      <c r="F435" s="1">
        <v>-16816497.709813833</v>
      </c>
    </row>
    <row r="436" spans="5:6" x14ac:dyDescent="0.2">
      <c r="E436">
        <v>422</v>
      </c>
      <c r="F436" s="1">
        <v>-195040714.55625975</v>
      </c>
    </row>
    <row r="437" spans="5:6" x14ac:dyDescent="0.2">
      <c r="E437">
        <v>423</v>
      </c>
      <c r="F437" s="1">
        <v>3065585.704157114</v>
      </c>
    </row>
    <row r="438" spans="5:6" x14ac:dyDescent="0.2">
      <c r="E438">
        <v>424</v>
      </c>
      <c r="F438" s="1">
        <v>-129257268.37411427</v>
      </c>
    </row>
    <row r="439" spans="5:6" x14ac:dyDescent="0.2">
      <c r="E439">
        <v>425</v>
      </c>
      <c r="F439" s="1">
        <v>-235970729.28214049</v>
      </c>
    </row>
    <row r="440" spans="5:6" x14ac:dyDescent="0.2">
      <c r="E440">
        <v>426</v>
      </c>
      <c r="F440" s="1">
        <v>-27997560.002516866</v>
      </c>
    </row>
    <row r="441" spans="5:6" x14ac:dyDescent="0.2">
      <c r="E441">
        <v>427</v>
      </c>
      <c r="F441" s="1">
        <v>20295627.415704489</v>
      </c>
    </row>
    <row r="442" spans="5:6" x14ac:dyDescent="0.2">
      <c r="E442">
        <v>428</v>
      </c>
      <c r="F442" s="1">
        <v>-25513230.579751611</v>
      </c>
    </row>
    <row r="443" spans="5:6" x14ac:dyDescent="0.2">
      <c r="E443">
        <v>429</v>
      </c>
      <c r="F443" s="1">
        <v>-206162614.57924795</v>
      </c>
    </row>
    <row r="444" spans="5:6" x14ac:dyDescent="0.2">
      <c r="E444">
        <v>430</v>
      </c>
      <c r="F444" s="1">
        <v>-221541334.79806995</v>
      </c>
    </row>
    <row r="445" spans="5:6" x14ac:dyDescent="0.2">
      <c r="E445">
        <v>431</v>
      </c>
      <c r="F445" s="1">
        <v>-36185426.524406075</v>
      </c>
    </row>
    <row r="446" spans="5:6" x14ac:dyDescent="0.2">
      <c r="E446">
        <v>432</v>
      </c>
      <c r="F446" s="1">
        <v>-249371328.06078362</v>
      </c>
    </row>
    <row r="447" spans="5:6" x14ac:dyDescent="0.2">
      <c r="E447">
        <v>433</v>
      </c>
      <c r="F447" s="1">
        <v>89560285.280176878</v>
      </c>
    </row>
    <row r="448" spans="5:6" x14ac:dyDescent="0.2">
      <c r="E448">
        <v>434</v>
      </c>
      <c r="F448" s="1">
        <v>86619.894475102425</v>
      </c>
    </row>
    <row r="449" spans="5:6" x14ac:dyDescent="0.2">
      <c r="E449">
        <v>435</v>
      </c>
      <c r="F449" s="1">
        <v>9173426.704500556</v>
      </c>
    </row>
    <row r="450" spans="5:6" x14ac:dyDescent="0.2">
      <c r="E450">
        <v>436</v>
      </c>
      <c r="F450" s="1">
        <v>-161702826.03923738</v>
      </c>
    </row>
    <row r="451" spans="5:6" x14ac:dyDescent="0.2">
      <c r="E451">
        <v>437</v>
      </c>
      <c r="F451" s="1">
        <v>-62226813.627301335</v>
      </c>
    </row>
    <row r="452" spans="5:6" x14ac:dyDescent="0.2">
      <c r="E452">
        <v>438</v>
      </c>
      <c r="F452" s="1">
        <v>24130634.043440819</v>
      </c>
    </row>
    <row r="453" spans="5:6" x14ac:dyDescent="0.2">
      <c r="E453">
        <v>439</v>
      </c>
      <c r="F453" s="1">
        <v>11458700.606698155</v>
      </c>
    </row>
    <row r="454" spans="5:6" x14ac:dyDescent="0.2">
      <c r="E454">
        <v>440</v>
      </c>
      <c r="F454" s="1">
        <v>-249401355.96689463</v>
      </c>
    </row>
    <row r="455" spans="5:6" x14ac:dyDescent="0.2">
      <c r="E455">
        <v>441</v>
      </c>
      <c r="F455" s="1">
        <v>-132787865.25590968</v>
      </c>
    </row>
    <row r="456" spans="5:6" x14ac:dyDescent="0.2">
      <c r="E456">
        <v>442</v>
      </c>
      <c r="F456" s="1">
        <v>-94225300.423798323</v>
      </c>
    </row>
    <row r="457" spans="5:6" x14ac:dyDescent="0.2">
      <c r="E457">
        <v>443</v>
      </c>
      <c r="F457" s="1">
        <v>63064675.986341119</v>
      </c>
    </row>
    <row r="458" spans="5:6" x14ac:dyDescent="0.2">
      <c r="E458">
        <v>444</v>
      </c>
      <c r="F458" s="1">
        <v>161000.85397624969</v>
      </c>
    </row>
    <row r="459" spans="5:6" x14ac:dyDescent="0.2">
      <c r="E459">
        <v>445</v>
      </c>
      <c r="F459" s="1">
        <v>-46946372.713061929</v>
      </c>
    </row>
    <row r="460" spans="5:6" x14ac:dyDescent="0.2">
      <c r="E460">
        <v>446</v>
      </c>
      <c r="F460" s="1">
        <v>27220273.217995524</v>
      </c>
    </row>
    <row r="461" spans="5:6" x14ac:dyDescent="0.2">
      <c r="E461">
        <v>447</v>
      </c>
      <c r="F461" s="1">
        <v>8064443.9564375877</v>
      </c>
    </row>
    <row r="462" spans="5:6" x14ac:dyDescent="0.2">
      <c r="E462">
        <v>448</v>
      </c>
      <c r="F462" s="1">
        <v>-21636717.969096661</v>
      </c>
    </row>
    <row r="463" spans="5:6" x14ac:dyDescent="0.2">
      <c r="E463">
        <v>449</v>
      </c>
      <c r="F463" s="1">
        <v>-222560058.76891911</v>
      </c>
    </row>
    <row r="464" spans="5:6" x14ac:dyDescent="0.2">
      <c r="E464">
        <v>450</v>
      </c>
      <c r="F464" s="1">
        <v>19077593.65451014</v>
      </c>
    </row>
    <row r="465" spans="5:6" x14ac:dyDescent="0.2">
      <c r="E465">
        <v>451</v>
      </c>
      <c r="F465" s="1">
        <v>-118617659.26434457</v>
      </c>
    </row>
    <row r="466" spans="5:6" x14ac:dyDescent="0.2">
      <c r="E466">
        <v>452</v>
      </c>
      <c r="F466" s="1">
        <v>68013755.559237957</v>
      </c>
    </row>
    <row r="467" spans="5:6" x14ac:dyDescent="0.2">
      <c r="E467">
        <v>453</v>
      </c>
      <c r="F467" s="1">
        <v>-186629312.24160278</v>
      </c>
    </row>
    <row r="468" spans="5:6" x14ac:dyDescent="0.2">
      <c r="E468">
        <v>454</v>
      </c>
      <c r="F468" s="1">
        <v>-16294538.936518908</v>
      </c>
    </row>
    <row r="469" spans="5:6" x14ac:dyDescent="0.2">
      <c r="E469">
        <v>455</v>
      </c>
      <c r="F469" s="1">
        <v>3634734.0074591637</v>
      </c>
    </row>
    <row r="470" spans="5:6" x14ac:dyDescent="0.2">
      <c r="E470">
        <v>456</v>
      </c>
      <c r="F470" s="1">
        <v>2435843.2872673273</v>
      </c>
    </row>
    <row r="471" spans="5:6" x14ac:dyDescent="0.2">
      <c r="E471">
        <v>457</v>
      </c>
      <c r="F471" s="1">
        <v>-122801095.88088012</v>
      </c>
    </row>
    <row r="472" spans="5:6" x14ac:dyDescent="0.2">
      <c r="E472">
        <v>458</v>
      </c>
      <c r="F472" s="1">
        <v>-59640933.857948184</v>
      </c>
    </row>
    <row r="473" spans="5:6" x14ac:dyDescent="0.2">
      <c r="E473">
        <v>459</v>
      </c>
      <c r="F473" s="1">
        <v>-187598427.51984382</v>
      </c>
    </row>
    <row r="474" spans="5:6" x14ac:dyDescent="0.2">
      <c r="E474">
        <v>460</v>
      </c>
      <c r="F474" s="1">
        <v>-252462478.1433295</v>
      </c>
    </row>
    <row r="475" spans="5:6" x14ac:dyDescent="0.2">
      <c r="E475">
        <v>461</v>
      </c>
      <c r="F475" s="1">
        <v>72625010.865774751</v>
      </c>
    </row>
    <row r="476" spans="5:6" x14ac:dyDescent="0.2">
      <c r="E476">
        <v>462</v>
      </c>
      <c r="F476" s="1">
        <v>-47271075.113862276</v>
      </c>
    </row>
    <row r="477" spans="5:6" x14ac:dyDescent="0.2">
      <c r="E477">
        <v>463</v>
      </c>
      <c r="F477" s="1">
        <v>20807591.668448687</v>
      </c>
    </row>
    <row r="478" spans="5:6" x14ac:dyDescent="0.2">
      <c r="E478">
        <v>464</v>
      </c>
      <c r="F478" s="1">
        <v>278234.07963252068</v>
      </c>
    </row>
    <row r="479" spans="5:6" x14ac:dyDescent="0.2">
      <c r="E479">
        <v>465</v>
      </c>
      <c r="F479" s="1">
        <v>-119740965.92211437</v>
      </c>
    </row>
    <row r="480" spans="5:6" x14ac:dyDescent="0.2">
      <c r="E480">
        <v>466</v>
      </c>
      <c r="F480" s="1">
        <v>-16163651.435422063</v>
      </c>
    </row>
    <row r="481" spans="5:6" x14ac:dyDescent="0.2">
      <c r="E481">
        <v>467</v>
      </c>
      <c r="F481" s="1">
        <v>-234161609.99010229</v>
      </c>
    </row>
    <row r="482" spans="5:6" x14ac:dyDescent="0.2">
      <c r="E482">
        <v>468</v>
      </c>
      <c r="F482" s="1">
        <v>-26894168.460117102</v>
      </c>
    </row>
    <row r="483" spans="5:6" x14ac:dyDescent="0.2">
      <c r="E483">
        <v>469</v>
      </c>
      <c r="F483" s="1">
        <v>-467598.80837154388</v>
      </c>
    </row>
    <row r="484" spans="5:6" x14ac:dyDescent="0.2">
      <c r="E484">
        <v>470</v>
      </c>
      <c r="F484" s="1">
        <v>28241445.199330211</v>
      </c>
    </row>
    <row r="485" spans="5:6" x14ac:dyDescent="0.2">
      <c r="E485">
        <v>471</v>
      </c>
      <c r="F485" s="1">
        <v>-6030542.8554432392</v>
      </c>
    </row>
    <row r="486" spans="5:6" x14ac:dyDescent="0.2">
      <c r="E486">
        <v>472</v>
      </c>
      <c r="F486" s="1">
        <v>-120453008.33122325</v>
      </c>
    </row>
    <row r="487" spans="5:6" x14ac:dyDescent="0.2">
      <c r="E487">
        <v>473</v>
      </c>
      <c r="F487" s="1">
        <v>-110140030.16087449</v>
      </c>
    </row>
    <row r="488" spans="5:6" x14ac:dyDescent="0.2">
      <c r="E488">
        <v>474</v>
      </c>
      <c r="F488" s="1">
        <v>-1508713.6904615164</v>
      </c>
    </row>
    <row r="489" spans="5:6" x14ac:dyDescent="0.2">
      <c r="E489">
        <v>475</v>
      </c>
      <c r="F489" s="1">
        <v>-21952674.857121706</v>
      </c>
    </row>
    <row r="490" spans="5:6" x14ac:dyDescent="0.2">
      <c r="E490">
        <v>476</v>
      </c>
      <c r="F490" s="1">
        <v>-180575294.03398025</v>
      </c>
    </row>
    <row r="491" spans="5:6" x14ac:dyDescent="0.2">
      <c r="E491">
        <v>477</v>
      </c>
      <c r="F491" s="1">
        <v>12583421.617186546</v>
      </c>
    </row>
    <row r="492" spans="5:6" x14ac:dyDescent="0.2">
      <c r="E492">
        <v>478</v>
      </c>
      <c r="F492" s="1">
        <v>-160489794.54301012</v>
      </c>
    </row>
    <row r="493" spans="5:6" x14ac:dyDescent="0.2">
      <c r="E493">
        <v>479</v>
      </c>
      <c r="F493" s="1">
        <v>-167514733.47227395</v>
      </c>
    </row>
    <row r="494" spans="5:6" x14ac:dyDescent="0.2">
      <c r="E494">
        <v>480</v>
      </c>
      <c r="F494" s="1">
        <v>-63883256.173099875</v>
      </c>
    </row>
    <row r="495" spans="5:6" x14ac:dyDescent="0.2">
      <c r="E495">
        <v>481</v>
      </c>
      <c r="F495" s="1">
        <v>-180797435.44880414</v>
      </c>
    </row>
    <row r="496" spans="5:6" x14ac:dyDescent="0.2">
      <c r="E496">
        <v>482</v>
      </c>
      <c r="F496" s="1">
        <v>15100917.082519054</v>
      </c>
    </row>
    <row r="497" spans="5:6" x14ac:dyDescent="0.2">
      <c r="E497">
        <v>483</v>
      </c>
      <c r="F497" s="1">
        <v>40679168.485298276</v>
      </c>
    </row>
    <row r="498" spans="5:6" x14ac:dyDescent="0.2">
      <c r="E498">
        <v>484</v>
      </c>
      <c r="F498" s="1">
        <v>-147019375.16865265</v>
      </c>
    </row>
    <row r="499" spans="5:6" x14ac:dyDescent="0.2">
      <c r="E499">
        <v>485</v>
      </c>
      <c r="F499" s="1">
        <v>-136809482.47321451</v>
      </c>
    </row>
    <row r="500" spans="5:6" x14ac:dyDescent="0.2">
      <c r="E500">
        <v>486</v>
      </c>
      <c r="F500" s="1">
        <v>-152234052.63490176</v>
      </c>
    </row>
    <row r="501" spans="5:6" x14ac:dyDescent="0.2">
      <c r="E501">
        <v>487</v>
      </c>
      <c r="F501" s="1">
        <v>23501767.459689021</v>
      </c>
    </row>
    <row r="502" spans="5:6" x14ac:dyDescent="0.2">
      <c r="E502">
        <v>488</v>
      </c>
      <c r="F502" s="1">
        <v>-60317102.537539244</v>
      </c>
    </row>
    <row r="503" spans="5:6" x14ac:dyDescent="0.2">
      <c r="E503">
        <v>489</v>
      </c>
      <c r="F503" s="1">
        <v>48664923.674116611</v>
      </c>
    </row>
    <row r="504" spans="5:6" x14ac:dyDescent="0.2">
      <c r="E504">
        <v>490</v>
      </c>
      <c r="F504" s="1">
        <v>-82841777.87887001</v>
      </c>
    </row>
    <row r="505" spans="5:6" x14ac:dyDescent="0.2">
      <c r="E505">
        <v>491</v>
      </c>
      <c r="F505" s="1">
        <v>11286987.955148458</v>
      </c>
    </row>
    <row r="506" spans="5:6" x14ac:dyDescent="0.2">
      <c r="E506">
        <v>492</v>
      </c>
      <c r="F506" s="1">
        <v>45282393.679493666</v>
      </c>
    </row>
    <row r="507" spans="5:6" x14ac:dyDescent="0.2">
      <c r="E507">
        <v>493</v>
      </c>
      <c r="F507" s="1">
        <v>19765809.948313117</v>
      </c>
    </row>
    <row r="508" spans="5:6" x14ac:dyDescent="0.2">
      <c r="E508">
        <v>494</v>
      </c>
      <c r="F508" s="1">
        <v>-131411890.77682209</v>
      </c>
    </row>
    <row r="509" spans="5:6" x14ac:dyDescent="0.2">
      <c r="E509">
        <v>495</v>
      </c>
      <c r="F509" s="1">
        <v>-128035046.4138937</v>
      </c>
    </row>
    <row r="510" spans="5:6" x14ac:dyDescent="0.2">
      <c r="E510">
        <v>496</v>
      </c>
      <c r="F510" s="1">
        <v>-45248405.789554954</v>
      </c>
    </row>
    <row r="511" spans="5:6" x14ac:dyDescent="0.2">
      <c r="E511">
        <v>497</v>
      </c>
      <c r="F511" s="1">
        <v>-1850159.9999524355</v>
      </c>
    </row>
    <row r="512" spans="5:6" x14ac:dyDescent="0.2">
      <c r="E512">
        <v>498</v>
      </c>
      <c r="F512" s="1">
        <v>19675832.63352406</v>
      </c>
    </row>
    <row r="513" spans="5:6" x14ac:dyDescent="0.2">
      <c r="E513">
        <v>499</v>
      </c>
      <c r="F513" s="1">
        <v>-23471311.994727135</v>
      </c>
    </row>
    <row r="514" spans="5:6" x14ac:dyDescent="0.2">
      <c r="E514">
        <v>500</v>
      </c>
      <c r="F514" s="1">
        <v>-61505132.135235667</v>
      </c>
    </row>
    <row r="515" spans="5:6" x14ac:dyDescent="0.2">
      <c r="E515">
        <v>501</v>
      </c>
      <c r="F515" s="1">
        <v>44975163.126216173</v>
      </c>
    </row>
    <row r="516" spans="5:6" x14ac:dyDescent="0.2">
      <c r="E516">
        <v>502</v>
      </c>
      <c r="F516" s="1">
        <v>-146153687.4503448</v>
      </c>
    </row>
    <row r="517" spans="5:6" x14ac:dyDescent="0.2">
      <c r="E517">
        <v>503</v>
      </c>
      <c r="F517" s="1">
        <v>20663736.36553359</v>
      </c>
    </row>
    <row r="518" spans="5:6" x14ac:dyDescent="0.2">
      <c r="E518">
        <v>504</v>
      </c>
      <c r="F518" s="1">
        <v>-129096733.44723558</v>
      </c>
    </row>
    <row r="519" spans="5:6" x14ac:dyDescent="0.2">
      <c r="E519">
        <v>505</v>
      </c>
      <c r="F519" s="1">
        <v>-36365403.727007747</v>
      </c>
    </row>
    <row r="520" spans="5:6" x14ac:dyDescent="0.2">
      <c r="E520">
        <v>506</v>
      </c>
      <c r="F520" s="1">
        <v>-254370423.36420774</v>
      </c>
    </row>
    <row r="521" spans="5:6" x14ac:dyDescent="0.2">
      <c r="E521">
        <v>507</v>
      </c>
      <c r="F521" s="1">
        <v>3729280.9993207455</v>
      </c>
    </row>
    <row r="522" spans="5:6" x14ac:dyDescent="0.2">
      <c r="E522">
        <v>508</v>
      </c>
      <c r="F522" s="1">
        <v>-166259435.69598913</v>
      </c>
    </row>
    <row r="523" spans="5:6" x14ac:dyDescent="0.2">
      <c r="E523">
        <v>509</v>
      </c>
      <c r="F523" s="1">
        <v>-5896712.3825968504</v>
      </c>
    </row>
    <row r="524" spans="5:6" x14ac:dyDescent="0.2">
      <c r="E524">
        <v>510</v>
      </c>
      <c r="F524" s="1">
        <v>111414650.90299189</v>
      </c>
    </row>
    <row r="525" spans="5:6" x14ac:dyDescent="0.2">
      <c r="E525">
        <v>511</v>
      </c>
      <c r="F525" s="1">
        <v>-176861138.50060499</v>
      </c>
    </row>
    <row r="526" spans="5:6" x14ac:dyDescent="0.2">
      <c r="E526">
        <v>512</v>
      </c>
      <c r="F526" s="1">
        <v>-67177670.083378434</v>
      </c>
    </row>
    <row r="527" spans="5:6" x14ac:dyDescent="0.2">
      <c r="E527">
        <v>513</v>
      </c>
      <c r="F527" s="1">
        <v>24908124.680672407</v>
      </c>
    </row>
    <row r="528" spans="5:6" x14ac:dyDescent="0.2">
      <c r="E528">
        <v>514</v>
      </c>
      <c r="F528" s="1">
        <v>67142409.871219277</v>
      </c>
    </row>
    <row r="529" spans="5:6" x14ac:dyDescent="0.2">
      <c r="E529">
        <v>515</v>
      </c>
      <c r="F529" s="1">
        <v>1960046.75195086</v>
      </c>
    </row>
    <row r="530" spans="5:6" x14ac:dyDescent="0.2">
      <c r="E530">
        <v>516</v>
      </c>
      <c r="F530" s="1">
        <v>-247419486.20499647</v>
      </c>
    </row>
    <row r="531" spans="5:6" x14ac:dyDescent="0.2">
      <c r="E531">
        <v>517</v>
      </c>
      <c r="F531" s="1">
        <v>68330411.881971359</v>
      </c>
    </row>
    <row r="532" spans="5:6" x14ac:dyDescent="0.2">
      <c r="E532">
        <v>518</v>
      </c>
      <c r="F532" s="1">
        <v>21262850.705067277</v>
      </c>
    </row>
    <row r="533" spans="5:6" x14ac:dyDescent="0.2">
      <c r="E533">
        <v>519</v>
      </c>
      <c r="F533" s="1">
        <v>-89946890.480598569</v>
      </c>
    </row>
    <row r="534" spans="5:6" x14ac:dyDescent="0.2">
      <c r="E534">
        <v>520</v>
      </c>
      <c r="F534" s="1">
        <v>129267797.39105117</v>
      </c>
    </row>
    <row r="535" spans="5:6" x14ac:dyDescent="0.2">
      <c r="E535">
        <v>521</v>
      </c>
      <c r="F535" s="1">
        <v>11440454.423802018</v>
      </c>
    </row>
    <row r="536" spans="5:6" x14ac:dyDescent="0.2">
      <c r="E536">
        <v>522</v>
      </c>
      <c r="F536" s="1">
        <v>-21338043.269170761</v>
      </c>
    </row>
    <row r="537" spans="5:6" x14ac:dyDescent="0.2">
      <c r="E537">
        <v>523</v>
      </c>
      <c r="F537" s="1">
        <v>68808767.754507661</v>
      </c>
    </row>
    <row r="538" spans="5:6" x14ac:dyDescent="0.2">
      <c r="E538">
        <v>524</v>
      </c>
      <c r="F538" s="1">
        <v>57237172.996189475</v>
      </c>
    </row>
    <row r="539" spans="5:6" x14ac:dyDescent="0.2">
      <c r="E539">
        <v>525</v>
      </c>
      <c r="F539" s="1">
        <v>-75646190.305940151</v>
      </c>
    </row>
    <row r="540" spans="5:6" x14ac:dyDescent="0.2">
      <c r="E540">
        <v>526</v>
      </c>
      <c r="F540" s="1">
        <v>-105526686.10107732</v>
      </c>
    </row>
    <row r="541" spans="5:6" x14ac:dyDescent="0.2">
      <c r="E541">
        <v>527</v>
      </c>
      <c r="F541" s="1">
        <v>16917521.469032526</v>
      </c>
    </row>
    <row r="542" spans="5:6" x14ac:dyDescent="0.2">
      <c r="E542">
        <v>528</v>
      </c>
      <c r="F542" s="1">
        <v>60121529.356980085</v>
      </c>
    </row>
    <row r="543" spans="5:6" x14ac:dyDescent="0.2">
      <c r="E543">
        <v>529</v>
      </c>
      <c r="F543" s="1">
        <v>51287472.015460849</v>
      </c>
    </row>
    <row r="544" spans="5:6" x14ac:dyDescent="0.2">
      <c r="E544">
        <v>530</v>
      </c>
      <c r="F544" s="1">
        <v>-42839019.650437593</v>
      </c>
    </row>
    <row r="545" spans="5:6" x14ac:dyDescent="0.2">
      <c r="E545">
        <v>531</v>
      </c>
      <c r="F545" s="1">
        <v>61196205.266484022</v>
      </c>
    </row>
    <row r="546" spans="5:6" x14ac:dyDescent="0.2">
      <c r="E546">
        <v>532</v>
      </c>
      <c r="F546" s="1">
        <v>19891377.073158741</v>
      </c>
    </row>
    <row r="547" spans="5:6" x14ac:dyDescent="0.2">
      <c r="E547">
        <v>533</v>
      </c>
      <c r="F547" s="1">
        <v>-5972794.7170710564</v>
      </c>
    </row>
    <row r="548" spans="5:6" x14ac:dyDescent="0.2">
      <c r="E548">
        <v>534</v>
      </c>
      <c r="F548" s="1">
        <v>28290287.285717249</v>
      </c>
    </row>
    <row r="549" spans="5:6" x14ac:dyDescent="0.2">
      <c r="E549">
        <v>535</v>
      </c>
      <c r="F549" s="1">
        <v>-68212870.562650323</v>
      </c>
    </row>
    <row r="550" spans="5:6" x14ac:dyDescent="0.2">
      <c r="E550">
        <v>536</v>
      </c>
      <c r="F550" s="1">
        <v>28599639.048999071</v>
      </c>
    </row>
    <row r="551" spans="5:6" x14ac:dyDescent="0.2">
      <c r="E551">
        <v>537</v>
      </c>
      <c r="F551" s="1">
        <v>-272037458.41131902</v>
      </c>
    </row>
    <row r="552" spans="5:6" x14ac:dyDescent="0.2">
      <c r="E552">
        <v>538</v>
      </c>
      <c r="F552" s="1">
        <v>-198162231.58644938</v>
      </c>
    </row>
    <row r="553" spans="5:6" x14ac:dyDescent="0.2">
      <c r="E553">
        <v>539</v>
      </c>
      <c r="F553" s="1">
        <v>-118746189.70124042</v>
      </c>
    </row>
    <row r="554" spans="5:6" x14ac:dyDescent="0.2">
      <c r="E554">
        <v>540</v>
      </c>
      <c r="F554" s="1">
        <v>-183678701.84123909</v>
      </c>
    </row>
    <row r="555" spans="5:6" x14ac:dyDescent="0.2">
      <c r="E555">
        <v>541</v>
      </c>
      <c r="F555" s="1">
        <v>-64059189.069378734</v>
      </c>
    </row>
    <row r="556" spans="5:6" x14ac:dyDescent="0.2">
      <c r="E556">
        <v>542</v>
      </c>
      <c r="F556" s="1">
        <v>-220016751.8974489</v>
      </c>
    </row>
    <row r="557" spans="5:6" x14ac:dyDescent="0.2">
      <c r="E557">
        <v>543</v>
      </c>
      <c r="F557" s="1">
        <v>74282849.96540308</v>
      </c>
    </row>
    <row r="558" spans="5:6" x14ac:dyDescent="0.2">
      <c r="E558">
        <v>544</v>
      </c>
      <c r="F558" s="1">
        <v>-141301444.20149064</v>
      </c>
    </row>
    <row r="559" spans="5:6" x14ac:dyDescent="0.2">
      <c r="E559">
        <v>545</v>
      </c>
      <c r="F559" s="1">
        <v>43300717.448892474</v>
      </c>
    </row>
    <row r="560" spans="5:6" x14ac:dyDescent="0.2">
      <c r="E560">
        <v>546</v>
      </c>
      <c r="F560" s="1">
        <v>75932911.379479289</v>
      </c>
    </row>
    <row r="561" spans="5:6" x14ac:dyDescent="0.2">
      <c r="E561">
        <v>547</v>
      </c>
      <c r="F561" s="1">
        <v>-195285056.5835427</v>
      </c>
    </row>
    <row r="562" spans="5:6" x14ac:dyDescent="0.2">
      <c r="E562">
        <v>548</v>
      </c>
      <c r="F562" s="1">
        <v>102935802.14774132</v>
      </c>
    </row>
    <row r="563" spans="5:6" x14ac:dyDescent="0.2">
      <c r="E563">
        <v>549</v>
      </c>
      <c r="F563" s="1">
        <v>49380480.61724174</v>
      </c>
    </row>
    <row r="564" spans="5:6" x14ac:dyDescent="0.2">
      <c r="E564">
        <v>550</v>
      </c>
      <c r="F564" s="1">
        <v>-142847581.79064417</v>
      </c>
    </row>
    <row r="565" spans="5:6" x14ac:dyDescent="0.2">
      <c r="E565">
        <v>551</v>
      </c>
      <c r="F565" s="1">
        <v>-168305284.63240433</v>
      </c>
    </row>
    <row r="566" spans="5:6" x14ac:dyDescent="0.2">
      <c r="E566">
        <v>552</v>
      </c>
      <c r="F566" s="1">
        <v>-1787772.0423783064</v>
      </c>
    </row>
    <row r="567" spans="5:6" x14ac:dyDescent="0.2">
      <c r="E567">
        <v>553</v>
      </c>
      <c r="F567" s="1">
        <v>-132621928.73817778</v>
      </c>
    </row>
    <row r="568" spans="5:6" x14ac:dyDescent="0.2">
      <c r="E568">
        <v>554</v>
      </c>
      <c r="F568" s="1">
        <v>22599931.07758677</v>
      </c>
    </row>
    <row r="569" spans="5:6" x14ac:dyDescent="0.2">
      <c r="E569">
        <v>555</v>
      </c>
      <c r="F569" s="1">
        <v>-206419415.25933814</v>
      </c>
    </row>
    <row r="570" spans="5:6" x14ac:dyDescent="0.2">
      <c r="E570">
        <v>556</v>
      </c>
      <c r="F570" s="1">
        <v>-20274417.602783322</v>
      </c>
    </row>
    <row r="571" spans="5:6" x14ac:dyDescent="0.2">
      <c r="E571">
        <v>557</v>
      </c>
      <c r="F571" s="1">
        <v>94300266.805428028</v>
      </c>
    </row>
    <row r="572" spans="5:6" x14ac:dyDescent="0.2">
      <c r="E572">
        <v>558</v>
      </c>
      <c r="F572" s="1">
        <v>-65632963.968834877</v>
      </c>
    </row>
    <row r="573" spans="5:6" x14ac:dyDescent="0.2">
      <c r="E573">
        <v>559</v>
      </c>
      <c r="F573" s="1">
        <v>-41480152.207714915</v>
      </c>
    </row>
    <row r="574" spans="5:6" x14ac:dyDescent="0.2">
      <c r="E574">
        <v>560</v>
      </c>
      <c r="F574" s="1">
        <v>-161062047.17370439</v>
      </c>
    </row>
    <row r="575" spans="5:6" x14ac:dyDescent="0.2">
      <c r="E575">
        <v>561</v>
      </c>
      <c r="F575" s="1">
        <v>-43971713.691261888</v>
      </c>
    </row>
    <row r="576" spans="5:6" x14ac:dyDescent="0.2">
      <c r="E576">
        <v>562</v>
      </c>
      <c r="F576" s="1">
        <v>-182700983.58354247</v>
      </c>
    </row>
    <row r="577" spans="5:6" x14ac:dyDescent="0.2">
      <c r="E577">
        <v>563</v>
      </c>
      <c r="F577" s="1">
        <v>-2938619.4125885963</v>
      </c>
    </row>
    <row r="578" spans="5:6" x14ac:dyDescent="0.2">
      <c r="E578">
        <v>564</v>
      </c>
      <c r="F578" s="1">
        <v>37803510.781929255</v>
      </c>
    </row>
    <row r="579" spans="5:6" x14ac:dyDescent="0.2">
      <c r="E579">
        <v>565</v>
      </c>
      <c r="F579" s="1">
        <v>-194561165.79276383</v>
      </c>
    </row>
    <row r="580" spans="5:6" x14ac:dyDescent="0.2">
      <c r="E580">
        <v>566</v>
      </c>
      <c r="F580" s="1">
        <v>21558479.333194733</v>
      </c>
    </row>
    <row r="581" spans="5:6" x14ac:dyDescent="0.2">
      <c r="E581">
        <v>567</v>
      </c>
      <c r="F581" s="1">
        <v>-185175788.12711906</v>
      </c>
    </row>
    <row r="582" spans="5:6" x14ac:dyDescent="0.2">
      <c r="E582">
        <v>568</v>
      </c>
      <c r="F582" s="1">
        <v>-74374735.278661966</v>
      </c>
    </row>
    <row r="583" spans="5:6" x14ac:dyDescent="0.2">
      <c r="E583">
        <v>569</v>
      </c>
      <c r="F583" s="1">
        <v>-153648973.79519594</v>
      </c>
    </row>
    <row r="584" spans="5:6" x14ac:dyDescent="0.2">
      <c r="E584">
        <v>570</v>
      </c>
      <c r="F584" s="1">
        <v>-202695109.51629317</v>
      </c>
    </row>
    <row r="585" spans="5:6" x14ac:dyDescent="0.2">
      <c r="E585">
        <v>571</v>
      </c>
      <c r="F585" s="1">
        <v>13121444.948022962</v>
      </c>
    </row>
    <row r="586" spans="5:6" x14ac:dyDescent="0.2">
      <c r="E586">
        <v>572</v>
      </c>
      <c r="F586" s="1">
        <v>-257521964.82937348</v>
      </c>
    </row>
    <row r="587" spans="5:6" x14ac:dyDescent="0.2">
      <c r="E587">
        <v>573</v>
      </c>
      <c r="F587" s="1">
        <v>-15405117.410603046</v>
      </c>
    </row>
    <row r="588" spans="5:6" x14ac:dyDescent="0.2">
      <c r="E588">
        <v>574</v>
      </c>
      <c r="F588" s="1">
        <v>-114028758.12362742</v>
      </c>
    </row>
    <row r="589" spans="5:6" x14ac:dyDescent="0.2">
      <c r="E589">
        <v>575</v>
      </c>
      <c r="F589" s="1">
        <v>120661584.40526557</v>
      </c>
    </row>
    <row r="590" spans="5:6" x14ac:dyDescent="0.2">
      <c r="E590">
        <v>576</v>
      </c>
      <c r="F590" s="1">
        <v>-19481838.613977313</v>
      </c>
    </row>
    <row r="591" spans="5:6" x14ac:dyDescent="0.2">
      <c r="E591">
        <v>577</v>
      </c>
      <c r="F591" s="1">
        <v>14829777.66760087</v>
      </c>
    </row>
    <row r="592" spans="5:6" x14ac:dyDescent="0.2">
      <c r="E592">
        <v>578</v>
      </c>
      <c r="F592" s="1">
        <v>-180723831.47536004</v>
      </c>
    </row>
    <row r="593" spans="5:6" x14ac:dyDescent="0.2">
      <c r="E593">
        <v>579</v>
      </c>
      <c r="F593" s="1">
        <v>39344572.542586684</v>
      </c>
    </row>
    <row r="594" spans="5:6" x14ac:dyDescent="0.2">
      <c r="E594">
        <v>580</v>
      </c>
      <c r="F594" s="1">
        <v>-42099473.111823797</v>
      </c>
    </row>
    <row r="595" spans="5:6" x14ac:dyDescent="0.2">
      <c r="E595">
        <v>581</v>
      </c>
      <c r="F595" s="1">
        <v>105232626.96071959</v>
      </c>
    </row>
    <row r="596" spans="5:6" x14ac:dyDescent="0.2">
      <c r="E596">
        <v>582</v>
      </c>
      <c r="F596" s="1">
        <v>-156148777.78490877</v>
      </c>
    </row>
    <row r="597" spans="5:6" x14ac:dyDescent="0.2">
      <c r="E597">
        <v>583</v>
      </c>
      <c r="F597" s="1">
        <v>31112883.499986291</v>
      </c>
    </row>
    <row r="598" spans="5:6" x14ac:dyDescent="0.2">
      <c r="E598">
        <v>584</v>
      </c>
      <c r="F598" s="1">
        <v>-39225228.305880308</v>
      </c>
    </row>
    <row r="599" spans="5:6" x14ac:dyDescent="0.2">
      <c r="E599">
        <v>585</v>
      </c>
      <c r="F599" s="1">
        <v>-64928990.178106427</v>
      </c>
    </row>
    <row r="600" spans="5:6" x14ac:dyDescent="0.2">
      <c r="E600">
        <v>586</v>
      </c>
      <c r="F600" s="1">
        <v>-56130770.709715247</v>
      </c>
    </row>
    <row r="601" spans="5:6" x14ac:dyDescent="0.2">
      <c r="E601">
        <v>587</v>
      </c>
      <c r="F601" s="1">
        <v>92458804.054398417</v>
      </c>
    </row>
    <row r="602" spans="5:6" x14ac:dyDescent="0.2">
      <c r="E602">
        <v>588</v>
      </c>
      <c r="F602" s="1">
        <v>-54085654.99735105</v>
      </c>
    </row>
    <row r="603" spans="5:6" x14ac:dyDescent="0.2">
      <c r="E603">
        <v>589</v>
      </c>
      <c r="F603" s="1">
        <v>-97025253.45664537</v>
      </c>
    </row>
    <row r="604" spans="5:6" x14ac:dyDescent="0.2">
      <c r="E604">
        <v>590</v>
      </c>
      <c r="F604" s="1">
        <v>-142127753.95668554</v>
      </c>
    </row>
    <row r="605" spans="5:6" x14ac:dyDescent="0.2">
      <c r="E605">
        <v>591</v>
      </c>
      <c r="F605" s="1">
        <v>15658824.565915585</v>
      </c>
    </row>
    <row r="606" spans="5:6" x14ac:dyDescent="0.2">
      <c r="E606">
        <v>592</v>
      </c>
      <c r="F606" s="1">
        <v>-229496226.54950857</v>
      </c>
    </row>
    <row r="607" spans="5:6" x14ac:dyDescent="0.2">
      <c r="E607">
        <v>593</v>
      </c>
      <c r="F607" s="1">
        <v>32923337.495205164</v>
      </c>
    </row>
    <row r="608" spans="5:6" x14ac:dyDescent="0.2">
      <c r="E608">
        <v>594</v>
      </c>
      <c r="F608" s="1">
        <v>-66666242.010397673</v>
      </c>
    </row>
    <row r="609" spans="5:6" x14ac:dyDescent="0.2">
      <c r="E609">
        <v>595</v>
      </c>
      <c r="F609" s="1">
        <v>519254.67962872982</v>
      </c>
    </row>
    <row r="610" spans="5:6" x14ac:dyDescent="0.2">
      <c r="E610">
        <v>596</v>
      </c>
      <c r="F610" s="1">
        <v>14744195.513779402</v>
      </c>
    </row>
    <row r="611" spans="5:6" x14ac:dyDescent="0.2">
      <c r="E611">
        <v>597</v>
      </c>
      <c r="F611" s="1">
        <v>24220627.320828557</v>
      </c>
    </row>
    <row r="612" spans="5:6" x14ac:dyDescent="0.2">
      <c r="E612">
        <v>598</v>
      </c>
      <c r="F612" s="1">
        <v>-173073432.95780623</v>
      </c>
    </row>
    <row r="613" spans="5:6" x14ac:dyDescent="0.2">
      <c r="E613">
        <v>599</v>
      </c>
      <c r="F613" s="1">
        <v>-50999174.971946836</v>
      </c>
    </row>
    <row r="614" spans="5:6" x14ac:dyDescent="0.2">
      <c r="E614">
        <v>600</v>
      </c>
      <c r="F614" s="1">
        <v>-19605171.158688188</v>
      </c>
    </row>
    <row r="615" spans="5:6" x14ac:dyDescent="0.2">
      <c r="E615">
        <v>601</v>
      </c>
      <c r="F615" s="1">
        <v>-50351770.063910842</v>
      </c>
    </row>
    <row r="616" spans="5:6" x14ac:dyDescent="0.2">
      <c r="E616">
        <v>602</v>
      </c>
      <c r="F616" s="1">
        <v>-47158904.287666559</v>
      </c>
    </row>
    <row r="617" spans="5:6" x14ac:dyDescent="0.2">
      <c r="E617">
        <v>603</v>
      </c>
      <c r="F617" s="1">
        <v>-170221499.75034022</v>
      </c>
    </row>
    <row r="618" spans="5:6" x14ac:dyDescent="0.2">
      <c r="E618">
        <v>604</v>
      </c>
      <c r="F618" s="1">
        <v>-237357649.40743184</v>
      </c>
    </row>
    <row r="619" spans="5:6" x14ac:dyDescent="0.2">
      <c r="E619">
        <v>605</v>
      </c>
      <c r="F619" s="1">
        <v>12330585.761677027</v>
      </c>
    </row>
    <row r="620" spans="5:6" x14ac:dyDescent="0.2">
      <c r="E620">
        <v>606</v>
      </c>
      <c r="F620" s="1">
        <v>-4565095.0411165953</v>
      </c>
    </row>
    <row r="621" spans="5:6" x14ac:dyDescent="0.2">
      <c r="E621">
        <v>607</v>
      </c>
      <c r="F621" s="1">
        <v>51284736.340951443</v>
      </c>
    </row>
    <row r="622" spans="5:6" x14ac:dyDescent="0.2">
      <c r="E622">
        <v>608</v>
      </c>
      <c r="F622" s="1">
        <v>-25605188.09668982</v>
      </c>
    </row>
    <row r="623" spans="5:6" x14ac:dyDescent="0.2">
      <c r="E623">
        <v>609</v>
      </c>
      <c r="F623" s="1">
        <v>55399628.640105844</v>
      </c>
    </row>
    <row r="624" spans="5:6" x14ac:dyDescent="0.2">
      <c r="E624">
        <v>610</v>
      </c>
      <c r="F624" s="1">
        <v>37082134.032730341</v>
      </c>
    </row>
    <row r="625" spans="5:6" x14ac:dyDescent="0.2">
      <c r="E625">
        <v>611</v>
      </c>
      <c r="F625" s="1">
        <v>-2378489.7475044727</v>
      </c>
    </row>
    <row r="626" spans="5:6" x14ac:dyDescent="0.2">
      <c r="E626">
        <v>612</v>
      </c>
      <c r="F626" s="1">
        <v>63450762.283697248</v>
      </c>
    </row>
    <row r="627" spans="5:6" x14ac:dyDescent="0.2">
      <c r="E627">
        <v>613</v>
      </c>
      <c r="F627" s="1">
        <v>-57632909.741689324</v>
      </c>
    </row>
    <row r="628" spans="5:6" x14ac:dyDescent="0.2">
      <c r="E628">
        <v>614</v>
      </c>
      <c r="F628" s="1">
        <v>-208676229.22040987</v>
      </c>
    </row>
    <row r="629" spans="5:6" x14ac:dyDescent="0.2">
      <c r="E629">
        <v>615</v>
      </c>
      <c r="F629" s="1">
        <v>-291800022.43076563</v>
      </c>
    </row>
    <row r="630" spans="5:6" x14ac:dyDescent="0.2">
      <c r="E630">
        <v>616</v>
      </c>
      <c r="F630" s="1">
        <v>-48344676.190997362</v>
      </c>
    </row>
    <row r="631" spans="5:6" x14ac:dyDescent="0.2">
      <c r="E631">
        <v>617</v>
      </c>
      <c r="F631" s="1">
        <v>-169840027.63373959</v>
      </c>
    </row>
    <row r="632" spans="5:6" x14ac:dyDescent="0.2">
      <c r="E632">
        <v>618</v>
      </c>
      <c r="F632" s="1">
        <v>-33908914.468630672</v>
      </c>
    </row>
    <row r="633" spans="5:6" x14ac:dyDescent="0.2">
      <c r="E633">
        <v>619</v>
      </c>
      <c r="F633" s="1">
        <v>-156374984.14791083</v>
      </c>
    </row>
    <row r="634" spans="5:6" x14ac:dyDescent="0.2">
      <c r="E634">
        <v>620</v>
      </c>
      <c r="F634" s="1">
        <v>-97311745.133624673</v>
      </c>
    </row>
    <row r="635" spans="5:6" x14ac:dyDescent="0.2">
      <c r="E635">
        <v>621</v>
      </c>
      <c r="F635" s="1">
        <v>24071149.846111774</v>
      </c>
    </row>
    <row r="636" spans="5:6" x14ac:dyDescent="0.2">
      <c r="E636">
        <v>622</v>
      </c>
      <c r="F636" s="1">
        <v>-173219786.41233158</v>
      </c>
    </row>
    <row r="637" spans="5:6" x14ac:dyDescent="0.2">
      <c r="E637">
        <v>623</v>
      </c>
      <c r="F637" s="1">
        <v>-237996955.0363282</v>
      </c>
    </row>
    <row r="638" spans="5:6" x14ac:dyDescent="0.2">
      <c r="E638">
        <v>624</v>
      </c>
      <c r="F638" s="1">
        <v>-19209051.374053001</v>
      </c>
    </row>
    <row r="639" spans="5:6" x14ac:dyDescent="0.2">
      <c r="E639">
        <v>625</v>
      </c>
      <c r="F639" s="1">
        <v>-169900412.23918879</v>
      </c>
    </row>
    <row r="640" spans="5:6" x14ac:dyDescent="0.2">
      <c r="E640">
        <v>626</v>
      </c>
      <c r="F640" s="1">
        <v>-35246943.053609729</v>
      </c>
    </row>
    <row r="641" spans="5:6" x14ac:dyDescent="0.2">
      <c r="E641">
        <v>627</v>
      </c>
      <c r="F641" s="1">
        <v>-7621781.7207767963</v>
      </c>
    </row>
    <row r="642" spans="5:6" x14ac:dyDescent="0.2">
      <c r="E642">
        <v>628</v>
      </c>
      <c r="F642" s="1">
        <v>-40047891.619140625</v>
      </c>
    </row>
    <row r="643" spans="5:6" x14ac:dyDescent="0.2">
      <c r="E643">
        <v>629</v>
      </c>
      <c r="F643" s="1">
        <v>5961004.0507405996</v>
      </c>
    </row>
    <row r="644" spans="5:6" x14ac:dyDescent="0.2">
      <c r="E644">
        <v>630</v>
      </c>
      <c r="F644" s="1">
        <v>-164650826.13060331</v>
      </c>
    </row>
    <row r="645" spans="5:6" x14ac:dyDescent="0.2">
      <c r="E645">
        <v>631</v>
      </c>
      <c r="F645" s="1">
        <v>18106927.778820872</v>
      </c>
    </row>
    <row r="646" spans="5:6" x14ac:dyDescent="0.2">
      <c r="E646">
        <v>632</v>
      </c>
      <c r="F646" s="1">
        <v>-13915822.41757822</v>
      </c>
    </row>
    <row r="647" spans="5:6" x14ac:dyDescent="0.2">
      <c r="E647">
        <v>633</v>
      </c>
      <c r="F647" s="1">
        <v>-50370669.342051268</v>
      </c>
    </row>
    <row r="648" spans="5:6" x14ac:dyDescent="0.2">
      <c r="E648">
        <v>634</v>
      </c>
      <c r="F648" s="1">
        <v>-124167929.4413197</v>
      </c>
    </row>
    <row r="649" spans="5:6" x14ac:dyDescent="0.2">
      <c r="E649">
        <v>635</v>
      </c>
      <c r="F649" s="1">
        <v>-51053594.823818088</v>
      </c>
    </row>
    <row r="650" spans="5:6" x14ac:dyDescent="0.2">
      <c r="E650">
        <v>636</v>
      </c>
      <c r="F650" s="1">
        <v>-21750304.512098074</v>
      </c>
    </row>
    <row r="651" spans="5:6" x14ac:dyDescent="0.2">
      <c r="E651">
        <v>637</v>
      </c>
      <c r="F651" s="1">
        <v>-62777196.532588363</v>
      </c>
    </row>
    <row r="652" spans="5:6" x14ac:dyDescent="0.2">
      <c r="E652">
        <v>638</v>
      </c>
      <c r="F652" s="1">
        <v>-204567989.38047433</v>
      </c>
    </row>
    <row r="653" spans="5:6" x14ac:dyDescent="0.2">
      <c r="E653">
        <v>639</v>
      </c>
      <c r="F653" s="1">
        <v>-190737073.47662103</v>
      </c>
    </row>
    <row r="654" spans="5:6" x14ac:dyDescent="0.2">
      <c r="E654">
        <v>640</v>
      </c>
      <c r="F654" s="1">
        <v>64155126.687336445</v>
      </c>
    </row>
    <row r="655" spans="5:6" x14ac:dyDescent="0.2">
      <c r="E655">
        <v>641</v>
      </c>
      <c r="F655" s="1">
        <v>10575337.820612431</v>
      </c>
    </row>
    <row r="656" spans="5:6" x14ac:dyDescent="0.2">
      <c r="E656">
        <v>642</v>
      </c>
      <c r="F656" s="1">
        <v>-17581836.818406463</v>
      </c>
    </row>
    <row r="657" spans="5:6" x14ac:dyDescent="0.2">
      <c r="E657">
        <v>643</v>
      </c>
      <c r="F657" s="1">
        <v>-225631159.35269666</v>
      </c>
    </row>
    <row r="658" spans="5:6" x14ac:dyDescent="0.2">
      <c r="E658">
        <v>644</v>
      </c>
      <c r="F658" s="1">
        <v>-190388966.09566152</v>
      </c>
    </row>
    <row r="659" spans="5:6" x14ac:dyDescent="0.2">
      <c r="E659">
        <v>645</v>
      </c>
      <c r="F659" s="1">
        <v>78473763.642880082</v>
      </c>
    </row>
    <row r="660" spans="5:6" x14ac:dyDescent="0.2">
      <c r="E660">
        <v>646</v>
      </c>
      <c r="F660" s="1">
        <v>-164216958.52060878</v>
      </c>
    </row>
    <row r="661" spans="5:6" x14ac:dyDescent="0.2">
      <c r="E661">
        <v>647</v>
      </c>
      <c r="F661" s="1">
        <v>-5671919.3070534468</v>
      </c>
    </row>
    <row r="662" spans="5:6" x14ac:dyDescent="0.2">
      <c r="E662">
        <v>648</v>
      </c>
      <c r="F662" s="1">
        <v>-27386160.968430161</v>
      </c>
    </row>
    <row r="663" spans="5:6" x14ac:dyDescent="0.2">
      <c r="E663">
        <v>649</v>
      </c>
      <c r="F663" s="1">
        <v>99532570.080085993</v>
      </c>
    </row>
    <row r="664" spans="5:6" x14ac:dyDescent="0.2">
      <c r="E664">
        <v>650</v>
      </c>
      <c r="F664" s="1">
        <v>-184121894.19939065</v>
      </c>
    </row>
    <row r="665" spans="5:6" x14ac:dyDescent="0.2">
      <c r="E665">
        <v>651</v>
      </c>
      <c r="F665" s="1">
        <v>-51800210.416267037</v>
      </c>
    </row>
    <row r="666" spans="5:6" x14ac:dyDescent="0.2">
      <c r="E666">
        <v>652</v>
      </c>
      <c r="F666" s="1">
        <v>-174361905.48660517</v>
      </c>
    </row>
    <row r="667" spans="5:6" x14ac:dyDescent="0.2">
      <c r="E667">
        <v>653</v>
      </c>
      <c r="F667" s="1">
        <v>-179125601.66287053</v>
      </c>
    </row>
    <row r="668" spans="5:6" x14ac:dyDescent="0.2">
      <c r="E668">
        <v>654</v>
      </c>
      <c r="F668" s="1">
        <v>2794439.0872395039</v>
      </c>
    </row>
    <row r="669" spans="5:6" x14ac:dyDescent="0.2">
      <c r="E669">
        <v>655</v>
      </c>
      <c r="F669" s="1">
        <v>-91729989.09801054</v>
      </c>
    </row>
    <row r="670" spans="5:6" x14ac:dyDescent="0.2">
      <c r="E670">
        <v>656</v>
      </c>
      <c r="F670" s="1">
        <v>79197117.44223845</v>
      </c>
    </row>
    <row r="671" spans="5:6" x14ac:dyDescent="0.2">
      <c r="E671">
        <v>657</v>
      </c>
      <c r="F671" s="1">
        <v>24305102.51083684</v>
      </c>
    </row>
    <row r="672" spans="5:6" x14ac:dyDescent="0.2">
      <c r="E672">
        <v>658</v>
      </c>
      <c r="F672" s="1">
        <v>15863847.044822097</v>
      </c>
    </row>
    <row r="673" spans="5:6" x14ac:dyDescent="0.2">
      <c r="E673">
        <v>659</v>
      </c>
      <c r="F673" s="1">
        <v>-36591866.234302282</v>
      </c>
    </row>
    <row r="674" spans="5:6" x14ac:dyDescent="0.2">
      <c r="E674">
        <v>660</v>
      </c>
      <c r="F674" s="1">
        <v>128911897.81904566</v>
      </c>
    </row>
    <row r="675" spans="5:6" x14ac:dyDescent="0.2">
      <c r="E675">
        <v>661</v>
      </c>
      <c r="F675" s="1">
        <v>-93610107.944746494</v>
      </c>
    </row>
    <row r="676" spans="5:6" x14ac:dyDescent="0.2">
      <c r="E676">
        <v>662</v>
      </c>
      <c r="F676" s="1">
        <v>51967338.561559439</v>
      </c>
    </row>
    <row r="677" spans="5:6" x14ac:dyDescent="0.2">
      <c r="E677">
        <v>663</v>
      </c>
      <c r="F677" s="1">
        <v>-189594395.24183083</v>
      </c>
    </row>
    <row r="678" spans="5:6" x14ac:dyDescent="0.2">
      <c r="E678">
        <v>664</v>
      </c>
      <c r="F678" s="1">
        <v>64357170.41962862</v>
      </c>
    </row>
    <row r="679" spans="5:6" x14ac:dyDescent="0.2">
      <c r="E679">
        <v>665</v>
      </c>
      <c r="F679" s="1">
        <v>-52312060.850244403</v>
      </c>
    </row>
    <row r="680" spans="5:6" x14ac:dyDescent="0.2">
      <c r="E680">
        <v>666</v>
      </c>
      <c r="F680" s="1">
        <v>-72304976.363153815</v>
      </c>
    </row>
    <row r="681" spans="5:6" x14ac:dyDescent="0.2">
      <c r="E681">
        <v>667</v>
      </c>
      <c r="F681" s="1">
        <v>88453365.683472276</v>
      </c>
    </row>
    <row r="682" spans="5:6" x14ac:dyDescent="0.2">
      <c r="E682">
        <v>668</v>
      </c>
      <c r="F682" s="1">
        <v>46154381.10463047</v>
      </c>
    </row>
    <row r="683" spans="5:6" x14ac:dyDescent="0.2">
      <c r="E683">
        <v>669</v>
      </c>
      <c r="F683" s="1">
        <v>-48053136.131364584</v>
      </c>
    </row>
    <row r="684" spans="5:6" x14ac:dyDescent="0.2">
      <c r="E684">
        <v>670</v>
      </c>
      <c r="F684" s="1">
        <v>25159616.59236002</v>
      </c>
    </row>
    <row r="685" spans="5:6" x14ac:dyDescent="0.2">
      <c r="E685">
        <v>671</v>
      </c>
      <c r="F685" s="1">
        <v>-224012191.1305939</v>
      </c>
    </row>
    <row r="686" spans="5:6" x14ac:dyDescent="0.2">
      <c r="E686">
        <v>672</v>
      </c>
      <c r="F686" s="1">
        <v>-51127113.008353829</v>
      </c>
    </row>
    <row r="687" spans="5:6" x14ac:dyDescent="0.2">
      <c r="E687">
        <v>673</v>
      </c>
      <c r="F687" s="1">
        <v>14336208.223347783</v>
      </c>
    </row>
    <row r="688" spans="5:6" x14ac:dyDescent="0.2">
      <c r="E688">
        <v>674</v>
      </c>
      <c r="F688" s="1">
        <v>6004061.1511843204</v>
      </c>
    </row>
    <row r="689" spans="5:6" x14ac:dyDescent="0.2">
      <c r="E689">
        <v>675</v>
      </c>
      <c r="F689" s="1">
        <v>34581319.916479945</v>
      </c>
    </row>
    <row r="690" spans="5:6" x14ac:dyDescent="0.2">
      <c r="E690">
        <v>676</v>
      </c>
      <c r="F690" s="1">
        <v>-25489232.746417403</v>
      </c>
    </row>
    <row r="691" spans="5:6" x14ac:dyDescent="0.2">
      <c r="E691">
        <v>677</v>
      </c>
      <c r="F691" s="1">
        <v>-53746717.548408151</v>
      </c>
    </row>
    <row r="692" spans="5:6" x14ac:dyDescent="0.2">
      <c r="E692">
        <v>678</v>
      </c>
      <c r="F692" s="1">
        <v>34064665.510570884</v>
      </c>
    </row>
    <row r="693" spans="5:6" x14ac:dyDescent="0.2">
      <c r="E693">
        <v>679</v>
      </c>
      <c r="F693" s="1">
        <v>-171472992.56494701</v>
      </c>
    </row>
    <row r="694" spans="5:6" x14ac:dyDescent="0.2">
      <c r="E694">
        <v>680</v>
      </c>
      <c r="F694" s="1">
        <v>-29952160.273574114</v>
      </c>
    </row>
    <row r="695" spans="5:6" x14ac:dyDescent="0.2">
      <c r="E695">
        <v>681</v>
      </c>
      <c r="F695" s="1">
        <v>-27319739.852061749</v>
      </c>
    </row>
    <row r="696" spans="5:6" x14ac:dyDescent="0.2">
      <c r="E696">
        <v>682</v>
      </c>
      <c r="F696" s="1">
        <v>279425.10802781582</v>
      </c>
    </row>
    <row r="697" spans="5:6" x14ac:dyDescent="0.2">
      <c r="E697">
        <v>683</v>
      </c>
      <c r="F697" s="1">
        <v>-213033155.12590468</v>
      </c>
    </row>
    <row r="698" spans="5:6" x14ac:dyDescent="0.2">
      <c r="E698">
        <v>684</v>
      </c>
      <c r="F698" s="1">
        <v>-208381958.91522312</v>
      </c>
    </row>
    <row r="699" spans="5:6" x14ac:dyDescent="0.2">
      <c r="E699">
        <v>685</v>
      </c>
      <c r="F699" s="1">
        <v>82244810.937260509</v>
      </c>
    </row>
    <row r="700" spans="5:6" x14ac:dyDescent="0.2">
      <c r="E700">
        <v>686</v>
      </c>
      <c r="F700" s="1">
        <v>-12433176.112704873</v>
      </c>
    </row>
    <row r="701" spans="5:6" x14ac:dyDescent="0.2">
      <c r="E701">
        <v>687</v>
      </c>
      <c r="F701" s="1">
        <v>-176226399.03638852</v>
      </c>
    </row>
    <row r="702" spans="5:6" x14ac:dyDescent="0.2">
      <c r="E702">
        <v>688</v>
      </c>
      <c r="F702" s="1">
        <v>-143805246.8494767</v>
      </c>
    </row>
    <row r="703" spans="5:6" x14ac:dyDescent="0.2">
      <c r="E703">
        <v>689</v>
      </c>
      <c r="F703" s="1">
        <v>-49523262.572518826</v>
      </c>
    </row>
    <row r="704" spans="5:6" x14ac:dyDescent="0.2">
      <c r="E704">
        <v>690</v>
      </c>
      <c r="F704" s="1">
        <v>-75117362.143769383</v>
      </c>
    </row>
    <row r="705" spans="5:6" x14ac:dyDescent="0.2">
      <c r="E705">
        <v>691</v>
      </c>
      <c r="F705" s="1">
        <v>14192651.786226749</v>
      </c>
    </row>
    <row r="706" spans="5:6" x14ac:dyDescent="0.2">
      <c r="E706">
        <v>692</v>
      </c>
      <c r="F706" s="1">
        <v>-223105421.16758299</v>
      </c>
    </row>
    <row r="707" spans="5:6" x14ac:dyDescent="0.2">
      <c r="E707">
        <v>693</v>
      </c>
      <c r="F707" s="1">
        <v>139740704.62917697</v>
      </c>
    </row>
    <row r="708" spans="5:6" x14ac:dyDescent="0.2">
      <c r="E708">
        <v>694</v>
      </c>
      <c r="F708" s="1">
        <v>-80220458.878636479</v>
      </c>
    </row>
    <row r="709" spans="5:6" x14ac:dyDescent="0.2">
      <c r="E709">
        <v>695</v>
      </c>
      <c r="F709" s="1">
        <v>-93303944.213491201</v>
      </c>
    </row>
    <row r="710" spans="5:6" x14ac:dyDescent="0.2">
      <c r="E710">
        <v>696</v>
      </c>
      <c r="F710" s="1">
        <v>-231050842.21533132</v>
      </c>
    </row>
    <row r="711" spans="5:6" x14ac:dyDescent="0.2">
      <c r="E711">
        <v>697</v>
      </c>
      <c r="F711" s="1">
        <v>-149468828.93082809</v>
      </c>
    </row>
    <row r="712" spans="5:6" x14ac:dyDescent="0.2">
      <c r="E712">
        <v>698</v>
      </c>
      <c r="F712" s="1">
        <v>-47589870.910248876</v>
      </c>
    </row>
    <row r="713" spans="5:6" x14ac:dyDescent="0.2">
      <c r="E713">
        <v>699</v>
      </c>
      <c r="F713" s="1">
        <v>-63906020.306775212</v>
      </c>
    </row>
    <row r="714" spans="5:6" x14ac:dyDescent="0.2">
      <c r="E714">
        <v>700</v>
      </c>
      <c r="F714" s="1">
        <v>-9641167.3184673786</v>
      </c>
    </row>
    <row r="715" spans="5:6" x14ac:dyDescent="0.2">
      <c r="E715">
        <v>701</v>
      </c>
      <c r="F715" s="1">
        <v>-2254049.1185921431</v>
      </c>
    </row>
    <row r="716" spans="5:6" x14ac:dyDescent="0.2">
      <c r="E716">
        <v>702</v>
      </c>
      <c r="F716" s="1">
        <v>-136572807.34224868</v>
      </c>
    </row>
    <row r="717" spans="5:6" x14ac:dyDescent="0.2">
      <c r="E717">
        <v>703</v>
      </c>
      <c r="F717" s="1">
        <v>-76788272.935867429</v>
      </c>
    </row>
    <row r="718" spans="5:6" x14ac:dyDescent="0.2">
      <c r="E718">
        <v>704</v>
      </c>
      <c r="F718" s="1">
        <v>-97835149.5300529</v>
      </c>
    </row>
    <row r="719" spans="5:6" x14ac:dyDescent="0.2">
      <c r="E719">
        <v>705</v>
      </c>
      <c r="F719" s="1">
        <v>-23231670.813515902</v>
      </c>
    </row>
    <row r="720" spans="5:6" x14ac:dyDescent="0.2">
      <c r="E720">
        <v>706</v>
      </c>
      <c r="F720" s="1">
        <v>-98777089.912339807</v>
      </c>
    </row>
    <row r="721" spans="5:6" x14ac:dyDescent="0.2">
      <c r="E721">
        <v>707</v>
      </c>
      <c r="F721" s="1">
        <v>-139179056.7717005</v>
      </c>
    </row>
    <row r="722" spans="5:6" x14ac:dyDescent="0.2">
      <c r="E722">
        <v>708</v>
      </c>
      <c r="F722" s="1">
        <v>-66092910.631075025</v>
      </c>
    </row>
    <row r="723" spans="5:6" x14ac:dyDescent="0.2">
      <c r="E723">
        <v>709</v>
      </c>
      <c r="F723" s="1">
        <v>-148817771.60381842</v>
      </c>
    </row>
    <row r="724" spans="5:6" x14ac:dyDescent="0.2">
      <c r="E724">
        <v>710</v>
      </c>
      <c r="F724" s="1">
        <v>-5634290.8434226513</v>
      </c>
    </row>
    <row r="725" spans="5:6" x14ac:dyDescent="0.2">
      <c r="E725">
        <v>711</v>
      </c>
      <c r="F725" s="1">
        <v>-238870376.31717193</v>
      </c>
    </row>
    <row r="726" spans="5:6" x14ac:dyDescent="0.2">
      <c r="E726">
        <v>712</v>
      </c>
      <c r="F726" s="1">
        <v>109356499.687415</v>
      </c>
    </row>
    <row r="727" spans="5:6" x14ac:dyDescent="0.2">
      <c r="E727">
        <v>713</v>
      </c>
      <c r="F727" s="1">
        <v>74077273.343019962</v>
      </c>
    </row>
    <row r="728" spans="5:6" x14ac:dyDescent="0.2">
      <c r="E728">
        <v>714</v>
      </c>
      <c r="F728" s="1">
        <v>-125735166.16338551</v>
      </c>
    </row>
    <row r="729" spans="5:6" x14ac:dyDescent="0.2">
      <c r="E729">
        <v>715</v>
      </c>
      <c r="F729" s="1">
        <v>32252028.054266691</v>
      </c>
    </row>
    <row r="730" spans="5:6" x14ac:dyDescent="0.2">
      <c r="E730">
        <v>716</v>
      </c>
      <c r="F730" s="1">
        <v>33402833.045996785</v>
      </c>
    </row>
    <row r="731" spans="5:6" x14ac:dyDescent="0.2">
      <c r="E731">
        <v>717</v>
      </c>
      <c r="F731" s="1">
        <v>-159295941.24321079</v>
      </c>
    </row>
    <row r="732" spans="5:6" x14ac:dyDescent="0.2">
      <c r="E732">
        <v>718</v>
      </c>
      <c r="F732" s="1">
        <v>27120442.796558142</v>
      </c>
    </row>
    <row r="733" spans="5:6" x14ac:dyDescent="0.2">
      <c r="E733">
        <v>719</v>
      </c>
      <c r="F733" s="1">
        <v>40284457.29835701</v>
      </c>
    </row>
    <row r="734" spans="5:6" x14ac:dyDescent="0.2">
      <c r="E734">
        <v>720</v>
      </c>
      <c r="F734" s="1">
        <v>14034839.526554585</v>
      </c>
    </row>
    <row r="735" spans="5:6" x14ac:dyDescent="0.2">
      <c r="E735">
        <v>721</v>
      </c>
      <c r="F735" s="1">
        <v>28146203.681351542</v>
      </c>
    </row>
    <row r="736" spans="5:6" x14ac:dyDescent="0.2">
      <c r="E736">
        <v>722</v>
      </c>
      <c r="F736" s="1">
        <v>-87760264.200978279</v>
      </c>
    </row>
    <row r="737" spans="5:6" x14ac:dyDescent="0.2">
      <c r="E737">
        <v>723</v>
      </c>
      <c r="F737" s="1">
        <v>24212905.972045183</v>
      </c>
    </row>
    <row r="738" spans="5:6" x14ac:dyDescent="0.2">
      <c r="E738">
        <v>724</v>
      </c>
      <c r="F738" s="1">
        <v>20119597.857461333</v>
      </c>
    </row>
    <row r="739" spans="5:6" x14ac:dyDescent="0.2">
      <c r="E739">
        <v>725</v>
      </c>
      <c r="F739" s="1">
        <v>-23847965.088398814</v>
      </c>
    </row>
    <row r="740" spans="5:6" x14ac:dyDescent="0.2">
      <c r="E740">
        <v>726</v>
      </c>
      <c r="F740" s="1">
        <v>17573733.055619836</v>
      </c>
    </row>
    <row r="741" spans="5:6" x14ac:dyDescent="0.2">
      <c r="E741">
        <v>727</v>
      </c>
      <c r="F741" s="1">
        <v>32507325.822848678</v>
      </c>
    </row>
    <row r="742" spans="5:6" x14ac:dyDescent="0.2">
      <c r="E742">
        <v>728</v>
      </c>
      <c r="F742" s="1">
        <v>17257284.437296867</v>
      </c>
    </row>
    <row r="743" spans="5:6" x14ac:dyDescent="0.2">
      <c r="E743">
        <v>729</v>
      </c>
      <c r="F743" s="1">
        <v>-1649058.7342582941</v>
      </c>
    </row>
    <row r="744" spans="5:6" x14ac:dyDescent="0.2">
      <c r="E744">
        <v>730</v>
      </c>
      <c r="F744" s="1">
        <v>-201353514.53869164</v>
      </c>
    </row>
    <row r="745" spans="5:6" x14ac:dyDescent="0.2">
      <c r="E745">
        <v>731</v>
      </c>
      <c r="F745" s="1">
        <v>-89492645.609573483</v>
      </c>
    </row>
    <row r="746" spans="5:6" x14ac:dyDescent="0.2">
      <c r="E746">
        <v>732</v>
      </c>
      <c r="F746" s="1">
        <v>-125540124.7715373</v>
      </c>
    </row>
    <row r="747" spans="5:6" x14ac:dyDescent="0.2">
      <c r="E747">
        <v>733</v>
      </c>
      <c r="F747" s="1">
        <v>58282383.075179458</v>
      </c>
    </row>
    <row r="748" spans="5:6" x14ac:dyDescent="0.2">
      <c r="E748">
        <v>734</v>
      </c>
      <c r="F748" s="1">
        <v>22274609.30368197</v>
      </c>
    </row>
    <row r="749" spans="5:6" x14ac:dyDescent="0.2">
      <c r="E749">
        <v>735</v>
      </c>
      <c r="F749" s="1">
        <v>54148116.075106263</v>
      </c>
    </row>
    <row r="750" spans="5:6" x14ac:dyDescent="0.2">
      <c r="E750">
        <v>736</v>
      </c>
      <c r="F750" s="1">
        <v>-23124568.142176509</v>
      </c>
    </row>
    <row r="751" spans="5:6" x14ac:dyDescent="0.2">
      <c r="E751">
        <v>737</v>
      </c>
      <c r="F751" s="1">
        <v>43688025.945062757</v>
      </c>
    </row>
    <row r="752" spans="5:6" x14ac:dyDescent="0.2">
      <c r="E752">
        <v>738</v>
      </c>
      <c r="F752" s="1">
        <v>87696879.352002025</v>
      </c>
    </row>
    <row r="753" spans="5:6" x14ac:dyDescent="0.2">
      <c r="E753">
        <v>739</v>
      </c>
      <c r="F753" s="1">
        <v>52147258.482851624</v>
      </c>
    </row>
    <row r="754" spans="5:6" x14ac:dyDescent="0.2">
      <c r="E754">
        <v>740</v>
      </c>
      <c r="F754" s="1">
        <v>-182990545.00225008</v>
      </c>
    </row>
    <row r="755" spans="5:6" x14ac:dyDescent="0.2">
      <c r="E755">
        <v>741</v>
      </c>
      <c r="F755" s="1">
        <v>24118938.35062933</v>
      </c>
    </row>
    <row r="756" spans="5:6" x14ac:dyDescent="0.2">
      <c r="E756">
        <v>742</v>
      </c>
      <c r="F756" s="1">
        <v>25852414.328217864</v>
      </c>
    </row>
    <row r="757" spans="5:6" x14ac:dyDescent="0.2">
      <c r="E757">
        <v>743</v>
      </c>
      <c r="F757" s="1">
        <v>-16861580.853153467</v>
      </c>
    </row>
    <row r="758" spans="5:6" x14ac:dyDescent="0.2">
      <c r="E758">
        <v>744</v>
      </c>
      <c r="F758" s="1">
        <v>-112863339.58727765</v>
      </c>
    </row>
    <row r="759" spans="5:6" x14ac:dyDescent="0.2">
      <c r="E759">
        <v>745</v>
      </c>
      <c r="F759" s="1">
        <v>63480240.18012321</v>
      </c>
    </row>
    <row r="760" spans="5:6" x14ac:dyDescent="0.2">
      <c r="E760">
        <v>746</v>
      </c>
      <c r="F760" s="1">
        <v>-231041852.92513978</v>
      </c>
    </row>
    <row r="761" spans="5:6" x14ac:dyDescent="0.2">
      <c r="E761">
        <v>747</v>
      </c>
      <c r="F761" s="1">
        <v>-155444231.84941232</v>
      </c>
    </row>
    <row r="762" spans="5:6" x14ac:dyDescent="0.2">
      <c r="E762">
        <v>748</v>
      </c>
      <c r="F762" s="1">
        <v>21375013.515386462</v>
      </c>
    </row>
    <row r="763" spans="5:6" x14ac:dyDescent="0.2">
      <c r="E763">
        <v>749</v>
      </c>
      <c r="F763" s="1">
        <v>-69026226.617853284</v>
      </c>
    </row>
    <row r="764" spans="5:6" x14ac:dyDescent="0.2">
      <c r="E764">
        <v>750</v>
      </c>
      <c r="F764" s="1">
        <v>4252772.8187625408</v>
      </c>
    </row>
    <row r="765" spans="5:6" x14ac:dyDescent="0.2">
      <c r="E765">
        <v>751</v>
      </c>
      <c r="F765" s="1">
        <v>57242876.469386578</v>
      </c>
    </row>
    <row r="766" spans="5:6" x14ac:dyDescent="0.2">
      <c r="E766">
        <v>752</v>
      </c>
      <c r="F766" s="1">
        <v>14609980.75213027</v>
      </c>
    </row>
    <row r="767" spans="5:6" x14ac:dyDescent="0.2">
      <c r="E767">
        <v>753</v>
      </c>
      <c r="F767" s="1">
        <v>69494238.428654313</v>
      </c>
    </row>
    <row r="768" spans="5:6" x14ac:dyDescent="0.2">
      <c r="E768">
        <v>754</v>
      </c>
      <c r="F768" s="1">
        <v>99670240.005839586</v>
      </c>
    </row>
    <row r="769" spans="5:6" x14ac:dyDescent="0.2">
      <c r="E769">
        <v>755</v>
      </c>
      <c r="F769" s="1">
        <v>-39581463.748071313</v>
      </c>
    </row>
    <row r="770" spans="5:6" x14ac:dyDescent="0.2">
      <c r="E770">
        <v>756</v>
      </c>
      <c r="F770" s="1">
        <v>-148171518.56082642</v>
      </c>
    </row>
    <row r="771" spans="5:6" x14ac:dyDescent="0.2">
      <c r="E771">
        <v>757</v>
      </c>
      <c r="F771" s="1">
        <v>-3100640.2800006866</v>
      </c>
    </row>
    <row r="772" spans="5:6" x14ac:dyDescent="0.2">
      <c r="E772">
        <v>758</v>
      </c>
      <c r="F772" s="1">
        <v>-218691616.70972574</v>
      </c>
    </row>
    <row r="773" spans="5:6" x14ac:dyDescent="0.2">
      <c r="E773">
        <v>759</v>
      </c>
      <c r="F773" s="1">
        <v>10883494.65571332</v>
      </c>
    </row>
    <row r="774" spans="5:6" x14ac:dyDescent="0.2">
      <c r="E774">
        <v>760</v>
      </c>
      <c r="F774" s="1">
        <v>-21695754.639353514</v>
      </c>
    </row>
    <row r="775" spans="5:6" x14ac:dyDescent="0.2">
      <c r="E775">
        <v>761</v>
      </c>
      <c r="F775" s="1">
        <v>-180088651.50077009</v>
      </c>
    </row>
    <row r="776" spans="5:6" x14ac:dyDescent="0.2">
      <c r="E776">
        <v>762</v>
      </c>
      <c r="F776" s="1">
        <v>-23160663.346143246</v>
      </c>
    </row>
    <row r="777" spans="5:6" x14ac:dyDescent="0.2">
      <c r="E777">
        <v>763</v>
      </c>
      <c r="F777" s="1">
        <v>-201719547.83533525</v>
      </c>
    </row>
    <row r="778" spans="5:6" x14ac:dyDescent="0.2">
      <c r="E778">
        <v>764</v>
      </c>
      <c r="F778" s="1">
        <v>62467504.878793359</v>
      </c>
    </row>
    <row r="779" spans="5:6" x14ac:dyDescent="0.2">
      <c r="E779">
        <v>765</v>
      </c>
      <c r="F779" s="1">
        <v>-180844020.82889509</v>
      </c>
    </row>
    <row r="780" spans="5:6" x14ac:dyDescent="0.2">
      <c r="E780">
        <v>766</v>
      </c>
      <c r="F780" s="1">
        <v>-79798046.215242505</v>
      </c>
    </row>
    <row r="781" spans="5:6" x14ac:dyDescent="0.2">
      <c r="E781">
        <v>767</v>
      </c>
      <c r="F781" s="1">
        <v>-183955490.37624562</v>
      </c>
    </row>
    <row r="782" spans="5:6" x14ac:dyDescent="0.2">
      <c r="E782">
        <v>768</v>
      </c>
      <c r="F782" s="1">
        <v>-208414507.78379202</v>
      </c>
    </row>
    <row r="783" spans="5:6" x14ac:dyDescent="0.2">
      <c r="E783">
        <v>769</v>
      </c>
      <c r="F783" s="1">
        <v>-16647418.645518303</v>
      </c>
    </row>
    <row r="784" spans="5:6" x14ac:dyDescent="0.2">
      <c r="E784">
        <v>770</v>
      </c>
      <c r="F784" s="1">
        <v>86210413.104332447</v>
      </c>
    </row>
    <row r="785" spans="5:6" x14ac:dyDescent="0.2">
      <c r="E785">
        <v>771</v>
      </c>
      <c r="F785" s="1">
        <v>79121692.595016122</v>
      </c>
    </row>
    <row r="786" spans="5:6" x14ac:dyDescent="0.2">
      <c r="E786">
        <v>772</v>
      </c>
      <c r="F786" s="1">
        <v>-45556205.530211687</v>
      </c>
    </row>
    <row r="787" spans="5:6" x14ac:dyDescent="0.2">
      <c r="E787">
        <v>773</v>
      </c>
      <c r="F787" s="1">
        <v>-18755769.361180544</v>
      </c>
    </row>
    <row r="788" spans="5:6" x14ac:dyDescent="0.2">
      <c r="E788">
        <v>774</v>
      </c>
      <c r="F788" s="1">
        <v>-29590106.054260254</v>
      </c>
    </row>
    <row r="789" spans="5:6" x14ac:dyDescent="0.2">
      <c r="E789">
        <v>775</v>
      </c>
      <c r="F789" s="1">
        <v>-128741328.57887149</v>
      </c>
    </row>
    <row r="790" spans="5:6" x14ac:dyDescent="0.2">
      <c r="E790">
        <v>776</v>
      </c>
      <c r="F790" s="1">
        <v>52749863.706297874</v>
      </c>
    </row>
    <row r="791" spans="5:6" x14ac:dyDescent="0.2">
      <c r="E791">
        <v>777</v>
      </c>
      <c r="F791" s="1">
        <v>-186118505.19063461</v>
      </c>
    </row>
    <row r="792" spans="5:6" x14ac:dyDescent="0.2">
      <c r="E792">
        <v>778</v>
      </c>
      <c r="F792" s="1">
        <v>-9977109.9084451199</v>
      </c>
    </row>
    <row r="793" spans="5:6" x14ac:dyDescent="0.2">
      <c r="E793">
        <v>779</v>
      </c>
      <c r="F793" s="1">
        <v>-56449024.312351942</v>
      </c>
    </row>
    <row r="794" spans="5:6" x14ac:dyDescent="0.2">
      <c r="E794">
        <v>780</v>
      </c>
      <c r="F794" s="1">
        <v>20459711.012872219</v>
      </c>
    </row>
    <row r="795" spans="5:6" x14ac:dyDescent="0.2">
      <c r="E795">
        <v>781</v>
      </c>
      <c r="F795" s="1">
        <v>-55241713.482171297</v>
      </c>
    </row>
    <row r="796" spans="5:6" x14ac:dyDescent="0.2">
      <c r="E796">
        <v>782</v>
      </c>
      <c r="F796" s="1">
        <v>-48826469.567622066</v>
      </c>
    </row>
    <row r="797" spans="5:6" x14ac:dyDescent="0.2">
      <c r="E797">
        <v>783</v>
      </c>
      <c r="F797" s="1">
        <v>-2709300.6723265648</v>
      </c>
    </row>
    <row r="798" spans="5:6" x14ac:dyDescent="0.2">
      <c r="E798">
        <v>784</v>
      </c>
      <c r="F798" s="1">
        <v>-125545251.50452149</v>
      </c>
    </row>
    <row r="799" spans="5:6" x14ac:dyDescent="0.2">
      <c r="E799">
        <v>785</v>
      </c>
      <c r="F799" s="1">
        <v>-22540555.706094503</v>
      </c>
    </row>
    <row r="800" spans="5:6" x14ac:dyDescent="0.2">
      <c r="E800">
        <v>786</v>
      </c>
      <c r="F800" s="1">
        <v>-270859924.69036436</v>
      </c>
    </row>
    <row r="801" spans="5:6" x14ac:dyDescent="0.2">
      <c r="E801">
        <v>787</v>
      </c>
      <c r="F801" s="1">
        <v>-114617052.92076528</v>
      </c>
    </row>
    <row r="802" spans="5:6" x14ac:dyDescent="0.2">
      <c r="E802">
        <v>788</v>
      </c>
      <c r="F802" s="1">
        <v>-227508136.67173088</v>
      </c>
    </row>
    <row r="803" spans="5:6" x14ac:dyDescent="0.2">
      <c r="E803">
        <v>789</v>
      </c>
      <c r="F803" s="1">
        <v>76653947.707150698</v>
      </c>
    </row>
    <row r="804" spans="5:6" x14ac:dyDescent="0.2">
      <c r="E804">
        <v>790</v>
      </c>
      <c r="F804" s="1">
        <v>945804.32560193539</v>
      </c>
    </row>
    <row r="805" spans="5:6" x14ac:dyDescent="0.2">
      <c r="E805">
        <v>791</v>
      </c>
      <c r="F805" s="1">
        <v>29018815.790277958</v>
      </c>
    </row>
    <row r="806" spans="5:6" x14ac:dyDescent="0.2">
      <c r="E806">
        <v>792</v>
      </c>
      <c r="F806" s="1">
        <v>4246992.1702920198</v>
      </c>
    </row>
    <row r="807" spans="5:6" x14ac:dyDescent="0.2">
      <c r="E807">
        <v>793</v>
      </c>
      <c r="F807" s="1">
        <v>-51546787.747814417</v>
      </c>
    </row>
    <row r="808" spans="5:6" x14ac:dyDescent="0.2">
      <c r="E808">
        <v>794</v>
      </c>
      <c r="F808" s="1">
        <v>-8143177.0446382761</v>
      </c>
    </row>
    <row r="809" spans="5:6" x14ac:dyDescent="0.2">
      <c r="E809">
        <v>795</v>
      </c>
      <c r="F809" s="1">
        <v>75269439.345461726</v>
      </c>
    </row>
    <row r="810" spans="5:6" x14ac:dyDescent="0.2">
      <c r="E810">
        <v>796</v>
      </c>
      <c r="F810" s="1">
        <v>-32110831.125055313</v>
      </c>
    </row>
    <row r="811" spans="5:6" x14ac:dyDescent="0.2">
      <c r="E811">
        <v>797</v>
      </c>
      <c r="F811" s="1">
        <v>-18441978.00350976</v>
      </c>
    </row>
    <row r="812" spans="5:6" x14ac:dyDescent="0.2">
      <c r="E812">
        <v>798</v>
      </c>
      <c r="F812" s="1">
        <v>-64019260.501817584</v>
      </c>
    </row>
    <row r="813" spans="5:6" x14ac:dyDescent="0.2">
      <c r="E813">
        <v>799</v>
      </c>
      <c r="F813" s="1">
        <v>-32632279.034488678</v>
      </c>
    </row>
    <row r="814" spans="5:6" x14ac:dyDescent="0.2">
      <c r="E814">
        <v>800</v>
      </c>
      <c r="F814" s="1">
        <v>39786084.169819117</v>
      </c>
    </row>
    <row r="815" spans="5:6" x14ac:dyDescent="0.2">
      <c r="E815">
        <v>801</v>
      </c>
      <c r="F815" s="1">
        <v>15765196.73577559</v>
      </c>
    </row>
    <row r="816" spans="5:6" x14ac:dyDescent="0.2">
      <c r="E816">
        <v>802</v>
      </c>
      <c r="F816" s="1">
        <v>-180932787.12484002</v>
      </c>
    </row>
    <row r="817" spans="5:6" x14ac:dyDescent="0.2">
      <c r="E817">
        <v>803</v>
      </c>
      <c r="F817" s="1">
        <v>-45239516.91912508</v>
      </c>
    </row>
    <row r="818" spans="5:6" x14ac:dyDescent="0.2">
      <c r="E818">
        <v>804</v>
      </c>
      <c r="F818" s="1">
        <v>-81563680.93682766</v>
      </c>
    </row>
    <row r="819" spans="5:6" x14ac:dyDescent="0.2">
      <c r="E819">
        <v>805</v>
      </c>
      <c r="F819" s="1">
        <v>-62570291.325687289</v>
      </c>
    </row>
    <row r="820" spans="5:6" x14ac:dyDescent="0.2">
      <c r="E820">
        <v>806</v>
      </c>
      <c r="F820" s="1">
        <v>-17983047.183237076</v>
      </c>
    </row>
    <row r="821" spans="5:6" x14ac:dyDescent="0.2">
      <c r="E821">
        <v>807</v>
      </c>
      <c r="F821" s="1">
        <v>-186864672.21206927</v>
      </c>
    </row>
    <row r="822" spans="5:6" x14ac:dyDescent="0.2">
      <c r="E822">
        <v>808</v>
      </c>
      <c r="F822" s="1">
        <v>-14076149.032978296</v>
      </c>
    </row>
    <row r="823" spans="5:6" x14ac:dyDescent="0.2">
      <c r="E823">
        <v>809</v>
      </c>
      <c r="F823" s="1">
        <v>-40563520.944482923</v>
      </c>
    </row>
    <row r="824" spans="5:6" x14ac:dyDescent="0.2">
      <c r="E824">
        <v>810</v>
      </c>
      <c r="F824" s="1">
        <v>-3880527.7990238667</v>
      </c>
    </row>
    <row r="825" spans="5:6" x14ac:dyDescent="0.2">
      <c r="E825">
        <v>811</v>
      </c>
      <c r="F825" s="1">
        <v>-10586098.277478456</v>
      </c>
    </row>
    <row r="826" spans="5:6" x14ac:dyDescent="0.2">
      <c r="E826">
        <v>812</v>
      </c>
      <c r="F826" s="1">
        <v>50670608.65346241</v>
      </c>
    </row>
    <row r="827" spans="5:6" x14ac:dyDescent="0.2">
      <c r="E827">
        <v>813</v>
      </c>
      <c r="F827" s="1">
        <v>-35937008.048148274</v>
      </c>
    </row>
    <row r="828" spans="5:6" x14ac:dyDescent="0.2">
      <c r="E828">
        <v>814</v>
      </c>
      <c r="F828" s="1">
        <v>4566214.1667728424</v>
      </c>
    </row>
    <row r="829" spans="5:6" x14ac:dyDescent="0.2">
      <c r="E829">
        <v>815</v>
      </c>
      <c r="F829" s="1">
        <v>68054150.921227217</v>
      </c>
    </row>
    <row r="830" spans="5:6" x14ac:dyDescent="0.2">
      <c r="E830">
        <v>816</v>
      </c>
      <c r="F830" s="1">
        <v>-35113955.059296131</v>
      </c>
    </row>
    <row r="831" spans="5:6" x14ac:dyDescent="0.2">
      <c r="E831">
        <v>817</v>
      </c>
      <c r="F831" s="1">
        <v>-28550912.431274891</v>
      </c>
    </row>
    <row r="832" spans="5:6" x14ac:dyDescent="0.2">
      <c r="E832">
        <v>818</v>
      </c>
      <c r="F832" s="1">
        <v>-142372693.71643555</v>
      </c>
    </row>
    <row r="833" spans="5:6" x14ac:dyDescent="0.2">
      <c r="E833">
        <v>819</v>
      </c>
      <c r="F833" s="1">
        <v>61708622.886569858</v>
      </c>
    </row>
    <row r="834" spans="5:6" x14ac:dyDescent="0.2">
      <c r="E834">
        <v>820</v>
      </c>
      <c r="F834" s="1">
        <v>-209644554.38960552</v>
      </c>
    </row>
    <row r="835" spans="5:6" x14ac:dyDescent="0.2">
      <c r="E835">
        <v>821</v>
      </c>
      <c r="F835" s="1">
        <v>-39204532.178096056</v>
      </c>
    </row>
    <row r="836" spans="5:6" x14ac:dyDescent="0.2">
      <c r="E836">
        <v>822</v>
      </c>
      <c r="F836" s="1">
        <v>51691439.45713973</v>
      </c>
    </row>
    <row r="837" spans="5:6" x14ac:dyDescent="0.2">
      <c r="E837">
        <v>823</v>
      </c>
      <c r="F837" s="1">
        <v>-246696601.04689443</v>
      </c>
    </row>
    <row r="838" spans="5:6" x14ac:dyDescent="0.2">
      <c r="E838">
        <v>824</v>
      </c>
      <c r="F838" s="1">
        <v>-55819208.369965315</v>
      </c>
    </row>
    <row r="839" spans="5:6" x14ac:dyDescent="0.2">
      <c r="E839">
        <v>825</v>
      </c>
      <c r="F839" s="1">
        <v>-139011108.34219944</v>
      </c>
    </row>
    <row r="840" spans="5:6" x14ac:dyDescent="0.2">
      <c r="E840">
        <v>826</v>
      </c>
      <c r="F840" s="1">
        <v>7172822.8356488943</v>
      </c>
    </row>
    <row r="841" spans="5:6" x14ac:dyDescent="0.2">
      <c r="E841">
        <v>827</v>
      </c>
      <c r="F841" s="1">
        <v>-241254429.28193271</v>
      </c>
    </row>
    <row r="842" spans="5:6" x14ac:dyDescent="0.2">
      <c r="E842">
        <v>828</v>
      </c>
      <c r="F842" s="1">
        <v>33088000.682557464</v>
      </c>
    </row>
    <row r="843" spans="5:6" x14ac:dyDescent="0.2">
      <c r="E843">
        <v>829</v>
      </c>
      <c r="F843" s="1">
        <v>-58297475.67991066</v>
      </c>
    </row>
    <row r="844" spans="5:6" x14ac:dyDescent="0.2">
      <c r="E844">
        <v>830</v>
      </c>
      <c r="F844" s="1">
        <v>20093170.951766253</v>
      </c>
    </row>
    <row r="845" spans="5:6" x14ac:dyDescent="0.2">
      <c r="E845">
        <v>831</v>
      </c>
      <c r="F845" s="1">
        <v>-45697781.466584682</v>
      </c>
    </row>
    <row r="846" spans="5:6" x14ac:dyDescent="0.2">
      <c r="E846">
        <v>832</v>
      </c>
      <c r="F846" s="1">
        <v>89360465.654672623</v>
      </c>
    </row>
    <row r="847" spans="5:6" x14ac:dyDescent="0.2">
      <c r="E847">
        <v>833</v>
      </c>
      <c r="F847" s="1">
        <v>-222462954.5573647</v>
      </c>
    </row>
    <row r="848" spans="5:6" x14ac:dyDescent="0.2">
      <c r="E848">
        <v>834</v>
      </c>
      <c r="F848" s="1">
        <v>-247119111.89920413</v>
      </c>
    </row>
    <row r="849" spans="5:6" x14ac:dyDescent="0.2">
      <c r="E849">
        <v>835</v>
      </c>
      <c r="F849" s="1">
        <v>-164527350.91116393</v>
      </c>
    </row>
    <row r="850" spans="5:6" x14ac:dyDescent="0.2">
      <c r="E850">
        <v>836</v>
      </c>
      <c r="F850" s="1">
        <v>-143615505.12120211</v>
      </c>
    </row>
    <row r="851" spans="5:6" x14ac:dyDescent="0.2">
      <c r="E851">
        <v>837</v>
      </c>
      <c r="F851" s="1">
        <v>-45114481.102879167</v>
      </c>
    </row>
    <row r="852" spans="5:6" x14ac:dyDescent="0.2">
      <c r="E852">
        <v>838</v>
      </c>
      <c r="F852" s="1">
        <v>-159437904.98027766</v>
      </c>
    </row>
    <row r="853" spans="5:6" x14ac:dyDescent="0.2">
      <c r="E853">
        <v>839</v>
      </c>
      <c r="F853" s="1">
        <v>-54406411.25652349</v>
      </c>
    </row>
    <row r="854" spans="5:6" x14ac:dyDescent="0.2">
      <c r="E854">
        <v>840</v>
      </c>
      <c r="F854" s="1">
        <v>-41352358.30543673</v>
      </c>
    </row>
    <row r="855" spans="5:6" x14ac:dyDescent="0.2">
      <c r="E855">
        <v>841</v>
      </c>
      <c r="F855" s="1">
        <v>82242086.863610029</v>
      </c>
    </row>
    <row r="856" spans="5:6" x14ac:dyDescent="0.2">
      <c r="E856">
        <v>842</v>
      </c>
      <c r="F856" s="1">
        <v>-60513750.350230217</v>
      </c>
    </row>
    <row r="857" spans="5:6" x14ac:dyDescent="0.2">
      <c r="E857">
        <v>843</v>
      </c>
      <c r="F857" s="1">
        <v>66117183.743281245</v>
      </c>
    </row>
    <row r="858" spans="5:6" x14ac:dyDescent="0.2">
      <c r="E858">
        <v>844</v>
      </c>
      <c r="F858" s="1">
        <v>59321223.656433463</v>
      </c>
    </row>
    <row r="859" spans="5:6" x14ac:dyDescent="0.2">
      <c r="E859">
        <v>845</v>
      </c>
      <c r="F859" s="1">
        <v>-4648103.7129260302</v>
      </c>
    </row>
    <row r="860" spans="5:6" x14ac:dyDescent="0.2">
      <c r="E860">
        <v>846</v>
      </c>
      <c r="F860" s="1">
        <v>-105132209.08691037</v>
      </c>
    </row>
    <row r="861" spans="5:6" x14ac:dyDescent="0.2">
      <c r="E861">
        <v>847</v>
      </c>
      <c r="F861" s="1">
        <v>6252284.5208866596</v>
      </c>
    </row>
    <row r="862" spans="5:6" x14ac:dyDescent="0.2">
      <c r="E862">
        <v>848</v>
      </c>
      <c r="F862" s="1">
        <v>-25534333.800635338</v>
      </c>
    </row>
    <row r="863" spans="5:6" x14ac:dyDescent="0.2">
      <c r="E863">
        <v>849</v>
      </c>
      <c r="F863" s="1">
        <v>15282694.303145289</v>
      </c>
    </row>
    <row r="864" spans="5:6" x14ac:dyDescent="0.2">
      <c r="E864">
        <v>850</v>
      </c>
      <c r="F864" s="1">
        <v>13512586.566512227</v>
      </c>
    </row>
    <row r="865" spans="5:6" x14ac:dyDescent="0.2">
      <c r="E865">
        <v>851</v>
      </c>
      <c r="F865" s="1">
        <v>-30823898.842087984</v>
      </c>
    </row>
    <row r="866" spans="5:6" x14ac:dyDescent="0.2">
      <c r="E866">
        <v>852</v>
      </c>
      <c r="F866" s="1">
        <v>-169720442.63834584</v>
      </c>
    </row>
    <row r="867" spans="5:6" x14ac:dyDescent="0.2">
      <c r="E867">
        <v>853</v>
      </c>
      <c r="F867" s="1">
        <v>-283119153.16036659</v>
      </c>
    </row>
    <row r="868" spans="5:6" x14ac:dyDescent="0.2">
      <c r="E868">
        <v>854</v>
      </c>
      <c r="F868" s="1">
        <v>-8606784.3730072975</v>
      </c>
    </row>
    <row r="869" spans="5:6" x14ac:dyDescent="0.2">
      <c r="E869">
        <v>855</v>
      </c>
      <c r="F869" s="1">
        <v>-181026326.51547873</v>
      </c>
    </row>
    <row r="870" spans="5:6" x14ac:dyDescent="0.2">
      <c r="E870">
        <v>856</v>
      </c>
      <c r="F870" s="1">
        <v>-147912321.69652545</v>
      </c>
    </row>
    <row r="871" spans="5:6" x14ac:dyDescent="0.2">
      <c r="E871">
        <v>857</v>
      </c>
      <c r="F871" s="1">
        <v>-10448647.075407267</v>
      </c>
    </row>
    <row r="872" spans="5:6" x14ac:dyDescent="0.2">
      <c r="E872">
        <v>858</v>
      </c>
      <c r="F872" s="1">
        <v>-120346552.22971034</v>
      </c>
    </row>
    <row r="873" spans="5:6" x14ac:dyDescent="0.2">
      <c r="E873">
        <v>859</v>
      </c>
      <c r="F873" s="1">
        <v>-21153643.613834739</v>
      </c>
    </row>
    <row r="874" spans="5:6" x14ac:dyDescent="0.2">
      <c r="E874">
        <v>860</v>
      </c>
      <c r="F874" s="1">
        <v>102632119.52432203</v>
      </c>
    </row>
    <row r="875" spans="5:6" x14ac:dyDescent="0.2">
      <c r="E875">
        <v>861</v>
      </c>
      <c r="F875" s="1">
        <v>-187253802.97561562</v>
      </c>
    </row>
    <row r="876" spans="5:6" x14ac:dyDescent="0.2">
      <c r="E876">
        <v>862</v>
      </c>
      <c r="F876" s="1">
        <v>11800401.072384953</v>
      </c>
    </row>
    <row r="877" spans="5:6" x14ac:dyDescent="0.2">
      <c r="E877">
        <v>863</v>
      </c>
      <c r="F877" s="1">
        <v>-1575134.4485857487</v>
      </c>
    </row>
    <row r="878" spans="5:6" x14ac:dyDescent="0.2">
      <c r="E878">
        <v>864</v>
      </c>
      <c r="F878" s="1">
        <v>13330965.843893528</v>
      </c>
    </row>
    <row r="879" spans="5:6" x14ac:dyDescent="0.2">
      <c r="E879">
        <v>865</v>
      </c>
      <c r="F879" s="1">
        <v>-54146771.967622161</v>
      </c>
    </row>
    <row r="880" spans="5:6" x14ac:dyDescent="0.2">
      <c r="E880">
        <v>866</v>
      </c>
      <c r="F880" s="1">
        <v>33189105.008407474</v>
      </c>
    </row>
    <row r="881" spans="5:6" x14ac:dyDescent="0.2">
      <c r="E881">
        <v>867</v>
      </c>
      <c r="F881" s="1">
        <v>-120822758.32700944</v>
      </c>
    </row>
    <row r="882" spans="5:6" x14ac:dyDescent="0.2">
      <c r="E882">
        <v>868</v>
      </c>
      <c r="F882" s="1">
        <v>-6365394.0446170568</v>
      </c>
    </row>
    <row r="883" spans="5:6" x14ac:dyDescent="0.2">
      <c r="E883">
        <v>869</v>
      </c>
      <c r="F883" s="1">
        <v>-296368964.72881782</v>
      </c>
    </row>
    <row r="884" spans="5:6" x14ac:dyDescent="0.2">
      <c r="E884">
        <v>870</v>
      </c>
      <c r="F884" s="1">
        <v>108406843.80150068</v>
      </c>
    </row>
    <row r="885" spans="5:6" x14ac:dyDescent="0.2">
      <c r="E885">
        <v>871</v>
      </c>
      <c r="F885" s="1">
        <v>-140315844.9274838</v>
      </c>
    </row>
    <row r="886" spans="5:6" x14ac:dyDescent="0.2">
      <c r="E886">
        <v>872</v>
      </c>
      <c r="F886" s="1">
        <v>-147720475.16316986</v>
      </c>
    </row>
    <row r="887" spans="5:6" x14ac:dyDescent="0.2">
      <c r="E887">
        <v>873</v>
      </c>
      <c r="F887" s="1">
        <v>45235596.525459766</v>
      </c>
    </row>
    <row r="888" spans="5:6" x14ac:dyDescent="0.2">
      <c r="E888">
        <v>874</v>
      </c>
      <c r="F888" s="1">
        <v>-203380327.39273882</v>
      </c>
    </row>
    <row r="889" spans="5:6" x14ac:dyDescent="0.2">
      <c r="E889">
        <v>875</v>
      </c>
      <c r="F889" s="1">
        <v>-109055047.98247945</v>
      </c>
    </row>
    <row r="890" spans="5:6" x14ac:dyDescent="0.2">
      <c r="E890">
        <v>876</v>
      </c>
      <c r="F890" s="1">
        <v>-155886792.64362705</v>
      </c>
    </row>
    <row r="891" spans="5:6" x14ac:dyDescent="0.2">
      <c r="E891">
        <v>877</v>
      </c>
      <c r="F891" s="1">
        <v>-12209261.480240822</v>
      </c>
    </row>
    <row r="892" spans="5:6" x14ac:dyDescent="0.2">
      <c r="E892">
        <v>878</v>
      </c>
      <c r="F892" s="1">
        <v>-28134709.643091917</v>
      </c>
    </row>
    <row r="893" spans="5:6" x14ac:dyDescent="0.2">
      <c r="E893">
        <v>879</v>
      </c>
      <c r="F893" s="1">
        <v>-188183857.38934374</v>
      </c>
    </row>
    <row r="894" spans="5:6" x14ac:dyDescent="0.2">
      <c r="E894">
        <v>880</v>
      </c>
      <c r="F894" s="1">
        <v>-78610853.911901593</v>
      </c>
    </row>
    <row r="895" spans="5:6" x14ac:dyDescent="0.2">
      <c r="E895">
        <v>881</v>
      </c>
      <c r="F895" s="1">
        <v>-4220532.7044731379</v>
      </c>
    </row>
    <row r="896" spans="5:6" x14ac:dyDescent="0.2">
      <c r="E896">
        <v>882</v>
      </c>
      <c r="F896" s="1">
        <v>-42623627.138510108</v>
      </c>
    </row>
    <row r="897" spans="5:6" x14ac:dyDescent="0.2">
      <c r="E897">
        <v>883</v>
      </c>
      <c r="F897" s="1">
        <v>-79210628.966453791</v>
      </c>
    </row>
    <row r="898" spans="5:6" x14ac:dyDescent="0.2">
      <c r="E898">
        <v>884</v>
      </c>
      <c r="F898" s="1">
        <v>9532711.6096174717</v>
      </c>
    </row>
    <row r="899" spans="5:6" x14ac:dyDescent="0.2">
      <c r="E899">
        <v>885</v>
      </c>
      <c r="F899" s="1">
        <v>-218152773.11110532</v>
      </c>
    </row>
    <row r="900" spans="5:6" x14ac:dyDescent="0.2">
      <c r="E900">
        <v>886</v>
      </c>
      <c r="F900" s="1">
        <v>-183410628.98515046</v>
      </c>
    </row>
    <row r="901" spans="5:6" x14ac:dyDescent="0.2">
      <c r="E901">
        <v>887</v>
      </c>
      <c r="F901" s="1">
        <v>-103945364.25338697</v>
      </c>
    </row>
    <row r="902" spans="5:6" x14ac:dyDescent="0.2">
      <c r="E902">
        <v>888</v>
      </c>
      <c r="F902" s="1">
        <v>-197558647.43948364</v>
      </c>
    </row>
    <row r="903" spans="5:6" x14ac:dyDescent="0.2">
      <c r="E903">
        <v>889</v>
      </c>
      <c r="F903" s="1">
        <v>38745310.259720325</v>
      </c>
    </row>
    <row r="904" spans="5:6" x14ac:dyDescent="0.2">
      <c r="E904">
        <v>890</v>
      </c>
      <c r="F904" s="1">
        <v>48690523.233678579</v>
      </c>
    </row>
    <row r="905" spans="5:6" x14ac:dyDescent="0.2">
      <c r="E905">
        <v>891</v>
      </c>
      <c r="F905" s="1">
        <v>-60289919.834213495</v>
      </c>
    </row>
    <row r="906" spans="5:6" x14ac:dyDescent="0.2">
      <c r="E906">
        <v>892</v>
      </c>
      <c r="F906" s="1">
        <v>-132509268.37989795</v>
      </c>
    </row>
    <row r="907" spans="5:6" x14ac:dyDescent="0.2">
      <c r="E907">
        <v>893</v>
      </c>
      <c r="F907" s="1">
        <v>79705215.808449149</v>
      </c>
    </row>
    <row r="908" spans="5:6" x14ac:dyDescent="0.2">
      <c r="E908">
        <v>894</v>
      </c>
      <c r="F908" s="1">
        <v>-82560700.938162208</v>
      </c>
    </row>
    <row r="909" spans="5:6" x14ac:dyDescent="0.2">
      <c r="E909">
        <v>895</v>
      </c>
      <c r="F909" s="1">
        <v>-177728112.30117941</v>
      </c>
    </row>
    <row r="910" spans="5:6" x14ac:dyDescent="0.2">
      <c r="E910">
        <v>896</v>
      </c>
      <c r="F910" s="1">
        <v>44205330.889657974</v>
      </c>
    </row>
    <row r="911" spans="5:6" x14ac:dyDescent="0.2">
      <c r="E911">
        <v>897</v>
      </c>
      <c r="F911" s="1">
        <v>54269376.866265297</v>
      </c>
    </row>
    <row r="912" spans="5:6" x14ac:dyDescent="0.2">
      <c r="E912">
        <v>898</v>
      </c>
      <c r="F912" s="1">
        <v>-183488798.13530529</v>
      </c>
    </row>
    <row r="913" spans="5:6" x14ac:dyDescent="0.2">
      <c r="E913">
        <v>899</v>
      </c>
      <c r="F913" s="1">
        <v>31830619.521843076</v>
      </c>
    </row>
    <row r="914" spans="5:6" x14ac:dyDescent="0.2">
      <c r="E914">
        <v>900</v>
      </c>
      <c r="F914" s="1">
        <v>4025453.3485532999</v>
      </c>
    </row>
    <row r="915" spans="5:6" x14ac:dyDescent="0.2">
      <c r="E915">
        <v>901</v>
      </c>
      <c r="F915" s="1">
        <v>-175201748.8913734</v>
      </c>
    </row>
    <row r="916" spans="5:6" x14ac:dyDescent="0.2">
      <c r="E916">
        <v>902</v>
      </c>
      <c r="F916" s="1">
        <v>-4427735.0328404903</v>
      </c>
    </row>
    <row r="917" spans="5:6" x14ac:dyDescent="0.2">
      <c r="E917">
        <v>903</v>
      </c>
      <c r="F917" s="1">
        <v>1694246.5429165363</v>
      </c>
    </row>
    <row r="918" spans="5:6" x14ac:dyDescent="0.2">
      <c r="E918">
        <v>904</v>
      </c>
      <c r="F918" s="1">
        <v>-74065052.411726713</v>
      </c>
    </row>
    <row r="919" spans="5:6" x14ac:dyDescent="0.2">
      <c r="E919">
        <v>905</v>
      </c>
      <c r="F919" s="1">
        <v>-82021469.568317413</v>
      </c>
    </row>
    <row r="920" spans="5:6" x14ac:dyDescent="0.2">
      <c r="E920">
        <v>906</v>
      </c>
      <c r="F920" s="1">
        <v>-46624290.245500803</v>
      </c>
    </row>
    <row r="921" spans="5:6" x14ac:dyDescent="0.2">
      <c r="E921">
        <v>907</v>
      </c>
      <c r="F921" s="1">
        <v>-108822375.96718979</v>
      </c>
    </row>
    <row r="922" spans="5:6" x14ac:dyDescent="0.2">
      <c r="E922">
        <v>908</v>
      </c>
      <c r="F922" s="1">
        <v>-27325494.943820715</v>
      </c>
    </row>
    <row r="923" spans="5:6" x14ac:dyDescent="0.2">
      <c r="E923">
        <v>909</v>
      </c>
      <c r="F923" s="1">
        <v>54200655.22011435</v>
      </c>
    </row>
    <row r="924" spans="5:6" x14ac:dyDescent="0.2">
      <c r="E924">
        <v>910</v>
      </c>
      <c r="F924" s="1">
        <v>-6813810.4945977926</v>
      </c>
    </row>
    <row r="925" spans="5:6" x14ac:dyDescent="0.2">
      <c r="E925">
        <v>911</v>
      </c>
      <c r="F925" s="1">
        <v>-9555093.0023760796</v>
      </c>
    </row>
    <row r="926" spans="5:6" x14ac:dyDescent="0.2">
      <c r="E926">
        <v>912</v>
      </c>
      <c r="F926" s="1">
        <v>2145017.9999114275</v>
      </c>
    </row>
    <row r="927" spans="5:6" x14ac:dyDescent="0.2">
      <c r="E927">
        <v>913</v>
      </c>
      <c r="F927" s="1">
        <v>-125566495.44561088</v>
      </c>
    </row>
    <row r="928" spans="5:6" x14ac:dyDescent="0.2">
      <c r="E928">
        <v>914</v>
      </c>
      <c r="F928" s="1">
        <v>39885727.837105036</v>
      </c>
    </row>
    <row r="929" spans="5:6" x14ac:dyDescent="0.2">
      <c r="E929">
        <v>915</v>
      </c>
      <c r="F929" s="1">
        <v>-159331963.54808247</v>
      </c>
    </row>
    <row r="930" spans="5:6" x14ac:dyDescent="0.2">
      <c r="E930">
        <v>916</v>
      </c>
      <c r="F930" s="1">
        <v>68348722.64162755</v>
      </c>
    </row>
    <row r="931" spans="5:6" x14ac:dyDescent="0.2">
      <c r="E931">
        <v>917</v>
      </c>
      <c r="F931" s="1">
        <v>12962167.045952082</v>
      </c>
    </row>
    <row r="932" spans="5:6" x14ac:dyDescent="0.2">
      <c r="E932">
        <v>918</v>
      </c>
      <c r="F932" s="1">
        <v>-32272004.834339499</v>
      </c>
    </row>
    <row r="933" spans="5:6" x14ac:dyDescent="0.2">
      <c r="E933">
        <v>919</v>
      </c>
      <c r="F933" s="1">
        <v>-140222790.88768947</v>
      </c>
    </row>
    <row r="934" spans="5:6" x14ac:dyDescent="0.2">
      <c r="E934">
        <v>920</v>
      </c>
      <c r="F934" s="1">
        <v>-216778916.98094618</v>
      </c>
    </row>
    <row r="935" spans="5:6" x14ac:dyDescent="0.2">
      <c r="E935">
        <v>921</v>
      </c>
      <c r="F935" s="1">
        <v>-102892950.02993369</v>
      </c>
    </row>
    <row r="936" spans="5:6" x14ac:dyDescent="0.2">
      <c r="E936">
        <v>922</v>
      </c>
      <c r="F936" s="1">
        <v>-170442430.82888544</v>
      </c>
    </row>
    <row r="937" spans="5:6" x14ac:dyDescent="0.2">
      <c r="E937">
        <v>923</v>
      </c>
      <c r="F937" s="1">
        <v>-22083577.998718381</v>
      </c>
    </row>
    <row r="938" spans="5:6" x14ac:dyDescent="0.2">
      <c r="E938">
        <v>924</v>
      </c>
      <c r="F938" s="1">
        <v>-151754518.51734579</v>
      </c>
    </row>
    <row r="939" spans="5:6" x14ac:dyDescent="0.2">
      <c r="E939">
        <v>925</v>
      </c>
      <c r="F939" s="1">
        <v>11955985.301436067</v>
      </c>
    </row>
    <row r="940" spans="5:6" x14ac:dyDescent="0.2">
      <c r="E940">
        <v>926</v>
      </c>
      <c r="F940" s="1">
        <v>-48773612.656798601</v>
      </c>
    </row>
    <row r="941" spans="5:6" x14ac:dyDescent="0.2">
      <c r="E941">
        <v>927</v>
      </c>
      <c r="F941" s="1">
        <v>73834521.025743127</v>
      </c>
    </row>
    <row r="942" spans="5:6" x14ac:dyDescent="0.2">
      <c r="E942">
        <v>928</v>
      </c>
      <c r="F942" s="1">
        <v>-17502731.446743846</v>
      </c>
    </row>
    <row r="943" spans="5:6" x14ac:dyDescent="0.2">
      <c r="E943">
        <v>929</v>
      </c>
      <c r="F943" s="1">
        <v>18546713.278636456</v>
      </c>
    </row>
    <row r="944" spans="5:6" x14ac:dyDescent="0.2">
      <c r="E944">
        <v>930</v>
      </c>
      <c r="F944" s="1">
        <v>-8428160.0154284239</v>
      </c>
    </row>
    <row r="945" spans="5:6" x14ac:dyDescent="0.2">
      <c r="E945">
        <v>931</v>
      </c>
      <c r="F945" s="1">
        <v>51264813.205332637</v>
      </c>
    </row>
    <row r="946" spans="5:6" x14ac:dyDescent="0.2">
      <c r="E946">
        <v>932</v>
      </c>
      <c r="F946" s="1">
        <v>47678787.855514526</v>
      </c>
    </row>
    <row r="947" spans="5:6" x14ac:dyDescent="0.2">
      <c r="E947">
        <v>933</v>
      </c>
      <c r="F947" s="1">
        <v>-123124499.93739903</v>
      </c>
    </row>
    <row r="948" spans="5:6" x14ac:dyDescent="0.2">
      <c r="E948">
        <v>934</v>
      </c>
      <c r="F948" s="1">
        <v>-55106682.805507183</v>
      </c>
    </row>
    <row r="949" spans="5:6" x14ac:dyDescent="0.2">
      <c r="E949">
        <v>935</v>
      </c>
      <c r="F949" s="1">
        <v>-7093691.9984812737</v>
      </c>
    </row>
    <row r="950" spans="5:6" x14ac:dyDescent="0.2">
      <c r="E950">
        <v>936</v>
      </c>
      <c r="F950" s="1">
        <v>75443687.833594441</v>
      </c>
    </row>
    <row r="951" spans="5:6" x14ac:dyDescent="0.2">
      <c r="E951">
        <v>937</v>
      </c>
      <c r="F951" s="1">
        <v>94816814.957457542</v>
      </c>
    </row>
    <row r="952" spans="5:6" x14ac:dyDescent="0.2">
      <c r="E952">
        <v>938</v>
      </c>
      <c r="F952" s="1">
        <v>-129017036.86010313</v>
      </c>
    </row>
    <row r="953" spans="5:6" x14ac:dyDescent="0.2">
      <c r="E953">
        <v>939</v>
      </c>
      <c r="F953" s="1">
        <v>-176154419.10623002</v>
      </c>
    </row>
    <row r="954" spans="5:6" x14ac:dyDescent="0.2">
      <c r="E954">
        <v>940</v>
      </c>
      <c r="F954" s="1">
        <v>-52759699.572165608</v>
      </c>
    </row>
    <row r="955" spans="5:6" x14ac:dyDescent="0.2">
      <c r="E955">
        <v>941</v>
      </c>
      <c r="F955" s="1">
        <v>9008454.6785837412</v>
      </c>
    </row>
    <row r="956" spans="5:6" x14ac:dyDescent="0.2">
      <c r="E956">
        <v>942</v>
      </c>
      <c r="F956" s="1">
        <v>-43140642.173298478</v>
      </c>
    </row>
    <row r="957" spans="5:6" x14ac:dyDescent="0.2">
      <c r="E957">
        <v>943</v>
      </c>
      <c r="F957" s="1">
        <v>96991783.957876682</v>
      </c>
    </row>
    <row r="958" spans="5:6" x14ac:dyDescent="0.2">
      <c r="E958">
        <v>944</v>
      </c>
      <c r="F958" s="1">
        <v>-30482054.082207084</v>
      </c>
    </row>
    <row r="959" spans="5:6" x14ac:dyDescent="0.2">
      <c r="E959">
        <v>945</v>
      </c>
      <c r="F959" s="1">
        <v>-14381160.974396467</v>
      </c>
    </row>
    <row r="960" spans="5:6" x14ac:dyDescent="0.2">
      <c r="E960">
        <v>946</v>
      </c>
      <c r="F960" s="1">
        <v>-85868526.24252677</v>
      </c>
    </row>
    <row r="961" spans="5:6" x14ac:dyDescent="0.2">
      <c r="E961">
        <v>947</v>
      </c>
      <c r="F961" s="1">
        <v>-73341689.663423538</v>
      </c>
    </row>
    <row r="962" spans="5:6" x14ac:dyDescent="0.2">
      <c r="E962">
        <v>948</v>
      </c>
      <c r="F962" s="1">
        <v>-108242516.64664066</v>
      </c>
    </row>
    <row r="963" spans="5:6" x14ac:dyDescent="0.2">
      <c r="E963">
        <v>949</v>
      </c>
      <c r="F963" s="1">
        <v>-10778498.666710615</v>
      </c>
    </row>
    <row r="964" spans="5:6" x14ac:dyDescent="0.2">
      <c r="E964">
        <v>950</v>
      </c>
      <c r="F964" s="1">
        <v>-12825719.342890739</v>
      </c>
    </row>
    <row r="965" spans="5:6" x14ac:dyDescent="0.2">
      <c r="E965">
        <v>951</v>
      </c>
      <c r="F965" s="1">
        <v>13399025.223472476</v>
      </c>
    </row>
    <row r="966" spans="5:6" x14ac:dyDescent="0.2">
      <c r="E966">
        <v>952</v>
      </c>
      <c r="F966" s="1">
        <v>-197666291.33339763</v>
      </c>
    </row>
    <row r="967" spans="5:6" x14ac:dyDescent="0.2">
      <c r="E967">
        <v>953</v>
      </c>
      <c r="F967" s="1">
        <v>-194038152.70227015</v>
      </c>
    </row>
    <row r="968" spans="5:6" x14ac:dyDescent="0.2">
      <c r="E968">
        <v>954</v>
      </c>
      <c r="F968" s="1">
        <v>54762165.524393439</v>
      </c>
    </row>
    <row r="969" spans="5:6" x14ac:dyDescent="0.2">
      <c r="E969">
        <v>955</v>
      </c>
      <c r="F969" s="1">
        <v>-4946000.0736409426</v>
      </c>
    </row>
    <row r="970" spans="5:6" x14ac:dyDescent="0.2">
      <c r="E970">
        <v>956</v>
      </c>
      <c r="F970" s="1">
        <v>-274859000.80818254</v>
      </c>
    </row>
    <row r="971" spans="5:6" x14ac:dyDescent="0.2">
      <c r="E971">
        <v>957</v>
      </c>
      <c r="F971" s="1">
        <v>-232429369.34812152</v>
      </c>
    </row>
    <row r="972" spans="5:6" x14ac:dyDescent="0.2">
      <c r="E972">
        <v>958</v>
      </c>
      <c r="F972" s="1">
        <v>-5668886.3263134956</v>
      </c>
    </row>
    <row r="973" spans="5:6" x14ac:dyDescent="0.2">
      <c r="E973">
        <v>959</v>
      </c>
      <c r="F973" s="1">
        <v>-47079934.192608833</v>
      </c>
    </row>
    <row r="974" spans="5:6" x14ac:dyDescent="0.2">
      <c r="E974">
        <v>960</v>
      </c>
      <c r="F974" s="1">
        <v>61889828.677817225</v>
      </c>
    </row>
    <row r="975" spans="5:6" x14ac:dyDescent="0.2">
      <c r="E975">
        <v>961</v>
      </c>
      <c r="F975" s="1">
        <v>-100405821.33795857</v>
      </c>
    </row>
    <row r="976" spans="5:6" x14ac:dyDescent="0.2">
      <c r="E976">
        <v>962</v>
      </c>
      <c r="F976" s="1">
        <v>-103180999.0204556</v>
      </c>
    </row>
    <row r="977" spans="5:6" x14ac:dyDescent="0.2">
      <c r="E977">
        <v>963</v>
      </c>
      <c r="F977" s="1">
        <v>55499638.032357574</v>
      </c>
    </row>
    <row r="978" spans="5:6" x14ac:dyDescent="0.2">
      <c r="E978">
        <v>964</v>
      </c>
      <c r="F978" s="1">
        <v>-61535700.216874838</v>
      </c>
    </row>
    <row r="979" spans="5:6" x14ac:dyDescent="0.2">
      <c r="E979">
        <v>965</v>
      </c>
      <c r="F979" s="1">
        <v>-30417013.132346034</v>
      </c>
    </row>
    <row r="980" spans="5:6" x14ac:dyDescent="0.2">
      <c r="E980">
        <v>966</v>
      </c>
      <c r="F980" s="1">
        <v>-214212954.14485967</v>
      </c>
    </row>
    <row r="981" spans="5:6" x14ac:dyDescent="0.2">
      <c r="E981">
        <v>967</v>
      </c>
      <c r="F981" s="1">
        <v>-230745081.39723146</v>
      </c>
    </row>
    <row r="982" spans="5:6" x14ac:dyDescent="0.2">
      <c r="E982">
        <v>968</v>
      </c>
      <c r="F982" s="1">
        <v>50670125.396437645</v>
      </c>
    </row>
    <row r="983" spans="5:6" x14ac:dyDescent="0.2">
      <c r="E983">
        <v>969</v>
      </c>
      <c r="F983" s="1">
        <v>-1270709.9091084003</v>
      </c>
    </row>
    <row r="984" spans="5:6" x14ac:dyDescent="0.2">
      <c r="E984">
        <v>970</v>
      </c>
      <c r="F984" s="1">
        <v>-66996457.583224058</v>
      </c>
    </row>
    <row r="985" spans="5:6" x14ac:dyDescent="0.2">
      <c r="E985">
        <v>971</v>
      </c>
      <c r="F985" s="1">
        <v>-39217227.821042299</v>
      </c>
    </row>
    <row r="986" spans="5:6" x14ac:dyDescent="0.2">
      <c r="E986">
        <v>972</v>
      </c>
      <c r="F986" s="1">
        <v>25779148.103540063</v>
      </c>
    </row>
    <row r="987" spans="5:6" x14ac:dyDescent="0.2">
      <c r="E987">
        <v>973</v>
      </c>
      <c r="F987" s="1">
        <v>-165744543.28705013</v>
      </c>
    </row>
    <row r="988" spans="5:6" x14ac:dyDescent="0.2">
      <c r="E988">
        <v>974</v>
      </c>
      <c r="F988" s="1">
        <v>-25665443.420136213</v>
      </c>
    </row>
    <row r="989" spans="5:6" x14ac:dyDescent="0.2">
      <c r="E989">
        <v>975</v>
      </c>
      <c r="F989" s="1">
        <v>-148701143.44181013</v>
      </c>
    </row>
    <row r="990" spans="5:6" x14ac:dyDescent="0.2">
      <c r="E990">
        <v>976</v>
      </c>
      <c r="F990" s="1">
        <v>71690666.794163823</v>
      </c>
    </row>
    <row r="991" spans="5:6" x14ac:dyDescent="0.2">
      <c r="E991">
        <v>977</v>
      </c>
      <c r="F991" s="1">
        <v>61440353.937471032</v>
      </c>
    </row>
    <row r="992" spans="5:6" x14ac:dyDescent="0.2">
      <c r="E992">
        <v>978</v>
      </c>
      <c r="F992" s="1">
        <v>30112054.557561994</v>
      </c>
    </row>
    <row r="993" spans="5:6" x14ac:dyDescent="0.2">
      <c r="E993">
        <v>979</v>
      </c>
      <c r="F993" s="1">
        <v>40137590.105819464</v>
      </c>
    </row>
    <row r="994" spans="5:6" x14ac:dyDescent="0.2">
      <c r="E994">
        <v>980</v>
      </c>
      <c r="F994" s="1">
        <v>-66464572.427897215</v>
      </c>
    </row>
    <row r="995" spans="5:6" x14ac:dyDescent="0.2">
      <c r="E995">
        <v>981</v>
      </c>
      <c r="F995" s="1">
        <v>-33328031.749313116</v>
      </c>
    </row>
    <row r="996" spans="5:6" x14ac:dyDescent="0.2">
      <c r="E996">
        <v>982</v>
      </c>
      <c r="F996" s="1">
        <v>-187344303.5238961</v>
      </c>
    </row>
    <row r="997" spans="5:6" x14ac:dyDescent="0.2">
      <c r="E997">
        <v>983</v>
      </c>
      <c r="F997" s="1">
        <v>-35373088.363881469</v>
      </c>
    </row>
    <row r="998" spans="5:6" x14ac:dyDescent="0.2">
      <c r="E998">
        <v>984</v>
      </c>
      <c r="F998" s="1">
        <v>-21810332.572377205</v>
      </c>
    </row>
    <row r="999" spans="5:6" x14ac:dyDescent="0.2">
      <c r="E999">
        <v>985</v>
      </c>
      <c r="F999" s="1">
        <v>-14201274.842134237</v>
      </c>
    </row>
    <row r="1000" spans="5:6" x14ac:dyDescent="0.2">
      <c r="E1000">
        <v>986</v>
      </c>
      <c r="F1000" s="1">
        <v>-99154504.451287508</v>
      </c>
    </row>
    <row r="1001" spans="5:6" x14ac:dyDescent="0.2">
      <c r="E1001">
        <v>987</v>
      </c>
      <c r="F1001" s="1">
        <v>18627265.974553347</v>
      </c>
    </row>
    <row r="1002" spans="5:6" x14ac:dyDescent="0.2">
      <c r="E1002">
        <v>988</v>
      </c>
      <c r="F1002" s="1">
        <v>-53088237.901081443</v>
      </c>
    </row>
    <row r="1003" spans="5:6" x14ac:dyDescent="0.2">
      <c r="E1003">
        <v>989</v>
      </c>
      <c r="F1003" s="1">
        <v>-135944720.23769271</v>
      </c>
    </row>
    <row r="1004" spans="5:6" x14ac:dyDescent="0.2">
      <c r="E1004">
        <v>990</v>
      </c>
      <c r="F1004" s="1">
        <v>90949242.129742503</v>
      </c>
    </row>
    <row r="1005" spans="5:6" x14ac:dyDescent="0.2">
      <c r="E1005">
        <v>991</v>
      </c>
      <c r="F1005" s="1">
        <v>-31987417.116655588</v>
      </c>
    </row>
    <row r="1006" spans="5:6" x14ac:dyDescent="0.2">
      <c r="E1006">
        <v>992</v>
      </c>
      <c r="F1006" s="1">
        <v>-164435210.44841301</v>
      </c>
    </row>
    <row r="1007" spans="5:6" x14ac:dyDescent="0.2">
      <c r="E1007">
        <v>993</v>
      </c>
      <c r="F1007" s="1">
        <v>-122683713.00276458</v>
      </c>
    </row>
    <row r="1008" spans="5:6" x14ac:dyDescent="0.2">
      <c r="E1008">
        <v>994</v>
      </c>
      <c r="F1008" s="1">
        <v>-126634954.42894208</v>
      </c>
    </row>
    <row r="1009" spans="5:6" x14ac:dyDescent="0.2">
      <c r="E1009">
        <v>995</v>
      </c>
      <c r="F1009" s="1">
        <v>-40601765.56293726</v>
      </c>
    </row>
    <row r="1010" spans="5:6" x14ac:dyDescent="0.2">
      <c r="E1010">
        <v>996</v>
      </c>
      <c r="F1010" s="1">
        <v>-128191447.59449804</v>
      </c>
    </row>
    <row r="1011" spans="5:6" x14ac:dyDescent="0.2">
      <c r="E1011">
        <v>997</v>
      </c>
      <c r="F1011" s="1">
        <v>-1119065.0140024424</v>
      </c>
    </row>
    <row r="1012" spans="5:6" x14ac:dyDescent="0.2">
      <c r="E1012">
        <v>998</v>
      </c>
      <c r="F1012" s="1">
        <v>-122064693.95190704</v>
      </c>
    </row>
    <row r="1013" spans="5:6" x14ac:dyDescent="0.2">
      <c r="E1013">
        <v>999</v>
      </c>
      <c r="F1013" s="1">
        <v>-220908789.04154587</v>
      </c>
    </row>
    <row r="1014" spans="5:6" x14ac:dyDescent="0.2">
      <c r="E1014">
        <v>1000</v>
      </c>
      <c r="F1014" s="1">
        <v>-197617792.19984639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17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1.1640625" bestFit="1" customWidth="1"/>
    <col min="2" max="3" width="17.33203125" bestFit="1" customWidth="1"/>
    <col min="4" max="5" width="16.1640625" bestFit="1" customWidth="1"/>
    <col min="6" max="6" width="17.33203125" bestFit="1" customWidth="1"/>
    <col min="7" max="14" width="16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200000000</v>
      </c>
      <c r="H2" s="1">
        <v>200000000</v>
      </c>
      <c r="I2" s="1">
        <v>200000000</v>
      </c>
      <c r="J2" s="1">
        <v>200000000</v>
      </c>
      <c r="K2" s="1">
        <v>200000000</v>
      </c>
      <c r="L2" s="1">
        <v>200000000</v>
      </c>
      <c r="M2" s="1">
        <v>200000000</v>
      </c>
      <c r="N2" s="1">
        <v>200000000</v>
      </c>
    </row>
    <row r="4" spans="1:14" x14ac:dyDescent="0.2">
      <c r="B4" t="s">
        <v>14</v>
      </c>
    </row>
    <row r="5" spans="1:14" x14ac:dyDescent="0.2">
      <c r="B5" t="s">
        <v>1</v>
      </c>
      <c r="C5" s="1">
        <f>B2</f>
        <v>-800000000</v>
      </c>
      <c r="E5" t="s">
        <v>15</v>
      </c>
      <c r="F5" s="5">
        <f>NPV(0.085,C2:N2)+B2</f>
        <v>-51694050.309878469</v>
      </c>
      <c r="G5" s="1">
        <f>SUM(C5:C17)</f>
        <v>-51694050.30987823</v>
      </c>
    </row>
    <row r="6" spans="1:14" x14ac:dyDescent="0.2">
      <c r="B6" t="s">
        <v>2</v>
      </c>
      <c r="C6" s="1">
        <f>C$2/(1.085)</f>
        <v>-18433179.723502304</v>
      </c>
      <c r="E6" t="s">
        <v>16</v>
      </c>
      <c r="F6" s="8">
        <f>IRR(B2:N2,-8.5%)</f>
        <v>7.6586755040051857E-2</v>
      </c>
    </row>
    <row r="7" spans="1:14" x14ac:dyDescent="0.2">
      <c r="B7" t="s">
        <v>3</v>
      </c>
      <c r="C7" s="1">
        <f>C$2/(1.085)^2</f>
        <v>-16989105.735946823</v>
      </c>
      <c r="E7" t="s">
        <v>17</v>
      </c>
      <c r="F7" s="6">
        <f>F17/800000000</f>
        <v>0.93538243711265201</v>
      </c>
    </row>
    <row r="8" spans="1:14" x14ac:dyDescent="0.2">
      <c r="B8" t="s">
        <v>4</v>
      </c>
      <c r="C8" s="1">
        <f>C$2/(1.085)^3</f>
        <v>-15658161.968614584</v>
      </c>
      <c r="E8" t="s">
        <v>41</v>
      </c>
      <c r="F8" s="3" t="s">
        <v>42</v>
      </c>
    </row>
    <row r="9" spans="1:14" x14ac:dyDescent="0.2">
      <c r="B9" t="s">
        <v>5</v>
      </c>
      <c r="C9" s="1">
        <f>C$2/(1.085)^4</f>
        <v>-14431485.685359066</v>
      </c>
    </row>
    <row r="10" spans="1:14" x14ac:dyDescent="0.2">
      <c r="B10" t="s">
        <v>6</v>
      </c>
      <c r="C10" s="1">
        <f>G$2/(1.085)^5</f>
        <v>133009084.65768725</v>
      </c>
    </row>
    <row r="11" spans="1:14" x14ac:dyDescent="0.2">
      <c r="B11" t="s">
        <v>7</v>
      </c>
      <c r="C11" s="1">
        <f>G$2/(1.085)^6</f>
        <v>122589018.1176841</v>
      </c>
    </row>
    <row r="12" spans="1:14" x14ac:dyDescent="0.2">
      <c r="B12" t="s">
        <v>8</v>
      </c>
      <c r="C12" s="1">
        <f>G$2/(1.085)^7</f>
        <v>112985270.15454754</v>
      </c>
    </row>
    <row r="13" spans="1:14" x14ac:dyDescent="0.2">
      <c r="B13" t="s">
        <v>9</v>
      </c>
      <c r="C13" s="1">
        <f>G$2/(1.085)^8</f>
        <v>104133889.54336181</v>
      </c>
    </row>
    <row r="14" spans="1:14" x14ac:dyDescent="0.2">
      <c r="B14" t="s">
        <v>10</v>
      </c>
      <c r="C14" s="1">
        <f>G$2/(1.085)^9</f>
        <v>95975935.063006282</v>
      </c>
    </row>
    <row r="15" spans="1:14" x14ac:dyDescent="0.2">
      <c r="B15" t="s">
        <v>11</v>
      </c>
      <c r="C15" s="1">
        <f>G$2/(1.085)^10</f>
        <v>88457083.007379055</v>
      </c>
    </row>
    <row r="16" spans="1:14" x14ac:dyDescent="0.2">
      <c r="B16" t="s">
        <v>12</v>
      </c>
      <c r="C16" s="1">
        <f>G$2/(1.085)^11</f>
        <v>81527265.444588989</v>
      </c>
      <c r="E16" t="s">
        <v>33</v>
      </c>
      <c r="F16" s="1">
        <f>C5</f>
        <v>-800000000</v>
      </c>
    </row>
    <row r="17" spans="2:6" x14ac:dyDescent="0.2">
      <c r="B17" t="s">
        <v>13</v>
      </c>
      <c r="C17" s="1">
        <f>G$2/(1.085)^12</f>
        <v>75140336.815289408</v>
      </c>
      <c r="E17" t="s">
        <v>43</v>
      </c>
      <c r="F17" s="1">
        <f>SUM(C6:C17)</f>
        <v>748305949.69012165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ED5B-FD1C-440D-91EB-BEDC3FF9C428}">
  <sheetPr>
    <tabColor rgb="FF92D050"/>
  </sheetPr>
  <dimension ref="A1:N17"/>
  <sheetViews>
    <sheetView workbookViewId="0">
      <selection activeCell="F8" sqref="F8"/>
    </sheetView>
  </sheetViews>
  <sheetFormatPr baseColWidth="10" defaultColWidth="8.83203125" defaultRowHeight="15" x14ac:dyDescent="0.2"/>
  <cols>
    <col min="2" max="3" width="17.33203125" bestFit="1" customWidth="1"/>
    <col min="4" max="5" width="16.1640625" bestFit="1" customWidth="1"/>
    <col min="6" max="6" width="17.33203125" bestFit="1" customWidth="1"/>
    <col min="7" max="8" width="16.5" bestFit="1" customWidth="1"/>
    <col min="9" max="9" width="17.33203125" bestFit="1" customWidth="1"/>
    <col min="10" max="14" width="16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200000000</v>
      </c>
      <c r="H2" s="1">
        <v>200000000</v>
      </c>
      <c r="I2" s="1">
        <v>200000000</v>
      </c>
      <c r="J2" s="1">
        <v>200000000</v>
      </c>
      <c r="K2" s="1">
        <v>200000000</v>
      </c>
      <c r="L2" s="1">
        <v>200000000</v>
      </c>
      <c r="M2" s="1">
        <v>200000000</v>
      </c>
      <c r="N2" s="1">
        <v>200000000</v>
      </c>
    </row>
    <row r="4" spans="1:14" x14ac:dyDescent="0.2">
      <c r="B4" t="s">
        <v>14</v>
      </c>
    </row>
    <row r="5" spans="1:14" x14ac:dyDescent="0.2">
      <c r="B5" t="s">
        <v>1</v>
      </c>
      <c r="C5" s="1">
        <f>B2</f>
        <v>-800000000</v>
      </c>
      <c r="E5" t="s">
        <v>15</v>
      </c>
      <c r="F5" s="5">
        <f>NPV(0.075,C2:N2)+B2</f>
        <v>10203875.579341769</v>
      </c>
      <c r="G5" s="1">
        <f>SUM(C5:C17)</f>
        <v>10203875.579341948</v>
      </c>
    </row>
    <row r="6" spans="1:14" x14ac:dyDescent="0.2">
      <c r="B6" t="s">
        <v>2</v>
      </c>
      <c r="C6" s="4">
        <f>$C$2/(1.075)</f>
        <v>-18604651.162790697</v>
      </c>
      <c r="E6" t="s">
        <v>17</v>
      </c>
      <c r="F6" s="6">
        <f>F17/800000000</f>
        <v>1.0127548444741774</v>
      </c>
    </row>
    <row r="7" spans="1:14" x14ac:dyDescent="0.2">
      <c r="B7" t="s">
        <v>3</v>
      </c>
      <c r="C7" s="4">
        <f>$C$2/(1.075)^2</f>
        <v>-17306652.244456463</v>
      </c>
      <c r="E7" t="s">
        <v>16</v>
      </c>
      <c r="F7" s="8">
        <f>IRR(B2:N2,7.5%)</f>
        <v>7.6586755040051857E-2</v>
      </c>
    </row>
    <row r="8" spans="1:14" x14ac:dyDescent="0.2">
      <c r="B8" t="s">
        <v>4</v>
      </c>
      <c r="C8" s="4">
        <f>$C$2/(1.075)^3</f>
        <v>-16099211.39019206</v>
      </c>
      <c r="E8" t="s">
        <v>41</v>
      </c>
      <c r="F8" t="s">
        <v>19</v>
      </c>
    </row>
    <row r="9" spans="1:14" x14ac:dyDescent="0.2">
      <c r="B9" t="s">
        <v>5</v>
      </c>
      <c r="C9" s="4">
        <f>$C$2/(1.075)^4</f>
        <v>-14976010.595527498</v>
      </c>
    </row>
    <row r="10" spans="1:14" x14ac:dyDescent="0.2">
      <c r="B10" t="s">
        <v>6</v>
      </c>
      <c r="C10" s="4">
        <f>$G$2/(1.075)^5</f>
        <v>139311726.47002324</v>
      </c>
    </row>
    <row r="11" spans="1:14" x14ac:dyDescent="0.2">
      <c r="B11" t="s">
        <v>7</v>
      </c>
      <c r="C11" s="4">
        <f>$G$2/(1.075)^6</f>
        <v>129592303.69304489</v>
      </c>
    </row>
    <row r="12" spans="1:14" x14ac:dyDescent="0.2">
      <c r="B12" t="s">
        <v>8</v>
      </c>
      <c r="C12" s="4">
        <f>$G$2/(1.075)^7</f>
        <v>120550980.17957664</v>
      </c>
      <c r="F12" s="1"/>
    </row>
    <row r="13" spans="1:14" x14ac:dyDescent="0.2">
      <c r="B13" t="s">
        <v>9</v>
      </c>
      <c r="C13" s="4">
        <f>$G$2/(1.075)^8</f>
        <v>112140446.67867593</v>
      </c>
    </row>
    <row r="14" spans="1:14" x14ac:dyDescent="0.2">
      <c r="B14" t="s">
        <v>10</v>
      </c>
      <c r="C14" s="4">
        <f>$G$2/(1.075)^9</f>
        <v>104316694.58481483</v>
      </c>
    </row>
    <row r="15" spans="1:14" x14ac:dyDescent="0.2">
      <c r="B15" t="s">
        <v>11</v>
      </c>
      <c r="C15" s="4">
        <f>$G$2/(1.075)^10</f>
        <v>97038785.660292879</v>
      </c>
    </row>
    <row r="16" spans="1:14" x14ac:dyDescent="0.2">
      <c r="B16" t="s">
        <v>12</v>
      </c>
      <c r="C16" s="4">
        <f>$G$2/(1.075)^11</f>
        <v>90268637.823528245</v>
      </c>
      <c r="E16" t="s">
        <v>44</v>
      </c>
      <c r="F16" s="1">
        <f>C5</f>
        <v>-800000000</v>
      </c>
    </row>
    <row r="17" spans="2:6" x14ac:dyDescent="0.2">
      <c r="B17" t="s">
        <v>13</v>
      </c>
      <c r="C17" s="4">
        <f>$G$2/(1.075)^12</f>
        <v>83970825.88235186</v>
      </c>
      <c r="E17" t="s">
        <v>45</v>
      </c>
      <c r="F17" s="4">
        <f>SUM(C6:C17)</f>
        <v>810203875.57934189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299-27C7-45D7-912E-9D169E81BC77}">
  <sheetPr>
    <tabColor rgb="FF92D050"/>
  </sheetPr>
  <dimension ref="A1:N17"/>
  <sheetViews>
    <sheetView workbookViewId="0">
      <selection activeCell="F6" sqref="F6"/>
    </sheetView>
  </sheetViews>
  <sheetFormatPr baseColWidth="10" defaultColWidth="8.83203125" defaultRowHeight="15" x14ac:dyDescent="0.2"/>
  <cols>
    <col min="2" max="3" width="17.33203125" bestFit="1" customWidth="1"/>
    <col min="4" max="6" width="16.1640625" bestFit="1" customWidth="1"/>
    <col min="7" max="8" width="16.5" bestFit="1" customWidth="1"/>
    <col min="9" max="9" width="17.33203125" bestFit="1" customWidth="1"/>
    <col min="10" max="14" width="16.5" bestFit="1" customWidth="1"/>
  </cols>
  <sheetData>
    <row r="1" spans="1:14" x14ac:dyDescent="0.2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220000000</v>
      </c>
      <c r="H2" s="1">
        <v>220000000</v>
      </c>
      <c r="I2" s="1">
        <v>220000000</v>
      </c>
      <c r="J2" s="1">
        <v>220000000</v>
      </c>
      <c r="K2" s="1">
        <v>220000000</v>
      </c>
      <c r="L2" s="1">
        <v>220000000</v>
      </c>
      <c r="M2" s="1">
        <v>220000000</v>
      </c>
      <c r="N2" s="1">
        <v>220000000</v>
      </c>
    </row>
    <row r="4" spans="1:14" x14ac:dyDescent="0.2">
      <c r="B4" t="s">
        <v>14</v>
      </c>
    </row>
    <row r="5" spans="1:14" x14ac:dyDescent="0.2">
      <c r="B5" t="s">
        <v>1</v>
      </c>
      <c r="C5" s="1">
        <f>B2</f>
        <v>-800000000</v>
      </c>
      <c r="E5" t="s">
        <v>15</v>
      </c>
      <c r="F5" s="5">
        <f>NPV(0.08,C2:N2)+B2</f>
        <v>63026722.11288321</v>
      </c>
      <c r="G5" s="1">
        <f>SUM(C5:C17)</f>
        <v>63026722.112883344</v>
      </c>
    </row>
    <row r="6" spans="1:14" x14ac:dyDescent="0.2">
      <c r="B6" t="s">
        <v>2</v>
      </c>
      <c r="C6" s="1">
        <f>$D$2/(1.08)</f>
        <v>-18518518.518518519</v>
      </c>
      <c r="E6" t="s">
        <v>16</v>
      </c>
      <c r="F6" s="8">
        <f>IRR(B2:N2,-8%)</f>
        <v>8.9651685801143133E-2</v>
      </c>
    </row>
    <row r="7" spans="1:14" x14ac:dyDescent="0.2">
      <c r="B7" t="s">
        <v>3</v>
      </c>
      <c r="C7" s="1">
        <f>$D$2/(1.08)^2</f>
        <v>-17146776.406035665</v>
      </c>
      <c r="E7" t="s">
        <v>17</v>
      </c>
      <c r="F7" s="6">
        <f>SUM(C6:C17)/800000000</f>
        <v>1.0787834026411041</v>
      </c>
    </row>
    <row r="8" spans="1:14" x14ac:dyDescent="0.2">
      <c r="B8" t="s">
        <v>4</v>
      </c>
      <c r="C8" s="1">
        <f>$D$2/(1.08)^3</f>
        <v>-15876644.820403391</v>
      </c>
      <c r="E8" t="s">
        <v>18</v>
      </c>
      <c r="F8">
        <v>8</v>
      </c>
      <c r="I8" s="1">
        <f>C5</f>
        <v>-800000000</v>
      </c>
    </row>
    <row r="9" spans="1:14" x14ac:dyDescent="0.2">
      <c r="B9" t="s">
        <v>5</v>
      </c>
      <c r="C9" s="1">
        <f>$D$2/(1.08)^4</f>
        <v>-14700597.055929065</v>
      </c>
      <c r="I9" s="1">
        <f>SUM(C6:C17)</f>
        <v>863026722.11288333</v>
      </c>
    </row>
    <row r="10" spans="1:14" x14ac:dyDescent="0.2">
      <c r="B10" t="s">
        <v>6</v>
      </c>
      <c r="C10" s="1">
        <f>$G$2/(1.08)^5</f>
        <v>149728303.34742567</v>
      </c>
    </row>
    <row r="11" spans="1:14" x14ac:dyDescent="0.2">
      <c r="B11" t="s">
        <v>7</v>
      </c>
      <c r="C11" s="1">
        <f>$G$2/(1.08)^6</f>
        <v>138637317.91428301</v>
      </c>
    </row>
    <row r="12" spans="1:14" x14ac:dyDescent="0.2">
      <c r="B12" t="s">
        <v>8</v>
      </c>
      <c r="C12" s="1">
        <f>$G$2/(1.08)^7</f>
        <v>128367886.95766944</v>
      </c>
    </row>
    <row r="13" spans="1:14" x14ac:dyDescent="0.2">
      <c r="B13" t="s">
        <v>9</v>
      </c>
      <c r="C13" s="1">
        <f>$G$2/(1.08)^8</f>
        <v>118859154.59043467</v>
      </c>
    </row>
    <row r="14" spans="1:14" x14ac:dyDescent="0.2">
      <c r="B14" t="s">
        <v>10</v>
      </c>
      <c r="C14" s="1">
        <f>$G$2/(1.08)^9</f>
        <v>110054772.76892099</v>
      </c>
    </row>
    <row r="15" spans="1:14" x14ac:dyDescent="0.2">
      <c r="B15" t="s">
        <v>11</v>
      </c>
      <c r="C15" s="1">
        <f>$G$2/(1.08)^10</f>
        <v>101902567.37863053</v>
      </c>
    </row>
    <row r="16" spans="1:14" x14ac:dyDescent="0.2">
      <c r="B16" t="s">
        <v>12</v>
      </c>
      <c r="C16" s="1">
        <f>$G$2/(1.08)^11</f>
        <v>94354229.054287538</v>
      </c>
    </row>
    <row r="17" spans="2:3" x14ac:dyDescent="0.2">
      <c r="B17" t="s">
        <v>13</v>
      </c>
      <c r="C17" s="1">
        <f>$G$2/(1.08)^12</f>
        <v>87365026.902118072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A2C4-FFC7-4164-B5B0-2D43BCC164B0}">
  <sheetPr>
    <tabColor rgb="FF92D050"/>
  </sheetPr>
  <dimension ref="A1:N18"/>
  <sheetViews>
    <sheetView topLeftCell="C1" workbookViewId="0">
      <selection activeCell="F9" sqref="F9"/>
    </sheetView>
  </sheetViews>
  <sheetFormatPr baseColWidth="10" defaultColWidth="8.83203125" defaultRowHeight="15" x14ac:dyDescent="0.2"/>
  <cols>
    <col min="2" max="3" width="17.33203125" bestFit="1" customWidth="1"/>
    <col min="4" max="5" width="16.1640625" bestFit="1" customWidth="1"/>
    <col min="6" max="6" width="17.83203125" bestFit="1" customWidth="1"/>
    <col min="7" max="8" width="16.5" bestFit="1" customWidth="1"/>
    <col min="9" max="9" width="17.33203125" bestFit="1" customWidth="1"/>
    <col min="10" max="14" width="16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200000000</v>
      </c>
      <c r="H2" s="1">
        <v>200000000</v>
      </c>
      <c r="I2" s="1">
        <v>200000000</v>
      </c>
      <c r="J2" s="1">
        <v>200000000</v>
      </c>
      <c r="K2" s="1">
        <v>200000000</v>
      </c>
      <c r="L2" s="1">
        <v>200000000</v>
      </c>
      <c r="M2" s="1">
        <v>200000000</v>
      </c>
      <c r="N2" s="7">
        <v>300000000</v>
      </c>
    </row>
    <row r="3" spans="1:14" x14ac:dyDescent="0.2">
      <c r="N3" s="1">
        <v>200000000</v>
      </c>
    </row>
    <row r="4" spans="1:14" x14ac:dyDescent="0.2">
      <c r="N4" s="1">
        <v>100000000</v>
      </c>
    </row>
    <row r="5" spans="1:14" x14ac:dyDescent="0.2">
      <c r="B5" t="s">
        <v>14</v>
      </c>
    </row>
    <row r="6" spans="1:14" x14ac:dyDescent="0.2">
      <c r="B6" t="s">
        <v>1</v>
      </c>
      <c r="C6" s="1">
        <f>B2</f>
        <v>-800000000</v>
      </c>
      <c r="E6" t="s">
        <v>15</v>
      </c>
      <c r="F6" s="5">
        <f>NPV(0.08,C2:N2)+B2</f>
        <v>18259074.439866781</v>
      </c>
      <c r="G6" s="1">
        <f>SUM(C6:C18)</f>
        <v>18259074.439866915</v>
      </c>
    </row>
    <row r="7" spans="1:14" x14ac:dyDescent="0.2">
      <c r="B7" t="s">
        <v>2</v>
      </c>
      <c r="C7" s="1">
        <f>$C$2/(1.08)</f>
        <v>-18518518.518518519</v>
      </c>
      <c r="E7" t="s">
        <v>16</v>
      </c>
      <c r="F7" s="8">
        <f>IRR(B2:N2,-8%)</f>
        <v>8.2790593176723215E-2</v>
      </c>
    </row>
    <row r="8" spans="1:14" x14ac:dyDescent="0.2">
      <c r="B8" t="s">
        <v>3</v>
      </c>
      <c r="C8" s="1">
        <f>$C$2/(1.08)^2</f>
        <v>-17146776.406035665</v>
      </c>
      <c r="E8" t="s">
        <v>17</v>
      </c>
      <c r="F8" s="6">
        <f>SUM(C7:C18)/800000000</f>
        <v>1.0228238430498338</v>
      </c>
      <c r="I8" s="1"/>
    </row>
    <row r="9" spans="1:14" x14ac:dyDescent="0.2">
      <c r="B9" t="s">
        <v>4</v>
      </c>
      <c r="C9" s="1">
        <f>$C$2/(1.08)^3</f>
        <v>-15876644.820403391</v>
      </c>
      <c r="E9" t="s">
        <v>18</v>
      </c>
      <c r="F9" s="6">
        <v>8.4</v>
      </c>
    </row>
    <row r="10" spans="1:14" x14ac:dyDescent="0.2">
      <c r="B10" t="s">
        <v>5</v>
      </c>
      <c r="C10" s="1">
        <f>$C$2/(1.08)^4</f>
        <v>-14700597.055929065</v>
      </c>
    </row>
    <row r="11" spans="1:14" x14ac:dyDescent="0.2">
      <c r="B11" t="s">
        <v>6</v>
      </c>
      <c r="C11" s="1">
        <f>$G$2/(1.08)^5</f>
        <v>136116639.40675059</v>
      </c>
    </row>
    <row r="12" spans="1:14" x14ac:dyDescent="0.2">
      <c r="B12" t="s">
        <v>7</v>
      </c>
      <c r="C12" s="1">
        <f>$G$2/(1.08)^6</f>
        <v>126033925.37662092</v>
      </c>
    </row>
    <row r="13" spans="1:14" x14ac:dyDescent="0.2">
      <c r="B13" t="s">
        <v>8</v>
      </c>
      <c r="C13" s="1">
        <f>$G$2/(1.08)^7</f>
        <v>116698079.05242677</v>
      </c>
    </row>
    <row r="14" spans="1:14" x14ac:dyDescent="0.2">
      <c r="B14" t="s">
        <v>9</v>
      </c>
      <c r="C14" s="1">
        <f>$G$2/(1.08)^8</f>
        <v>108053776.90039515</v>
      </c>
    </row>
    <row r="15" spans="1:14" x14ac:dyDescent="0.2">
      <c r="B15" t="s">
        <v>10</v>
      </c>
      <c r="C15" s="1">
        <f>$G$2/(1.08)^9</f>
        <v>100049793.42629181</v>
      </c>
    </row>
    <row r="16" spans="1:14" x14ac:dyDescent="0.2">
      <c r="B16" t="s">
        <v>11</v>
      </c>
      <c r="C16" s="1">
        <f>$G$2/(1.08)^10</f>
        <v>92638697.616936848</v>
      </c>
    </row>
    <row r="17" spans="2:3" x14ac:dyDescent="0.2">
      <c r="B17" t="s">
        <v>12</v>
      </c>
      <c r="C17" s="1">
        <f>$G$2/(1.08)^11</f>
        <v>85776571.867534116</v>
      </c>
    </row>
    <row r="18" spans="2:3" x14ac:dyDescent="0.2">
      <c r="B18" t="s">
        <v>13</v>
      </c>
      <c r="C18" s="1">
        <f>N2/(1.08)^12</f>
        <v>119134127.59379739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5860-82D3-4D7E-8F1A-5871A9B60358}">
  <sheetPr>
    <tabColor rgb="FF92D050"/>
  </sheetPr>
  <dimension ref="A1:N17"/>
  <sheetViews>
    <sheetView workbookViewId="0">
      <selection activeCell="F9" sqref="F9"/>
    </sheetView>
  </sheetViews>
  <sheetFormatPr baseColWidth="10" defaultColWidth="8.83203125" defaultRowHeight="15" x14ac:dyDescent="0.2"/>
  <cols>
    <col min="2" max="3" width="17.33203125" bestFit="1" customWidth="1"/>
    <col min="4" max="6" width="16.1640625" bestFit="1" customWidth="1"/>
    <col min="7" max="7" width="16.5" bestFit="1" customWidth="1"/>
    <col min="8" max="8" width="17.33203125" bestFit="1" customWidth="1"/>
    <col min="9" max="14" width="16.5" bestFit="1" customWidth="1"/>
  </cols>
  <sheetData>
    <row r="1" spans="1:14" x14ac:dyDescent="0.2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-810000000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210000000</v>
      </c>
      <c r="H2" s="1">
        <v>210000000</v>
      </c>
      <c r="I2" s="1">
        <v>210000000</v>
      </c>
      <c r="J2" s="1">
        <v>210000000</v>
      </c>
      <c r="K2" s="1">
        <v>210000000</v>
      </c>
      <c r="L2" s="1">
        <v>210000000</v>
      </c>
      <c r="M2" s="1">
        <v>210000000</v>
      </c>
      <c r="N2" s="1">
        <v>210000000</v>
      </c>
    </row>
    <row r="4" spans="1:14" x14ac:dyDescent="0.2">
      <c r="B4" t="s">
        <v>14</v>
      </c>
    </row>
    <row r="5" spans="1:14" x14ac:dyDescent="0.2">
      <c r="B5" t="s">
        <v>46</v>
      </c>
      <c r="C5" s="1">
        <f>B2</f>
        <v>-810000000</v>
      </c>
    </row>
    <row r="6" spans="1:14" x14ac:dyDescent="0.2">
      <c r="B6" t="s">
        <v>2</v>
      </c>
      <c r="C6" s="1">
        <f>$D$2/(1.08)</f>
        <v>-18518518.518518519</v>
      </c>
      <c r="E6" t="s">
        <v>15</v>
      </c>
      <c r="F6" s="5">
        <f>NPV(0.08,C2:N2)+B2</f>
        <v>10787210.344075441</v>
      </c>
      <c r="G6" s="1">
        <f>SUM(C5:C17)</f>
        <v>10787210.344075546</v>
      </c>
    </row>
    <row r="7" spans="1:14" x14ac:dyDescent="0.2">
      <c r="B7" t="s">
        <v>3</v>
      </c>
      <c r="C7" s="1">
        <f>$D$2/(1.08)^2</f>
        <v>-17146776.406035665</v>
      </c>
      <c r="E7" t="s">
        <v>16</v>
      </c>
      <c r="F7" s="8">
        <f>IRR(B2:N2,-8%)</f>
        <v>8.1671217751639658E-2</v>
      </c>
    </row>
    <row r="8" spans="1:14" x14ac:dyDescent="0.2">
      <c r="B8" t="s">
        <v>4</v>
      </c>
      <c r="C8" s="1">
        <f>$D$2/(1.08)^3</f>
        <v>-15876644.820403391</v>
      </c>
      <c r="E8" t="s">
        <v>17</v>
      </c>
      <c r="F8" s="6">
        <f>H12/810000000</f>
        <v>1.0133175436346611</v>
      </c>
    </row>
    <row r="9" spans="1:14" x14ac:dyDescent="0.2">
      <c r="B9" t="s">
        <v>5</v>
      </c>
      <c r="C9" s="1">
        <f>$D$2/(1.08)^4</f>
        <v>-14700597.055929065</v>
      </c>
      <c r="E9" t="s">
        <v>18</v>
      </c>
      <c r="F9">
        <v>8.81</v>
      </c>
    </row>
    <row r="10" spans="1:14" x14ac:dyDescent="0.2">
      <c r="B10" t="s">
        <v>6</v>
      </c>
      <c r="C10" s="1">
        <f>$G$2/(1.08)^5</f>
        <v>142922471.37708813</v>
      </c>
    </row>
    <row r="11" spans="1:14" x14ac:dyDescent="0.2">
      <c r="B11" t="s">
        <v>7</v>
      </c>
      <c r="C11" s="1">
        <f>$G$2/(1.08)^6</f>
        <v>132335621.64545196</v>
      </c>
      <c r="H11" s="1">
        <v>-810000000</v>
      </c>
    </row>
    <row r="12" spans="1:14" x14ac:dyDescent="0.2">
      <c r="B12" t="s">
        <v>8</v>
      </c>
      <c r="C12" s="1">
        <f>$G$2/(1.08)^7</f>
        <v>122532983.00504811</v>
      </c>
      <c r="H12" s="1">
        <f>SUM(C6:C17)</f>
        <v>820787210.34407556</v>
      </c>
    </row>
    <row r="13" spans="1:14" x14ac:dyDescent="0.2">
      <c r="B13" t="s">
        <v>9</v>
      </c>
      <c r="C13" s="1">
        <f>$G$2/(1.08)^8</f>
        <v>113456465.74541491</v>
      </c>
    </row>
    <row r="14" spans="1:14" x14ac:dyDescent="0.2">
      <c r="B14" t="s">
        <v>10</v>
      </c>
      <c r="C14" s="1">
        <f>$G$2/(1.08)^9</f>
        <v>105052283.09760639</v>
      </c>
    </row>
    <row r="15" spans="1:14" x14ac:dyDescent="0.2">
      <c r="B15" t="s">
        <v>11</v>
      </c>
      <c r="C15" s="1">
        <f>$G$2/(1.08)^10</f>
        <v>97270632.497783691</v>
      </c>
    </row>
    <row r="16" spans="1:14" x14ac:dyDescent="0.2">
      <c r="B16" t="s">
        <v>12</v>
      </c>
      <c r="C16" s="1">
        <f>$G$2/(1.08)^11</f>
        <v>90065400.460910827</v>
      </c>
    </row>
    <row r="17" spans="2:3" x14ac:dyDescent="0.2">
      <c r="B17" t="s">
        <v>13</v>
      </c>
      <c r="C17" s="1">
        <f>$G$2/(1.08)^12</f>
        <v>83393889.315658167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DBB6-C572-4987-B977-F3DC932E1A77}">
  <sheetPr>
    <tabColor rgb="FFFF0000"/>
  </sheetPr>
  <dimension ref="A1:N18"/>
  <sheetViews>
    <sheetView topLeftCell="D1" workbookViewId="0">
      <selection activeCell="H20" sqref="H20"/>
    </sheetView>
  </sheetViews>
  <sheetFormatPr baseColWidth="10" defaultColWidth="8.83203125" defaultRowHeight="15" x14ac:dyDescent="0.2"/>
  <cols>
    <col min="2" max="3" width="17.33203125" bestFit="1" customWidth="1"/>
    <col min="4" max="5" width="16.1640625" bestFit="1" customWidth="1"/>
    <col min="6" max="7" width="17.33203125" bestFit="1" customWidth="1"/>
    <col min="8" max="14" width="16.5" bestFit="1" customWidth="1"/>
  </cols>
  <sheetData>
    <row r="1" spans="1:14" x14ac:dyDescent="0.2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180000000</v>
      </c>
      <c r="H2" s="1">
        <v>180000000</v>
      </c>
      <c r="I2" s="1">
        <v>180000000</v>
      </c>
      <c r="J2" s="1">
        <v>180000000</v>
      </c>
      <c r="K2" s="1">
        <v>180000000</v>
      </c>
      <c r="L2" s="1">
        <v>180000000</v>
      </c>
      <c r="M2" s="1">
        <v>180000000</v>
      </c>
      <c r="N2" s="1">
        <v>180000000</v>
      </c>
    </row>
    <row r="4" spans="1:14" x14ac:dyDescent="0.2">
      <c r="B4" t="s">
        <v>14</v>
      </c>
    </row>
    <row r="5" spans="1:14" x14ac:dyDescent="0.2">
      <c r="B5" t="s">
        <v>46</v>
      </c>
      <c r="C5" s="1">
        <f>B2</f>
        <v>-800000000</v>
      </c>
      <c r="E5" t="s">
        <v>15</v>
      </c>
      <c r="F5" s="5">
        <f>NPV(0.08,C2:N2)+B2</f>
        <v>-105931324.96234775</v>
      </c>
      <c r="G5" s="1">
        <f>SUM(C5:C17)</f>
        <v>-105931324.96234761</v>
      </c>
    </row>
    <row r="6" spans="1:14" x14ac:dyDescent="0.2">
      <c r="B6" t="s">
        <v>2</v>
      </c>
      <c r="C6" s="1">
        <f>$C$2/(1.08)</f>
        <v>-18518518.518518519</v>
      </c>
      <c r="E6" t="s">
        <v>16</v>
      </c>
      <c r="F6" s="8">
        <f>IRR(B2:N2,-8%)</f>
        <v>6.2431046697941417E-2</v>
      </c>
    </row>
    <row r="7" spans="1:14" x14ac:dyDescent="0.2">
      <c r="B7" t="s">
        <v>3</v>
      </c>
      <c r="C7" s="1">
        <f>$C$2/(1.08)^2</f>
        <v>-17146776.406035665</v>
      </c>
      <c r="E7" t="s">
        <v>17</v>
      </c>
      <c r="F7" s="6">
        <f>F18/800000000</f>
        <v>0.8675858437970656</v>
      </c>
    </row>
    <row r="8" spans="1:14" x14ac:dyDescent="0.2">
      <c r="B8" t="s">
        <v>4</v>
      </c>
      <c r="C8" s="1">
        <f>$C$2/(1.08)^3</f>
        <v>-15876644.820403391</v>
      </c>
      <c r="E8" t="s">
        <v>41</v>
      </c>
      <c r="F8" s="3" t="s">
        <v>47</v>
      </c>
    </row>
    <row r="9" spans="1:14" x14ac:dyDescent="0.2">
      <c r="B9" t="s">
        <v>5</v>
      </c>
      <c r="C9" s="1">
        <f>$C$2/(1.08)^4</f>
        <v>-14700597.055929065</v>
      </c>
    </row>
    <row r="10" spans="1:14" x14ac:dyDescent="0.2">
      <c r="B10" t="s">
        <v>6</v>
      </c>
      <c r="C10" s="1">
        <f>$G$2/(1.08)^5</f>
        <v>122504975.46607554</v>
      </c>
    </row>
    <row r="11" spans="1:14" x14ac:dyDescent="0.2">
      <c r="B11" t="s">
        <v>7</v>
      </c>
      <c r="C11" s="1">
        <f>$G$2/(1.08)^6</f>
        <v>113430532.83895881</v>
      </c>
    </row>
    <row r="12" spans="1:14" x14ac:dyDescent="0.2">
      <c r="B12" t="s">
        <v>8</v>
      </c>
      <c r="C12" s="1">
        <f>$G$2/(1.08)^7</f>
        <v>105028271.14718409</v>
      </c>
    </row>
    <row r="13" spans="1:14" x14ac:dyDescent="0.2">
      <c r="B13" t="s">
        <v>9</v>
      </c>
      <c r="C13" s="1">
        <f>$G$2/(1.08)^8</f>
        <v>97248399.210355639</v>
      </c>
    </row>
    <row r="14" spans="1:14" x14ac:dyDescent="0.2">
      <c r="B14" t="s">
        <v>10</v>
      </c>
      <c r="C14" s="1">
        <f>$G$2/(1.08)^9</f>
        <v>90044814.083662614</v>
      </c>
    </row>
    <row r="15" spans="1:14" x14ac:dyDescent="0.2">
      <c r="B15" t="s">
        <v>11</v>
      </c>
      <c r="C15" s="1">
        <f>$G$2/(1.08)^10</f>
        <v>83374827.855243161</v>
      </c>
    </row>
    <row r="16" spans="1:14" x14ac:dyDescent="0.2">
      <c r="B16" t="s">
        <v>12</v>
      </c>
      <c r="C16" s="1">
        <f>$G$2/(1.08)^11</f>
        <v>77198914.680780709</v>
      </c>
    </row>
    <row r="17" spans="2:6" x14ac:dyDescent="0.2">
      <c r="B17" t="s">
        <v>13</v>
      </c>
      <c r="C17" s="1">
        <f>$G$2/(1.08)^12</f>
        <v>71480476.556278422</v>
      </c>
      <c r="E17" t="s">
        <v>48</v>
      </c>
      <c r="F17" s="1">
        <f>SUM(C5:C9)</f>
        <v>-866242536.80088663</v>
      </c>
    </row>
    <row r="18" spans="2:6" x14ac:dyDescent="0.2">
      <c r="E18" t="s">
        <v>49</v>
      </c>
      <c r="F18" s="1">
        <f>SUM(C6:C17)</f>
        <v>694068675.03765249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D3EA-F01B-4FDD-ABFE-33AE722A627A}">
  <sheetPr>
    <tabColor rgb="FFFF0000"/>
  </sheetPr>
  <dimension ref="A1:N17"/>
  <sheetViews>
    <sheetView topLeftCell="C1" workbookViewId="0">
      <selection activeCell="J19" sqref="J19"/>
    </sheetView>
  </sheetViews>
  <sheetFormatPr baseColWidth="10" defaultColWidth="8.83203125" defaultRowHeight="15" x14ac:dyDescent="0.2"/>
  <cols>
    <col min="2" max="3" width="17.33203125" bestFit="1" customWidth="1"/>
    <col min="4" max="5" width="16.1640625" bestFit="1" customWidth="1"/>
    <col min="6" max="6" width="17.33203125" bestFit="1" customWidth="1"/>
    <col min="7" max="9" width="16.5" bestFit="1" customWidth="1"/>
    <col min="10" max="11" width="17.33203125" bestFit="1" customWidth="1"/>
    <col min="12" max="14" width="16.5" bestFit="1" customWidth="1"/>
  </cols>
  <sheetData>
    <row r="1" spans="1:14" x14ac:dyDescent="0.2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500000000</v>
      </c>
      <c r="H2" s="1"/>
      <c r="I2" s="1"/>
      <c r="J2" s="1"/>
      <c r="K2" s="1"/>
      <c r="L2" s="1"/>
      <c r="M2" s="1"/>
      <c r="N2" s="1"/>
    </row>
    <row r="4" spans="1:14" x14ac:dyDescent="0.2">
      <c r="B4" t="s">
        <v>14</v>
      </c>
    </row>
    <row r="5" spans="1:14" x14ac:dyDescent="0.2">
      <c r="B5" t="s">
        <v>1</v>
      </c>
      <c r="C5" s="1">
        <f>B2</f>
        <v>-800000000</v>
      </c>
      <c r="H5" t="s">
        <v>50</v>
      </c>
      <c r="I5" t="s">
        <v>14</v>
      </c>
    </row>
    <row r="6" spans="1:14" x14ac:dyDescent="0.2">
      <c r="B6" t="s">
        <v>2</v>
      </c>
      <c r="C6" s="1">
        <f>$C$2/(1.08)</f>
        <v>-18518518.518518519</v>
      </c>
      <c r="I6" t="s">
        <v>2</v>
      </c>
      <c r="J6" s="1">
        <f>C5</f>
        <v>-800000000</v>
      </c>
    </row>
    <row r="7" spans="1:14" x14ac:dyDescent="0.2">
      <c r="B7" t="s">
        <v>3</v>
      </c>
      <c r="C7" s="1">
        <f>$C$2/(1.08)^2</f>
        <v>-17146776.406035665</v>
      </c>
      <c r="I7" t="s">
        <v>3</v>
      </c>
      <c r="J7" s="1">
        <f>C6</f>
        <v>-18518518.518518519</v>
      </c>
    </row>
    <row r="8" spans="1:14" x14ac:dyDescent="0.2">
      <c r="B8" t="s">
        <v>4</v>
      </c>
      <c r="C8" s="1">
        <f>$C$2/(1.08)^3</f>
        <v>-15876644.820403391</v>
      </c>
      <c r="I8" t="s">
        <v>4</v>
      </c>
      <c r="J8" s="1">
        <f>C7</f>
        <v>-17146776.406035665</v>
      </c>
    </row>
    <row r="9" spans="1:14" x14ac:dyDescent="0.2">
      <c r="B9" t="s">
        <v>5</v>
      </c>
      <c r="C9" s="1">
        <f>$C$2/(1.08)^4</f>
        <v>-14700597.055929065</v>
      </c>
      <c r="I9" t="s">
        <v>5</v>
      </c>
      <c r="J9" s="1">
        <f>C8</f>
        <v>-15876644.820403391</v>
      </c>
    </row>
    <row r="10" spans="1:14" x14ac:dyDescent="0.2">
      <c r="C10" s="1"/>
      <c r="I10" t="s">
        <v>6</v>
      </c>
      <c r="J10" s="1">
        <f>C9</f>
        <v>-14700597.055929065</v>
      </c>
    </row>
    <row r="11" spans="1:14" x14ac:dyDescent="0.2">
      <c r="C11" s="1"/>
      <c r="I11" t="s">
        <v>7</v>
      </c>
      <c r="J11" s="1">
        <f>500000000/(1.08)^5</f>
        <v>340291598.51687652</v>
      </c>
    </row>
    <row r="12" spans="1:14" x14ac:dyDescent="0.2">
      <c r="C12" s="1"/>
    </row>
    <row r="13" spans="1:14" x14ac:dyDescent="0.2">
      <c r="C13" s="1"/>
      <c r="I13" t="s">
        <v>15</v>
      </c>
      <c r="J13" s="5">
        <f>NPV(0.08,C2:G2)+B2</f>
        <v>-525950938.28401017</v>
      </c>
      <c r="K13" s="1">
        <f>SUM(J6:J11)</f>
        <v>-525950938.28401011</v>
      </c>
    </row>
    <row r="14" spans="1:14" x14ac:dyDescent="0.2">
      <c r="C14" s="1"/>
      <c r="I14" t="s">
        <v>16</v>
      </c>
      <c r="J14" s="8">
        <f>IRR(B2:G2,-8%)</f>
        <v>-0.11264311678279626</v>
      </c>
    </row>
    <row r="15" spans="1:14" x14ac:dyDescent="0.2">
      <c r="C15" s="1"/>
      <c r="I15" t="s">
        <v>18</v>
      </c>
      <c r="J15" t="s">
        <v>51</v>
      </c>
    </row>
    <row r="16" spans="1:14" x14ac:dyDescent="0.2">
      <c r="C16" s="1"/>
      <c r="E16" t="s">
        <v>52</v>
      </c>
      <c r="F16" s="1">
        <v>800000000</v>
      </c>
    </row>
    <row r="17" spans="3:6" x14ac:dyDescent="0.2">
      <c r="C17" s="1"/>
      <c r="F1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E4F8-B4ED-4592-AA93-AA6EAA5BD37F}">
  <sheetPr>
    <tabColor rgb="FFFF0000"/>
  </sheetPr>
  <dimension ref="A1:N17"/>
  <sheetViews>
    <sheetView topLeftCell="E1" workbookViewId="0">
      <selection activeCell="H15" sqref="H15"/>
    </sheetView>
  </sheetViews>
  <sheetFormatPr baseColWidth="10" defaultColWidth="8.83203125" defaultRowHeight="15" x14ac:dyDescent="0.2"/>
  <cols>
    <col min="2" max="3" width="17.33203125" bestFit="1" customWidth="1"/>
    <col min="4" max="5" width="16.1640625" bestFit="1" customWidth="1"/>
    <col min="6" max="6" width="17.33203125" bestFit="1" customWidth="1"/>
    <col min="7" max="14" width="16.5" bestFit="1" customWidth="1"/>
  </cols>
  <sheetData>
    <row r="1" spans="1:14" x14ac:dyDescent="0.2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152000000</v>
      </c>
      <c r="H2" s="1">
        <f>G2*(1.08)</f>
        <v>164160000</v>
      </c>
      <c r="I2" s="1">
        <f>H2*(1.08)</f>
        <v>177292800</v>
      </c>
      <c r="J2" s="1">
        <f>I2*(1.08)</f>
        <v>191476224</v>
      </c>
      <c r="K2" s="1">
        <f>J2*(1.08)</f>
        <v>206794321.92000002</v>
      </c>
      <c r="L2" s="1">
        <f>K2*1.08</f>
        <v>223337867.67360002</v>
      </c>
      <c r="M2" s="1">
        <f>L2*1.08</f>
        <v>241204897.08748803</v>
      </c>
      <c r="N2" s="1">
        <f>M2*1.08</f>
        <v>260501288.85448709</v>
      </c>
    </row>
    <row r="4" spans="1:14" x14ac:dyDescent="0.2">
      <c r="B4" t="s">
        <v>14</v>
      </c>
    </row>
    <row r="5" spans="1:14" x14ac:dyDescent="0.2">
      <c r="B5" t="s">
        <v>46</v>
      </c>
      <c r="C5" s="1">
        <f>B2</f>
        <v>-800000000</v>
      </c>
      <c r="E5" t="s">
        <v>15</v>
      </c>
      <c r="F5" s="5">
        <f>NPV(0.08,C2:N2)+B2</f>
        <v>-38653369.207843065</v>
      </c>
      <c r="G5" s="1">
        <f>SUM(C5:C17)</f>
        <v>-38653369.207843214</v>
      </c>
    </row>
    <row r="6" spans="1:14" x14ac:dyDescent="0.2">
      <c r="B6" t="s">
        <v>2</v>
      </c>
      <c r="C6" s="1">
        <f>$C$2/(1.08)</f>
        <v>-18518518.518518519</v>
      </c>
      <c r="E6" t="s">
        <v>16</v>
      </c>
      <c r="F6" s="8">
        <f>IRR(B2:N2,-8%)</f>
        <v>7.4097239096289513E-2</v>
      </c>
    </row>
    <row r="7" spans="1:14" x14ac:dyDescent="0.2">
      <c r="B7" t="s">
        <v>3</v>
      </c>
      <c r="C7" s="1">
        <f>$C$2/(1.08)^2</f>
        <v>-17146776.406035665</v>
      </c>
      <c r="E7" t="s">
        <v>17</v>
      </c>
      <c r="F7" s="6">
        <f>F17/800000000</f>
        <v>0.95168328849019601</v>
      </c>
    </row>
    <row r="8" spans="1:14" x14ac:dyDescent="0.2">
      <c r="B8" t="s">
        <v>4</v>
      </c>
      <c r="C8" s="1">
        <f>$C$2/(1.08)^3</f>
        <v>-15876644.820403391</v>
      </c>
      <c r="E8" t="s">
        <v>18</v>
      </c>
      <c r="F8" s="3" t="s">
        <v>53</v>
      </c>
    </row>
    <row r="9" spans="1:14" x14ac:dyDescent="0.2">
      <c r="B9" t="s">
        <v>5</v>
      </c>
      <c r="C9" s="1">
        <f>$C$2/(1.08)^4</f>
        <v>-14700597.055929065</v>
      </c>
    </row>
    <row r="10" spans="1:14" x14ac:dyDescent="0.2">
      <c r="B10" t="s">
        <v>6</v>
      </c>
      <c r="C10" s="1">
        <f>G2/(1.08)^5</f>
        <v>103448645.94913046</v>
      </c>
    </row>
    <row r="11" spans="1:14" x14ac:dyDescent="0.2">
      <c r="B11" t="s">
        <v>7</v>
      </c>
      <c r="C11" s="1">
        <f>H2/(1.08)^6</f>
        <v>103448645.94913045</v>
      </c>
    </row>
    <row r="12" spans="1:14" x14ac:dyDescent="0.2">
      <c r="B12" t="s">
        <v>8</v>
      </c>
      <c r="C12" s="1">
        <f>I2/(1.08)^7</f>
        <v>103448645.94913045</v>
      </c>
    </row>
    <row r="13" spans="1:14" x14ac:dyDescent="0.2">
      <c r="B13" t="s">
        <v>9</v>
      </c>
      <c r="C13" s="1">
        <f>J2/(1.08)^8</f>
        <v>103448645.94913045</v>
      </c>
    </row>
    <row r="14" spans="1:14" x14ac:dyDescent="0.2">
      <c r="B14" t="s">
        <v>10</v>
      </c>
      <c r="C14" s="1">
        <f>K2/(1.08)^9</f>
        <v>103448645.94913045</v>
      </c>
    </row>
    <row r="15" spans="1:14" x14ac:dyDescent="0.2">
      <c r="B15" t="s">
        <v>11</v>
      </c>
      <c r="C15" s="1">
        <f>L2/(1.08)^10</f>
        <v>103448645.94913045</v>
      </c>
    </row>
    <row r="16" spans="1:14" x14ac:dyDescent="0.2">
      <c r="B16" t="s">
        <v>12</v>
      </c>
      <c r="C16" s="1">
        <f>M2/(1.08)^11</f>
        <v>103448645.94913045</v>
      </c>
      <c r="E16" t="s">
        <v>48</v>
      </c>
      <c r="F16" s="1">
        <f>SUM(C5)</f>
        <v>-800000000</v>
      </c>
    </row>
    <row r="17" spans="2:6" x14ac:dyDescent="0.2">
      <c r="B17" t="s">
        <v>13</v>
      </c>
      <c r="C17" s="1">
        <f>N2/(1.08)^12</f>
        <v>103448645.94913045</v>
      </c>
      <c r="E17" t="s">
        <v>49</v>
      </c>
      <c r="F17" s="1">
        <f>SUM(C6:C17)</f>
        <v>761346630.79215682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E88A-3F76-4C69-976E-78407B1E77EC}">
  <sheetPr>
    <tabColor rgb="FFFF0000"/>
  </sheetPr>
  <dimension ref="A1:L17"/>
  <sheetViews>
    <sheetView workbookViewId="0">
      <selection activeCell="F6" sqref="F6"/>
    </sheetView>
  </sheetViews>
  <sheetFormatPr baseColWidth="10" defaultColWidth="8.83203125" defaultRowHeight="15" x14ac:dyDescent="0.2"/>
  <cols>
    <col min="2" max="3" width="17.33203125" bestFit="1" customWidth="1"/>
    <col min="4" max="5" width="16.1640625" bestFit="1" customWidth="1"/>
    <col min="6" max="7" width="17.33203125" bestFit="1" customWidth="1"/>
    <col min="8" max="12" width="16.5" bestFit="1" customWidth="1"/>
  </cols>
  <sheetData>
    <row r="1" spans="1:12" x14ac:dyDescent="0.2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200000000</v>
      </c>
      <c r="H2" s="1">
        <v>200000000</v>
      </c>
      <c r="I2" s="1">
        <v>200000000</v>
      </c>
      <c r="J2" s="1">
        <v>200000000</v>
      </c>
      <c r="K2" s="1">
        <v>200000000</v>
      </c>
      <c r="L2" s="1">
        <v>200000000</v>
      </c>
    </row>
    <row r="4" spans="1:12" x14ac:dyDescent="0.2">
      <c r="B4" t="s">
        <v>14</v>
      </c>
    </row>
    <row r="5" spans="1:12" x14ac:dyDescent="0.2">
      <c r="B5" t="s">
        <v>46</v>
      </c>
      <c r="C5" s="1">
        <f>B2</f>
        <v>-800000000</v>
      </c>
      <c r="E5" t="s">
        <v>15</v>
      </c>
      <c r="F5" s="5">
        <f>NPV(0.08,C2:L2)+B2</f>
        <v>-186651625.02146471</v>
      </c>
      <c r="G5" s="1">
        <f>SUM(C5:C15)</f>
        <v>-186651625.02146459</v>
      </c>
    </row>
    <row r="6" spans="1:12" x14ac:dyDescent="0.2">
      <c r="B6" t="s">
        <v>2</v>
      </c>
      <c r="C6" s="1">
        <f>C$2/(1.08)</f>
        <v>-18518518.518518519</v>
      </c>
      <c r="E6" t="s">
        <v>16</v>
      </c>
      <c r="F6" s="8">
        <f>IRR(B2:L2,-8%)</f>
        <v>4.3874378345227782E-2</v>
      </c>
    </row>
    <row r="7" spans="1:12" x14ac:dyDescent="0.2">
      <c r="B7" t="s">
        <v>3</v>
      </c>
      <c r="C7" s="1">
        <f>C$2/(1.08)^2</f>
        <v>-17146776.406035665</v>
      </c>
      <c r="E7" t="s">
        <v>17</v>
      </c>
      <c r="F7" s="6">
        <f>F17/800000000</f>
        <v>0.76668546872316923</v>
      </c>
    </row>
    <row r="8" spans="1:12" x14ac:dyDescent="0.2">
      <c r="B8" t="s">
        <v>4</v>
      </c>
      <c r="C8" s="1">
        <f>C$2/(1.08)^3</f>
        <v>-15876644.820403391</v>
      </c>
      <c r="E8" t="s">
        <v>18</v>
      </c>
      <c r="F8" s="3" t="s">
        <v>19</v>
      </c>
    </row>
    <row r="9" spans="1:12" x14ac:dyDescent="0.2">
      <c r="B9" t="s">
        <v>5</v>
      </c>
      <c r="C9" s="1">
        <f>C$2/(1.08)^4</f>
        <v>-14700597.055929065</v>
      </c>
    </row>
    <row r="10" spans="1:12" x14ac:dyDescent="0.2">
      <c r="B10" t="s">
        <v>6</v>
      </c>
      <c r="C10" s="1">
        <f>G$2/(1.08)^5</f>
        <v>136116639.40675059</v>
      </c>
    </row>
    <row r="11" spans="1:12" x14ac:dyDescent="0.2">
      <c r="B11" t="s">
        <v>7</v>
      </c>
      <c r="C11" s="1">
        <f>G$2/(1.08)^6</f>
        <v>126033925.37662092</v>
      </c>
    </row>
    <row r="12" spans="1:12" x14ac:dyDescent="0.2">
      <c r="B12" t="s">
        <v>8</v>
      </c>
      <c r="C12" s="1">
        <f>G$2/(1.08)^7</f>
        <v>116698079.05242677</v>
      </c>
    </row>
    <row r="13" spans="1:12" x14ac:dyDescent="0.2">
      <c r="B13" t="s">
        <v>9</v>
      </c>
      <c r="C13" s="1">
        <f>G$2/(1.08)^8</f>
        <v>108053776.90039515</v>
      </c>
    </row>
    <row r="14" spans="1:12" x14ac:dyDescent="0.2">
      <c r="B14" t="s">
        <v>10</v>
      </c>
      <c r="C14" s="1">
        <f>G$2/(1.08)^9</f>
        <v>100049793.42629181</v>
      </c>
    </row>
    <row r="15" spans="1:12" x14ac:dyDescent="0.2">
      <c r="B15" t="s">
        <v>11</v>
      </c>
      <c r="C15" s="1">
        <f>G$2/(1.08)^10</f>
        <v>92638697.616936848</v>
      </c>
    </row>
    <row r="16" spans="1:12" x14ac:dyDescent="0.2">
      <c r="E16" t="s">
        <v>52</v>
      </c>
      <c r="F16" s="1">
        <f>SUM(C5)</f>
        <v>-800000000</v>
      </c>
    </row>
    <row r="17" spans="5:6" x14ac:dyDescent="0.2">
      <c r="E17" t="s">
        <v>49</v>
      </c>
      <c r="F17" s="1">
        <f>SUM(C6:C15)</f>
        <v>613348374.97853541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1FB-A7F8-48DF-AE41-20DC7E11FC0F}">
  <sheetPr>
    <tabColor rgb="FF92D050"/>
  </sheetPr>
  <dimension ref="A1:N17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1.5" bestFit="1" customWidth="1"/>
    <col min="2" max="2" width="17.83203125" bestFit="1" customWidth="1"/>
    <col min="3" max="3" width="24.5" bestFit="1" customWidth="1"/>
    <col min="4" max="5" width="16.5" bestFit="1" customWidth="1"/>
    <col min="6" max="6" width="17.83203125" bestFit="1" customWidth="1"/>
    <col min="7" max="12" width="16.83203125" bestFit="1" customWidth="1"/>
    <col min="13" max="14" width="16.5" bestFit="1" customWidth="1"/>
  </cols>
  <sheetData>
    <row r="1" spans="1:14" x14ac:dyDescent="0.2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s="1">
        <v>-800000000</v>
      </c>
      <c r="C2" s="1">
        <v>-20000000</v>
      </c>
      <c r="D2" s="1">
        <v>-20000000</v>
      </c>
      <c r="E2" s="1">
        <v>-20000000</v>
      </c>
      <c r="F2" s="1">
        <v>-20000000</v>
      </c>
      <c r="G2" s="1">
        <v>200000000</v>
      </c>
      <c r="H2" s="1">
        <v>200000000</v>
      </c>
      <c r="I2" s="1">
        <v>200000000</v>
      </c>
      <c r="J2" s="1">
        <v>200000000</v>
      </c>
      <c r="K2" s="1">
        <v>200000000</v>
      </c>
      <c r="L2" s="1">
        <v>200000000</v>
      </c>
      <c r="M2" s="1">
        <v>200000000</v>
      </c>
      <c r="N2" s="1">
        <v>200000000</v>
      </c>
    </row>
    <row r="4" spans="1:14" x14ac:dyDescent="0.2">
      <c r="B4" t="s">
        <v>14</v>
      </c>
    </row>
    <row r="5" spans="1:14" x14ac:dyDescent="0.2">
      <c r="B5" t="s">
        <v>46</v>
      </c>
      <c r="C5" s="1">
        <f>B2</f>
        <v>-800000000</v>
      </c>
      <c r="E5" t="s">
        <v>15</v>
      </c>
      <c r="F5" s="5">
        <f>NPV(0.05,C2:N2)+B2</f>
        <v>192541216.37404239</v>
      </c>
      <c r="G5" s="1">
        <f>SUM(C5:C17)</f>
        <v>192541216.37404245</v>
      </c>
    </row>
    <row r="6" spans="1:14" x14ac:dyDescent="0.2">
      <c r="B6" t="s">
        <v>2</v>
      </c>
      <c r="C6" s="1">
        <f>C$2/(1.05)</f>
        <v>-19047619.047619049</v>
      </c>
      <c r="E6" t="s">
        <v>16</v>
      </c>
      <c r="F6" s="8">
        <f>IRR(B2:N2,-5%)</f>
        <v>7.6586755040051857E-2</v>
      </c>
    </row>
    <row r="7" spans="1:14" x14ac:dyDescent="0.2">
      <c r="B7" t="s">
        <v>3</v>
      </c>
      <c r="C7" s="1">
        <f>C$2/(1.05)^2</f>
        <v>-18140589.569160998</v>
      </c>
      <c r="E7" t="s">
        <v>17</v>
      </c>
      <c r="F7" s="6">
        <f>F17/800000000</f>
        <v>1.329325283071612</v>
      </c>
    </row>
    <row r="8" spans="1:14" x14ac:dyDescent="0.2">
      <c r="B8" t="s">
        <v>4</v>
      </c>
      <c r="C8" s="1">
        <f>C$2/(1.05)^3</f>
        <v>-17276751.970629521</v>
      </c>
      <c r="E8" t="s">
        <v>18</v>
      </c>
      <c r="F8" t="s">
        <v>19</v>
      </c>
    </row>
    <row r="9" spans="1:14" x14ac:dyDescent="0.2">
      <c r="B9" t="s">
        <v>5</v>
      </c>
      <c r="C9" s="1">
        <f>C$2/(1.05)^4</f>
        <v>-16454049.49583764</v>
      </c>
    </row>
    <row r="10" spans="1:14" x14ac:dyDescent="0.2">
      <c r="B10" t="s">
        <v>6</v>
      </c>
      <c r="C10" s="1">
        <f>G$2/(1.05)^5</f>
        <v>156705233.29369178</v>
      </c>
    </row>
    <row r="11" spans="1:14" x14ac:dyDescent="0.2">
      <c r="B11" t="s">
        <v>7</v>
      </c>
      <c r="C11" s="1">
        <f>G$2/(1.05)^6</f>
        <v>149243079.32732552</v>
      </c>
    </row>
    <row r="12" spans="1:14" x14ac:dyDescent="0.2">
      <c r="B12" t="s">
        <v>8</v>
      </c>
      <c r="C12" s="1">
        <f>G$2/(1.05)^7</f>
        <v>142136266.02602428</v>
      </c>
    </row>
    <row r="13" spans="1:14" x14ac:dyDescent="0.2">
      <c r="B13" t="s">
        <v>9</v>
      </c>
      <c r="C13" s="1">
        <f>G$2/(1.05)^8</f>
        <v>135367872.40573743</v>
      </c>
    </row>
    <row r="14" spans="1:14" x14ac:dyDescent="0.2">
      <c r="B14" t="s">
        <v>10</v>
      </c>
      <c r="C14" s="1">
        <f>G$2/(1.05)^9</f>
        <v>128921783.24355945</v>
      </c>
    </row>
    <row r="15" spans="1:14" x14ac:dyDescent="0.2">
      <c r="B15" t="s">
        <v>11</v>
      </c>
      <c r="C15" s="1">
        <f>G$2/(1.05)^10</f>
        <v>122782650.70815186</v>
      </c>
    </row>
    <row r="16" spans="1:14" x14ac:dyDescent="0.2">
      <c r="B16" t="s">
        <v>12</v>
      </c>
      <c r="C16" s="1">
        <f>M2/(1.05)^11</f>
        <v>116935857.81728747</v>
      </c>
      <c r="E16" t="s">
        <v>52</v>
      </c>
      <c r="F16" s="1">
        <f>SUM(C5:C9)</f>
        <v>-870919010.0832473</v>
      </c>
      <c r="G16" s="1"/>
    </row>
    <row r="17" spans="2:6" x14ac:dyDescent="0.2">
      <c r="B17" t="s">
        <v>13</v>
      </c>
      <c r="C17" s="1">
        <f>N2/(1.05)^12</f>
        <v>111367483.6355119</v>
      </c>
      <c r="E17" t="s">
        <v>49</v>
      </c>
      <c r="F17" s="1">
        <f>SUM(C10:C17)</f>
        <v>1063460226.4572897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98667d-8817-4ad9-a7f2-bb287f867e5f}" enabled="0" method="" siteId="{a698667d-8817-4ad9-a7f2-bb287f867e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</vt:lpstr>
      <vt:lpstr>Monte Carlo Simulation</vt:lpstr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Tatlonghari, Owen</cp:lastModifiedBy>
  <cp:revision/>
  <dcterms:created xsi:type="dcterms:W3CDTF">2025-03-11T20:07:54Z</dcterms:created>
  <dcterms:modified xsi:type="dcterms:W3CDTF">2025-03-21T13:56:02Z</dcterms:modified>
  <cp:category/>
  <cp:contentStatus/>
</cp:coreProperties>
</file>