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18"/>
  <workbookPr/>
  <mc:AlternateContent xmlns:mc="http://schemas.openxmlformats.org/markup-compatibility/2006">
    <mc:Choice Requires="x15">
      <x15ac:absPath xmlns:x15ac="http://schemas.microsoft.com/office/spreadsheetml/2010/11/ac" url="https://udwinprod-my.sharepoint.com/personal/acehowar_udel_edu/Documents/"/>
    </mc:Choice>
  </mc:AlternateContent>
  <xr:revisionPtr revIDLastSave="0" documentId="8_{5BB8BC5E-F49A-4DA3-BB18-4FBDC0D8B202}" xr6:coauthVersionLast="47" xr6:coauthVersionMax="47" xr10:uidLastSave="{00000000-0000-0000-0000-000000000000}"/>
  <bookViews>
    <workbookView xWindow="6740" yWindow="740" windowWidth="22660" windowHeight="17720" xr2:uid="{00000000-000D-0000-FFFF-FFFF00000000}"/>
  </bookViews>
  <sheets>
    <sheet name="No Tax " sheetId="1" r:id="rId1"/>
    <sheet name="Tax" sheetId="2" r:id="rId2"/>
    <sheet name="Q1" sheetId="3" r:id="rId3"/>
    <sheet name="Q2" sheetId="4" r:id="rId4"/>
    <sheet name="Q3" sheetId="5" r:id="rId5"/>
    <sheet name="Q4" sheetId="6" r:id="rId6"/>
    <sheet name="Q5" sheetId="7" r:id="rId7"/>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E5" i="1"/>
  <c r="D5" i="1"/>
  <c r="D7" i="1" s="1"/>
  <c r="D13" i="1" s="1"/>
  <c r="D14" i="1" s="1"/>
  <c r="C5" i="1"/>
  <c r="C7" i="1" s="1"/>
  <c r="B5" i="1"/>
  <c r="B7" i="1" s="1"/>
  <c r="E12" i="5"/>
  <c r="D4" i="5"/>
  <c r="I8" i="5"/>
  <c r="M7" i="2"/>
  <c r="D10" i="5"/>
  <c r="B10" i="5"/>
  <c r="B1" i="2"/>
  <c r="D12" i="5"/>
  <c r="C12" i="5"/>
  <c r="E8" i="5"/>
  <c r="C10" i="5"/>
  <c r="C4" i="5" s="1"/>
  <c r="C8" i="5"/>
  <c r="C7" i="5"/>
  <c r="E7" i="5"/>
  <c r="B7" i="5"/>
  <c r="B9" i="5" s="1"/>
  <c r="D7" i="5"/>
  <c r="D9" i="5" s="1"/>
  <c r="A4" i="2"/>
  <c r="J16" i="2"/>
  <c r="K27" i="1"/>
  <c r="L52" i="1" s="1"/>
  <c r="M8" i="2"/>
  <c r="M6" i="2"/>
  <c r="B2" i="2"/>
  <c r="L55" i="1"/>
  <c r="E36" i="1"/>
  <c r="N1" i="2"/>
  <c r="J25" i="2"/>
  <c r="J21" i="2"/>
  <c r="E24" i="2"/>
  <c r="E20" i="2"/>
  <c r="I45" i="1"/>
  <c r="I41" i="1"/>
  <c r="E41" i="1"/>
  <c r="E45" i="1"/>
  <c r="E14" i="2"/>
  <c r="E8" i="2"/>
  <c r="E7" i="2"/>
  <c r="J14" i="2"/>
  <c r="J6" i="2"/>
  <c r="J7" i="2" s="1"/>
  <c r="A26" i="1"/>
  <c r="B27" i="1" s="1"/>
  <c r="A41" i="1"/>
  <c r="B42" i="1" s="1"/>
  <c r="A38" i="1"/>
  <c r="B39" i="1"/>
  <c r="A35" i="1"/>
  <c r="B36" i="1"/>
  <c r="A32" i="1"/>
  <c r="B33" i="1" s="1"/>
  <c r="A29" i="1"/>
  <c r="B30" i="1"/>
  <c r="I33" i="1"/>
  <c r="I35" i="1" s="1"/>
  <c r="B13" i="1" l="1"/>
  <c r="B14" i="1" s="1"/>
  <c r="B8" i="1"/>
  <c r="E10" i="1" s="1"/>
  <c r="C13" i="1"/>
  <c r="C10" i="1"/>
  <c r="E6" i="1"/>
  <c r="E7" i="1" s="1"/>
  <c r="E9" i="5"/>
  <c r="E15" i="5" s="1"/>
  <c r="C9" i="5"/>
  <c r="C15" i="5"/>
  <c r="D15" i="5"/>
  <c r="B12" i="5"/>
  <c r="B14" i="5" s="1"/>
  <c r="B15" i="5"/>
  <c r="B16" i="5" s="1"/>
  <c r="J8" i="2"/>
  <c r="J10" i="2" s="1"/>
  <c r="J12" i="2"/>
  <c r="E13" i="1" l="1"/>
  <c r="E14" i="1" s="1"/>
  <c r="C8" i="1"/>
  <c r="C2" i="1"/>
  <c r="D10" i="1"/>
  <c r="B10" i="1"/>
  <c r="B12" i="1" s="1"/>
  <c r="C11" i="1" s="1"/>
  <c r="C13" i="5"/>
  <c r="C14" i="5" s="1"/>
  <c r="E16" i="5"/>
  <c r="C16" i="5"/>
  <c r="D16" i="5"/>
  <c r="C12" i="1" l="1"/>
  <c r="C14" i="1"/>
  <c r="D12" i="1"/>
  <c r="D8" i="1"/>
  <c r="D2" i="1" s="1"/>
  <c r="E12" i="1"/>
  <c r="E8" i="1"/>
  <c r="E2" i="1"/>
  <c r="D14" i="5"/>
  <c r="E10" i="5" l="1"/>
  <c r="E4" i="5" s="1"/>
  <c r="E14" i="5"/>
</calcChain>
</file>

<file path=xl/sharedStrings.xml><?xml version="1.0" encoding="utf-8"?>
<sst xmlns="http://schemas.openxmlformats.org/spreadsheetml/2006/main" count="130" uniqueCount="64">
  <si>
    <t>Before Recap (All Equity)</t>
  </si>
  <si>
    <t>Before Recap (W/Tax)</t>
  </si>
  <si>
    <t>After Recap</t>
  </si>
  <si>
    <t>After Recap (W/ Tax)</t>
  </si>
  <si>
    <t>WACC</t>
  </si>
  <si>
    <t>Revenue</t>
  </si>
  <si>
    <t>Operating Exp</t>
  </si>
  <si>
    <t>Interest</t>
  </si>
  <si>
    <t>Tax</t>
  </si>
  <si>
    <t>Net Income</t>
  </si>
  <si>
    <t>Firm Value</t>
  </si>
  <si>
    <t>Debt Value</t>
  </si>
  <si>
    <t>Equity Value</t>
  </si>
  <si>
    <t>Shares Outstanding</t>
  </si>
  <si>
    <t>PPS</t>
  </si>
  <si>
    <t>Dividends</t>
  </si>
  <si>
    <t>DPS</t>
  </si>
  <si>
    <t xml:space="preserve">Base Case </t>
  </si>
  <si>
    <t>Buyback Proposal</t>
  </si>
  <si>
    <t xml:space="preserve">Return on Levered Equity </t>
  </si>
  <si>
    <t>Income Statement (in Millions)</t>
  </si>
  <si>
    <t xml:space="preserve">WACC 100% Equity </t>
  </si>
  <si>
    <t xml:space="preserve">Revenue </t>
  </si>
  <si>
    <t>WACC 50/50</t>
  </si>
  <si>
    <t xml:space="preserve">Operating Expenses </t>
  </si>
  <si>
    <t xml:space="preserve">Operating Profit </t>
  </si>
  <si>
    <t>WACC (under share repurchase plan)</t>
  </si>
  <si>
    <t xml:space="preserve">Net Income </t>
  </si>
  <si>
    <t>WACC 60/40</t>
  </si>
  <si>
    <t xml:space="preserve">Dividends </t>
  </si>
  <si>
    <t xml:space="preserve">Levered Beta </t>
  </si>
  <si>
    <t xml:space="preserve">Shares Outstanding </t>
  </si>
  <si>
    <t>WACC 70/30</t>
  </si>
  <si>
    <t>Dividends per share</t>
  </si>
  <si>
    <t>WACC 40/60</t>
  </si>
  <si>
    <t>Balance Sheet</t>
  </si>
  <si>
    <t>WACC 30/70</t>
  </si>
  <si>
    <t xml:space="preserve">Current Assets </t>
  </si>
  <si>
    <t xml:space="preserve">Fixed Assets </t>
  </si>
  <si>
    <t xml:space="preserve">Total Assets </t>
  </si>
  <si>
    <t>WACC 80/20</t>
  </si>
  <si>
    <t xml:space="preserve">Book Debt </t>
  </si>
  <si>
    <t xml:space="preserve">Book Equity </t>
  </si>
  <si>
    <t>Total Capital</t>
  </si>
  <si>
    <t xml:space="preserve">Interest Tax Shield </t>
  </si>
  <si>
    <t xml:space="preserve">WACC </t>
  </si>
  <si>
    <t>EBIT</t>
  </si>
  <si>
    <t>EBT</t>
  </si>
  <si>
    <t>Interest Expense</t>
  </si>
  <si>
    <t xml:space="preserve">Value of Unlevered Firm </t>
  </si>
  <si>
    <t xml:space="preserve">Tax Expense </t>
  </si>
  <si>
    <t xml:space="preserve">PV Tax Shield </t>
  </si>
  <si>
    <t>New Value of Firm</t>
  </si>
  <si>
    <t>Add Back Interest:</t>
  </si>
  <si>
    <t xml:space="preserve">Share Price </t>
  </si>
  <si>
    <t>Share Price</t>
  </si>
  <si>
    <t>1.    How do the financial statements for M&amp;M Pizza vary with the proposed repurchase plan? Do the alternative policies improve the expected dividends per share?</t>
  </si>
  <si>
    <t>2.    What impact does the repurchase plan have on M&amp;M’s weighted-average cost of capital?</t>
  </si>
  <si>
    <t>3.    What are the debt and equity claims worth under the alternative scenarios? You may note that the present value of a perpetual cash flow stream is equal to the expected payment divided by the associated required return.</t>
  </si>
  <si>
    <t>.588 = 500/x</t>
  </si>
  <si>
    <t>PV tax shield</t>
  </si>
  <si>
    <t>Dividneds</t>
  </si>
  <si>
    <t>4.    Which proposal is best for investors? What do you recommend that Miller do?</t>
  </si>
  <si>
    <t>5.    How would your analysis in questions 2 and 3 and recommendation in question 4 change if the new tax law is implemented? Please note that, with corporate taxes, the expected debt-to-equity ratio under the share repurchase plan is .588 and the number of remaining shares outstanding is 39.4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</si>
</sst>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
    <numFmt numFmtId="165" formatCode="&quot;$&quot;#,##0.00"/>
    <numFmt numFmtId="166" formatCode="0.0000"/>
  </numFmts>
  <fonts count="7">
    <font>
      <sz val="11"/>
      <color theme="1"/>
      <name val="Aptos Narrow"/>
      <family val="2"/>
      <scheme val="minor"/>
    </font>
    <font>
      <sz val="11"/>
      <color rgb="FF242424"/>
      <name val="Aptos Narrow"/>
    </font>
    <font>
      <sz val="11"/>
      <color rgb="FF242424"/>
      <name val="Aptos Narrow"/>
      <scheme val="minor"/>
    </font>
    <font>
      <sz val="11"/>
      <color rgb="FF242424"/>
      <name val="Consolas"/>
      <family val="2"/>
    </font>
    <font>
      <sz val="12"/>
      <color rgb="FF273540"/>
      <name val="Lato Extended"/>
      <charset val="1"/>
    </font>
    <font>
      <sz val="11"/>
      <color theme="1"/>
      <name val="Aptos Narrow"/>
      <family val="2"/>
      <scheme val="minor"/>
    </font>
    <font>
      <b/>
      <sz val="11"/>
      <color theme="1"/>
      <name val="Aptos Narrow"/>
      <scheme val="minor"/>
    </font>
  </fonts>
  <fills count="2">
    <fill>
      <patternFill patternType="none"/>
    </fill>
    <fill>
      <patternFill patternType="gray125"/>
    </fill>
  </fills>
  <borders count="13">
    <border>
      <left/>
      <right/>
      <top/>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5" fillId="0" borderId="0" applyFont="0" applyFill="0" applyBorder="0" applyAlignment="0" applyProtection="0"/>
    <xf numFmtId="9" fontId="5" fillId="0" borderId="0" applyFont="0" applyFill="0" applyBorder="0" applyAlignment="0" applyProtection="0"/>
  </cellStyleXfs>
  <cellXfs count="54">
    <xf numFmtId="0" fontId="0" fillId="0" borderId="0" xfId="0"/>
    <xf numFmtId="44" fontId="0" fillId="0" borderId="0" xfId="0" applyNumberFormat="1"/>
    <xf numFmtId="44" fontId="0" fillId="0" borderId="1" xfId="0" applyNumberFormat="1" applyBorder="1"/>
    <xf numFmtId="0" fontId="0" fillId="0" borderId="0" xfId="0" applyAlignment="1">
      <alignment horizontal="center"/>
    </xf>
    <xf numFmtId="0" fontId="1" fillId="0" borderId="0" xfId="0" applyFont="1"/>
    <xf numFmtId="44" fontId="2" fillId="0" borderId="0" xfId="0" applyNumberFormat="1" applyFont="1"/>
    <xf numFmtId="10" fontId="0" fillId="0" borderId="0" xfId="0" applyNumberFormat="1"/>
    <xf numFmtId="164" fontId="0" fillId="0" borderId="0" xfId="0" applyNumberFormat="1"/>
    <xf numFmtId="0" fontId="3" fillId="0" borderId="0" xfId="0" applyFont="1"/>
    <xf numFmtId="0" fontId="4" fillId="0" borderId="0" xfId="0" applyFont="1"/>
    <xf numFmtId="0" fontId="4" fillId="0" borderId="0" xfId="0" applyFont="1" applyAlignment="1">
      <alignment wrapText="1"/>
    </xf>
    <xf numFmtId="0" fontId="0" fillId="0" borderId="1" xfId="0" applyBorder="1"/>
    <xf numFmtId="9" fontId="0" fillId="0" borderId="0" xfId="0" applyNumberFormat="1"/>
    <xf numFmtId="0" fontId="4" fillId="0" borderId="0" xfId="0" applyFont="1" applyAlignment="1">
      <alignment horizontal="center" wrapText="1"/>
    </xf>
    <xf numFmtId="166" fontId="0" fillId="0" borderId="0" xfId="0" applyNumberFormat="1"/>
    <xf numFmtId="0" fontId="0" fillId="0" borderId="2" xfId="1" applyNumberFormat="1" applyFont="1" applyBorder="1"/>
    <xf numFmtId="165" fontId="5" fillId="0" borderId="2" xfId="1" applyNumberFormat="1" applyFont="1" applyBorder="1"/>
    <xf numFmtId="165" fontId="0" fillId="0" borderId="4" xfId="1" applyNumberFormat="1" applyFont="1" applyBorder="1" applyAlignment="1"/>
    <xf numFmtId="165" fontId="0" fillId="0" borderId="5" xfId="1" applyNumberFormat="1" applyFont="1" applyBorder="1"/>
    <xf numFmtId="165" fontId="0" fillId="0" borderId="6" xfId="1" applyNumberFormat="1" applyFont="1" applyBorder="1" applyAlignment="1"/>
    <xf numFmtId="165" fontId="0" fillId="0" borderId="0" xfId="1" applyNumberFormat="1" applyFont="1" applyBorder="1"/>
    <xf numFmtId="165" fontId="0" fillId="0" borderId="7" xfId="1" applyNumberFormat="1" applyFont="1" applyBorder="1" applyAlignment="1"/>
    <xf numFmtId="165" fontId="0" fillId="0" borderId="2" xfId="1" applyNumberFormat="1" applyFont="1" applyBorder="1" applyAlignment="1"/>
    <xf numFmtId="165" fontId="0" fillId="0" borderId="2" xfId="1" applyNumberFormat="1" applyFont="1" applyBorder="1"/>
    <xf numFmtId="0" fontId="0" fillId="0" borderId="4" xfId="0" applyBorder="1"/>
    <xf numFmtId="0" fontId="0" fillId="0" borderId="6" xfId="0" applyBorder="1"/>
    <xf numFmtId="0" fontId="0" fillId="0" borderId="7" xfId="0" applyBorder="1"/>
    <xf numFmtId="165" fontId="0" fillId="0" borderId="6" xfId="1" applyNumberFormat="1" applyFont="1" applyBorder="1"/>
    <xf numFmtId="0" fontId="0" fillId="0" borderId="7" xfId="1" applyNumberFormat="1" applyFont="1" applyBorder="1" applyAlignment="1"/>
    <xf numFmtId="165" fontId="5" fillId="0" borderId="7" xfId="1" applyNumberFormat="1" applyFont="1" applyBorder="1" applyAlignment="1"/>
    <xf numFmtId="10" fontId="0" fillId="0" borderId="8" xfId="2" applyNumberFormat="1" applyFont="1" applyBorder="1" applyAlignment="1"/>
    <xf numFmtId="10" fontId="0" fillId="0" borderId="9" xfId="2" applyNumberFormat="1" applyFont="1" applyBorder="1"/>
    <xf numFmtId="165" fontId="0" fillId="0" borderId="8" xfId="1" applyNumberFormat="1" applyFont="1" applyBorder="1"/>
    <xf numFmtId="165" fontId="0" fillId="0" borderId="9" xfId="1" applyNumberFormat="1" applyFont="1" applyBorder="1"/>
    <xf numFmtId="0" fontId="6" fillId="0" borderId="8" xfId="0" applyFont="1" applyBorder="1"/>
    <xf numFmtId="0" fontId="6" fillId="0" borderId="9" xfId="0" applyFont="1" applyBorder="1"/>
    <xf numFmtId="0" fontId="6" fillId="0" borderId="3" xfId="0" applyFont="1" applyBorder="1"/>
    <xf numFmtId="10" fontId="0" fillId="0" borderId="3" xfId="2" applyNumberFormat="1" applyFont="1" applyBorder="1" applyAlignment="1"/>
    <xf numFmtId="165" fontId="0" fillId="0" borderId="10" xfId="1" applyNumberFormat="1" applyFont="1" applyBorder="1" applyAlignment="1"/>
    <xf numFmtId="165" fontId="0" fillId="0" borderId="10" xfId="1" applyNumberFormat="1" applyFont="1" applyBorder="1"/>
    <xf numFmtId="165" fontId="0" fillId="0" borderId="3" xfId="1" applyNumberFormat="1" applyFont="1" applyBorder="1"/>
    <xf numFmtId="165" fontId="0" fillId="0" borderId="11" xfId="1" applyNumberFormat="1" applyFont="1" applyBorder="1" applyAlignment="1"/>
    <xf numFmtId="165" fontId="0" fillId="0" borderId="12" xfId="1" applyNumberFormat="1" applyFont="1" applyBorder="1" applyAlignment="1"/>
    <xf numFmtId="0" fontId="0" fillId="0" borderId="12" xfId="1" applyNumberFormat="1" applyFont="1" applyBorder="1" applyAlignment="1"/>
    <xf numFmtId="165" fontId="5" fillId="0" borderId="12" xfId="1" applyNumberFormat="1" applyFont="1" applyBorder="1" applyAlignment="1"/>
    <xf numFmtId="10" fontId="0" fillId="0" borderId="3" xfId="2" applyNumberFormat="1" applyFont="1" applyBorder="1"/>
    <xf numFmtId="165" fontId="0" fillId="0" borderId="11" xfId="1" applyNumberFormat="1" applyFont="1" applyBorder="1"/>
    <xf numFmtId="165" fontId="0" fillId="0" borderId="12" xfId="1" applyNumberFormat="1" applyFont="1" applyBorder="1"/>
    <xf numFmtId="165" fontId="5" fillId="0" borderId="12" xfId="1" applyNumberFormat="1" applyFont="1" applyBorder="1"/>
    <xf numFmtId="0" fontId="0" fillId="0" borderId="3" xfId="1" applyNumberFormat="1" applyFont="1" applyBorder="1"/>
    <xf numFmtId="165" fontId="0" fillId="0" borderId="0" xfId="0" applyNumberFormat="1"/>
    <xf numFmtId="0" fontId="0" fillId="0" borderId="0" xfId="0" applyAlignment="1">
      <alignment horizontal="center"/>
    </xf>
    <xf numFmtId="0" fontId="0" fillId="0" borderId="1" xfId="0" applyBorder="1" applyAlignment="1">
      <alignment horizontal="center"/>
    </xf>
    <xf numFmtId="0" fontId="4" fillId="0" borderId="0" xfId="0" applyFont="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180975</xdr:rowOff>
    </xdr:from>
    <xdr:to>
      <xdr:col>5</xdr:col>
      <xdr:colOff>209550</xdr:colOff>
      <xdr:row>6</xdr:row>
      <xdr:rowOff>180975</xdr:rowOff>
    </xdr:to>
    <xdr:sp macro="" textlink="">
      <xdr:nvSpPr>
        <xdr:cNvPr id="7" name="TextBox 1">
          <a:extLst>
            <a:ext uri="{FF2B5EF4-FFF2-40B4-BE49-F238E27FC236}">
              <a16:creationId xmlns:a16="http://schemas.microsoft.com/office/drawing/2014/main" id="{42845125-BD80-192D-1EEB-04B81636F605}"/>
            </a:ext>
          </a:extLst>
        </xdr:cNvPr>
        <xdr:cNvSpPr txBox="1"/>
      </xdr:nvSpPr>
      <xdr:spPr>
        <a:xfrm>
          <a:off x="28575" y="895350"/>
          <a:ext cx="634365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 alternative proposal will increase the dividends per share but will not increase the overall dividend amount paid in the no tax scenario.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19050</xdr:rowOff>
    </xdr:from>
    <xdr:to>
      <xdr:col>8</xdr:col>
      <xdr:colOff>285750</xdr:colOff>
      <xdr:row>7</xdr:row>
      <xdr:rowOff>19050</xdr:rowOff>
    </xdr:to>
    <xdr:sp macro="" textlink="">
      <xdr:nvSpPr>
        <xdr:cNvPr id="6" name="TextBox 1">
          <a:extLst>
            <a:ext uri="{FF2B5EF4-FFF2-40B4-BE49-F238E27FC236}">
              <a16:creationId xmlns:a16="http://schemas.microsoft.com/office/drawing/2014/main" id="{BCFE5A27-7B75-D391-9B00-9A12CA13900F}"/>
            </a:ext>
          </a:extLst>
        </xdr:cNvPr>
        <xdr:cNvSpPr txBox="1"/>
      </xdr:nvSpPr>
      <xdr:spPr>
        <a:xfrm>
          <a:off x="9525" y="409575"/>
          <a:ext cx="51530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Aptos Narrow" panose="020B0004020202020204" pitchFamily="34" charset="0"/>
            </a:rPr>
            <a:t>The repurchase plan will lower the cost of capital because debt is cheaper than equity in all instances. In this particular instance, the WACC goes from 8% in the base case to 6.94% in the repurchase plan case.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4</xdr:row>
      <xdr:rowOff>38100</xdr:rowOff>
    </xdr:from>
    <xdr:to>
      <xdr:col>12</xdr:col>
      <xdr:colOff>238125</xdr:colOff>
      <xdr:row>18</xdr:row>
      <xdr:rowOff>180975</xdr:rowOff>
    </xdr:to>
    <xdr:sp macro="" textlink="">
      <xdr:nvSpPr>
        <xdr:cNvPr id="9" name="TextBox 2">
          <a:extLst>
            <a:ext uri="{FF2B5EF4-FFF2-40B4-BE49-F238E27FC236}">
              <a16:creationId xmlns:a16="http://schemas.microsoft.com/office/drawing/2014/main" id="{44A1AB03-E438-339F-62AA-9C2E2B2932D6}"/>
            </a:ext>
          </a:extLst>
        </xdr:cNvPr>
        <xdr:cNvSpPr txBox="1"/>
      </xdr:nvSpPr>
      <xdr:spPr>
        <a:xfrm>
          <a:off x="133350" y="800100"/>
          <a:ext cx="7191375" cy="28098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In a world with no tax, the investors would be indifferent between the share repurchase proposal and no repurchase because the value of their equity would remain unchanged. In the instance that the </a:t>
          </a:r>
          <a:r>
            <a:rPr lang="en-US" sz="1100" b="0" i="0" u="none" strike="noStrike">
              <a:solidFill>
                <a:srgbClr val="000000"/>
              </a:solidFill>
              <a:latin typeface="Aptos Narrow" panose="020B0004020202020204" pitchFamily="34" charset="0"/>
            </a:rPr>
            <a:t>tax plan is implemented, the investors would prefer the buyback because the interest expense would be deducted from the taxes and therefore would given investors a larger amount in equity compared to the scenario where no buyback occurs.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If we were to make a recommendation to Miller, if taxes were implemented, it would be wise of him to go with the repurchase plan because he would create more value for shareholders. If the current tax laws were to stay in place, the way he slices up his companies D/E is irrelevant in terms of creating more equity for shareholders. The only thing issuing debt would do is lower the companies WACC, making their cost of capital cheaper, although only by less than 1%,  which is not the goal of the firm.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abSelected="1" topLeftCell="A20" workbookViewId="0">
      <selection activeCell="A24" sqref="A24:K47"/>
    </sheetView>
  </sheetViews>
  <sheetFormatPr defaultColWidth="8.85546875" defaultRowHeight="15"/>
  <cols>
    <col min="1" max="1" width="33.42578125" bestFit="1" customWidth="1"/>
    <col min="2" max="2" width="23.28515625" bestFit="1" customWidth="1"/>
    <col min="3" max="3" width="20.42578125" bestFit="1" customWidth="1"/>
    <col min="4" max="4" width="18.85546875" bestFit="1" customWidth="1"/>
    <col min="5" max="5" width="18.28515625" bestFit="1" customWidth="1"/>
    <col min="6" max="6" width="10.42578125" bestFit="1" customWidth="1"/>
    <col min="9" max="9" width="28.7109375" bestFit="1" customWidth="1"/>
    <col min="10" max="10" width="10.42578125" bestFit="1" customWidth="1"/>
    <col min="11" max="11" width="33.5703125" bestFit="1" customWidth="1"/>
    <col min="12" max="12" width="8.28515625" bestFit="1" customWidth="1"/>
    <col min="13" max="13" width="6" bestFit="1" customWidth="1"/>
  </cols>
  <sheetData>
    <row r="1" spans="1:10">
      <c r="B1" s="34" t="s">
        <v>0</v>
      </c>
      <c r="C1" s="36" t="s">
        <v>1</v>
      </c>
      <c r="D1" s="35" t="s">
        <v>2</v>
      </c>
      <c r="E1" s="36" t="s">
        <v>3</v>
      </c>
    </row>
    <row r="2" spans="1:10">
      <c r="A2" s="24" t="s">
        <v>4</v>
      </c>
      <c r="B2" s="30">
        <v>0.08</v>
      </c>
      <c r="C2" s="37">
        <f>((C10/C8)*B2)+((C9/C8)*1*(1-0.2))</f>
        <v>0.08</v>
      </c>
      <c r="D2" s="31">
        <f>((D10/D8)*(0.08))+((D9/D8)*(0.04))</f>
        <v>6.720000000000001E-2</v>
      </c>
      <c r="E2" s="45">
        <f>((E10/E8)*(E7/E10))+((E9/E8)*(0.04)*(1-0.2))</f>
        <v>6.4000000000000001E-2</v>
      </c>
    </row>
    <row r="3" spans="1:10">
      <c r="A3" s="25" t="s">
        <v>5</v>
      </c>
      <c r="B3" s="19">
        <v>1500</v>
      </c>
      <c r="C3" s="38">
        <v>1500</v>
      </c>
      <c r="D3" s="20">
        <v>1500</v>
      </c>
      <c r="E3" s="39">
        <v>1500</v>
      </c>
    </row>
    <row r="4" spans="1:10">
      <c r="A4" s="25" t="s">
        <v>6</v>
      </c>
      <c r="B4" s="19">
        <v>1375</v>
      </c>
      <c r="C4" s="38">
        <v>1375</v>
      </c>
      <c r="D4" s="20">
        <v>1375</v>
      </c>
      <c r="E4" s="39">
        <v>1375</v>
      </c>
    </row>
    <row r="5" spans="1:10">
      <c r="A5" s="25" t="s">
        <v>7</v>
      </c>
      <c r="B5" s="27">
        <f>B9*0.04</f>
        <v>0</v>
      </c>
      <c r="C5" s="39">
        <f>C9*0.04</f>
        <v>0</v>
      </c>
      <c r="D5" s="20">
        <f>D9*0.04</f>
        <v>20</v>
      </c>
      <c r="E5" s="39">
        <f>E9*0.04</f>
        <v>20</v>
      </c>
    </row>
    <row r="6" spans="1:10">
      <c r="A6" s="25" t="s">
        <v>8</v>
      </c>
      <c r="B6" s="19">
        <v>0</v>
      </c>
      <c r="C6" s="38">
        <f>(C3-C4)*0.2</f>
        <v>25</v>
      </c>
      <c r="D6" s="20">
        <v>0</v>
      </c>
      <c r="E6" s="39">
        <f>(E3-E4-E5)*0.2</f>
        <v>21</v>
      </c>
    </row>
    <row r="7" spans="1:10">
      <c r="A7" s="25" t="s">
        <v>9</v>
      </c>
      <c r="B7" s="32">
        <f>B3-B4-B5-B6</f>
        <v>125</v>
      </c>
      <c r="C7" s="40">
        <f>C3-C4-C5-C6</f>
        <v>100</v>
      </c>
      <c r="D7" s="33">
        <f>D3-D4-D5-D6</f>
        <v>105</v>
      </c>
      <c r="E7" s="40">
        <f>E3-E4-E5-E6</f>
        <v>84</v>
      </c>
    </row>
    <row r="8" spans="1:10">
      <c r="A8" s="25" t="s">
        <v>10</v>
      </c>
      <c r="B8" s="17">
        <f>B7/B2</f>
        <v>1562.5</v>
      </c>
      <c r="C8" s="41">
        <f>C10</f>
        <v>1250</v>
      </c>
      <c r="D8" s="18">
        <f>D9+D10</f>
        <v>1562.5</v>
      </c>
      <c r="E8" s="46">
        <f>E9+E10</f>
        <v>1562.5</v>
      </c>
    </row>
    <row r="9" spans="1:10">
      <c r="A9" s="25" t="s">
        <v>11</v>
      </c>
      <c r="B9" s="19">
        <v>0</v>
      </c>
      <c r="C9" s="38">
        <v>0</v>
      </c>
      <c r="D9" s="20">
        <v>500</v>
      </c>
      <c r="E9" s="39">
        <v>500</v>
      </c>
      <c r="J9" s="1"/>
    </row>
    <row r="10" spans="1:10">
      <c r="A10" s="25" t="s">
        <v>12</v>
      </c>
      <c r="B10" s="21">
        <f>B8</f>
        <v>1562.5</v>
      </c>
      <c r="C10" s="42">
        <f>C7/B2</f>
        <v>1250</v>
      </c>
      <c r="D10" s="23">
        <f>B8-500</f>
        <v>1062.5</v>
      </c>
      <c r="E10" s="39">
        <f>B8-500</f>
        <v>1062.5</v>
      </c>
    </row>
    <row r="11" spans="1:10">
      <c r="A11" s="25" t="s">
        <v>13</v>
      </c>
      <c r="B11" s="28">
        <v>62.5</v>
      </c>
      <c r="C11" s="43">
        <f>B11-(C9/B12)</f>
        <v>62.5</v>
      </c>
      <c r="D11" s="15">
        <v>42.5</v>
      </c>
      <c r="E11" s="49">
        <v>39.4</v>
      </c>
    </row>
    <row r="12" spans="1:10">
      <c r="A12" s="25" t="s">
        <v>14</v>
      </c>
      <c r="B12" s="19">
        <f>B10/B11</f>
        <v>25</v>
      </c>
      <c r="C12" s="38">
        <f>C10/C11</f>
        <v>20</v>
      </c>
      <c r="D12" s="20">
        <f>D10/D11</f>
        <v>25</v>
      </c>
      <c r="E12" s="39">
        <f>E10/E11</f>
        <v>26.967005076142133</v>
      </c>
    </row>
    <row r="13" spans="1:10">
      <c r="A13" s="25" t="s">
        <v>15</v>
      </c>
      <c r="B13" s="29">
        <f>B7</f>
        <v>125</v>
      </c>
      <c r="C13" s="44">
        <f>C7</f>
        <v>100</v>
      </c>
      <c r="D13" s="16">
        <f>D7</f>
        <v>105</v>
      </c>
      <c r="E13" s="48">
        <f>E7</f>
        <v>84</v>
      </c>
      <c r="G13" s="4"/>
    </row>
    <row r="14" spans="1:10">
      <c r="A14" s="26" t="s">
        <v>16</v>
      </c>
      <c r="B14" s="21">
        <f>B13/B11</f>
        <v>2</v>
      </c>
      <c r="C14" s="42">
        <f>C13/C11</f>
        <v>1.6</v>
      </c>
      <c r="D14" s="22">
        <f>D13/D11</f>
        <v>2.4705882352941178</v>
      </c>
      <c r="E14" s="47">
        <f>E13/E11</f>
        <v>2.1319796954314723</v>
      </c>
      <c r="G14" s="4"/>
      <c r="I14" s="51"/>
      <c r="J14" s="51"/>
    </row>
    <row r="15" spans="1:10">
      <c r="G15" s="4"/>
      <c r="J15" s="1"/>
    </row>
    <row r="16" spans="1:10">
      <c r="J16" s="1"/>
    </row>
    <row r="17" spans="1:11">
      <c r="J17" s="1"/>
    </row>
    <row r="18" spans="1:11">
      <c r="J18" s="1"/>
    </row>
    <row r="19" spans="1:11">
      <c r="J19" s="1"/>
    </row>
    <row r="20" spans="1:11">
      <c r="G20" s="4"/>
      <c r="J20" s="1"/>
    </row>
    <row r="22" spans="1:11">
      <c r="J22" s="1"/>
    </row>
    <row r="24" spans="1:11">
      <c r="D24" t="s">
        <v>17</v>
      </c>
      <c r="H24" t="s">
        <v>18</v>
      </c>
    </row>
    <row r="25" spans="1:11">
      <c r="A25" t="s">
        <v>19</v>
      </c>
      <c r="B25" s="1"/>
      <c r="D25" s="51" t="s">
        <v>20</v>
      </c>
      <c r="E25" s="51"/>
      <c r="H25" s="51" t="s">
        <v>20</v>
      </c>
      <c r="I25" s="51"/>
      <c r="K25" t="s">
        <v>21</v>
      </c>
    </row>
    <row r="26" spans="1:11">
      <c r="A26">
        <f>0.08+(50/50)*(0.08-0.04)</f>
        <v>0.12</v>
      </c>
      <c r="B26" s="1"/>
      <c r="D26" t="s">
        <v>22</v>
      </c>
      <c r="E26" s="1">
        <v>1500</v>
      </c>
      <c r="H26" t="s">
        <v>22</v>
      </c>
      <c r="I26" s="1">
        <v>1500</v>
      </c>
    </row>
    <row r="27" spans="1:11">
      <c r="A27" t="s">
        <v>23</v>
      </c>
      <c r="B27" s="6">
        <f>A26*0.5+0.04*0.5</f>
        <v>0.08</v>
      </c>
      <c r="D27" t="s">
        <v>24</v>
      </c>
      <c r="E27" s="2">
        <v>1375</v>
      </c>
      <c r="H27" t="s">
        <v>24</v>
      </c>
      <c r="I27" s="2">
        <v>1375</v>
      </c>
      <c r="K27" s="8">
        <f>0.08+(0.471)*(0.08-0.04)</f>
        <v>9.8839999999999997E-2</v>
      </c>
    </row>
    <row r="28" spans="1:11">
      <c r="B28" s="1"/>
      <c r="D28" t="s">
        <v>25</v>
      </c>
      <c r="E28" s="1">
        <v>125</v>
      </c>
      <c r="H28" t="s">
        <v>25</v>
      </c>
      <c r="I28" s="1">
        <v>125</v>
      </c>
      <c r="K28" t="s">
        <v>26</v>
      </c>
    </row>
    <row r="29" spans="1:11">
      <c r="A29">
        <f>0.08+(60/40)*(0.08-0.04)</f>
        <v>0.14000000000000001</v>
      </c>
      <c r="D29" t="s">
        <v>27</v>
      </c>
      <c r="E29" s="1">
        <v>125</v>
      </c>
      <c r="H29" t="s">
        <v>27</v>
      </c>
      <c r="I29" s="1">
        <v>125</v>
      </c>
    </row>
    <row r="30" spans="1:11">
      <c r="A30" t="s">
        <v>28</v>
      </c>
      <c r="B30" s="6">
        <f>A29*0.6+0.4*0.04</f>
        <v>0.1</v>
      </c>
      <c r="E30" s="1"/>
      <c r="I30" s="1"/>
    </row>
    <row r="31" spans="1:11">
      <c r="D31" t="s">
        <v>29</v>
      </c>
      <c r="E31" s="1">
        <v>125</v>
      </c>
      <c r="H31" t="s">
        <v>29</v>
      </c>
      <c r="I31" s="1">
        <v>125</v>
      </c>
      <c r="K31" t="s">
        <v>30</v>
      </c>
    </row>
    <row r="32" spans="1:11">
      <c r="A32" s="7">
        <f>0.08+(70/30)*(0.08-0.04)</f>
        <v>0.17333333333333334</v>
      </c>
      <c r="D32" t="s">
        <v>31</v>
      </c>
      <c r="E32">
        <v>62.5</v>
      </c>
      <c r="H32" t="s">
        <v>31</v>
      </c>
      <c r="I32">
        <v>42.5</v>
      </c>
    </row>
    <row r="33" spans="1:9">
      <c r="A33" t="s">
        <v>32</v>
      </c>
      <c r="B33" s="6">
        <f>A32*0.7+0.04*0.3</f>
        <v>0.13333333333333333</v>
      </c>
      <c r="D33" t="s">
        <v>33</v>
      </c>
      <c r="E33" s="1">
        <v>2</v>
      </c>
      <c r="H33" t="s">
        <v>33</v>
      </c>
      <c r="I33" s="1">
        <f>125000000/42500000</f>
        <v>2.9411764705882355</v>
      </c>
    </row>
    <row r="35" spans="1:9">
      <c r="A35" s="7">
        <f>0.08+(40/60)*(0.08-0.04)</f>
        <v>0.10666666666666666</v>
      </c>
      <c r="D35" t="s">
        <v>14</v>
      </c>
      <c r="E35" s="1">
        <v>25</v>
      </c>
      <c r="H35" t="s">
        <v>14</v>
      </c>
      <c r="I35" s="1">
        <f>(1000000000*I33)/42500000</f>
        <v>69.20415224913495</v>
      </c>
    </row>
    <row r="36" spans="1:9">
      <c r="A36" t="s">
        <v>34</v>
      </c>
      <c r="B36" s="6">
        <f>A35*0.4+0.04*0.6</f>
        <v>6.6666666666666666E-2</v>
      </c>
      <c r="E36" s="1">
        <f>1000000000*E33/62500000</f>
        <v>32</v>
      </c>
      <c r="I36" s="5"/>
    </row>
    <row r="37" spans="1:9">
      <c r="D37" s="51"/>
      <c r="E37" s="51"/>
      <c r="H37" s="3"/>
      <c r="I37" s="5"/>
    </row>
    <row r="38" spans="1:9">
      <c r="A38" s="7">
        <f>0.08+(30/70)*(0.08-0.04)</f>
        <v>9.7142857142857142E-2</v>
      </c>
      <c r="D38" s="52" t="s">
        <v>35</v>
      </c>
      <c r="E38" s="52"/>
      <c r="H38" s="52" t="s">
        <v>35</v>
      </c>
      <c r="I38" s="52"/>
    </row>
    <row r="39" spans="1:9">
      <c r="A39" t="s">
        <v>36</v>
      </c>
      <c r="B39" s="6">
        <f>A38*0.3+0.04*0.7</f>
        <v>5.7142857142857134E-2</v>
      </c>
      <c r="D39" t="s">
        <v>37</v>
      </c>
      <c r="E39" s="1">
        <v>450</v>
      </c>
      <c r="H39" t="s">
        <v>37</v>
      </c>
      <c r="I39" s="1">
        <v>450</v>
      </c>
    </row>
    <row r="40" spans="1:9">
      <c r="D40" t="s">
        <v>38</v>
      </c>
      <c r="E40" s="2">
        <v>550</v>
      </c>
      <c r="H40" t="s">
        <v>38</v>
      </c>
      <c r="I40" s="2">
        <v>550</v>
      </c>
    </row>
    <row r="41" spans="1:9">
      <c r="A41">
        <f>0.08+(80/20)*(0.08-0.04)</f>
        <v>0.24</v>
      </c>
      <c r="D41" t="s">
        <v>39</v>
      </c>
      <c r="E41" s="1">
        <f>E39+E40</f>
        <v>1000</v>
      </c>
      <c r="H41" t="s">
        <v>39</v>
      </c>
      <c r="I41" s="1">
        <f>I39+I40</f>
        <v>1000</v>
      </c>
    </row>
    <row r="42" spans="1:9">
      <c r="A42" t="s">
        <v>40</v>
      </c>
      <c r="B42" s="6">
        <f>A41*0.8+0.04*0.2</f>
        <v>0.2</v>
      </c>
    </row>
    <row r="43" spans="1:9">
      <c r="D43" t="s">
        <v>41</v>
      </c>
      <c r="E43">
        <v>0</v>
      </c>
      <c r="H43" t="s">
        <v>41</v>
      </c>
      <c r="I43">
        <v>0</v>
      </c>
    </row>
    <row r="44" spans="1:9">
      <c r="D44" t="s">
        <v>42</v>
      </c>
      <c r="E44" s="11">
        <v>1000</v>
      </c>
      <c r="H44" t="s">
        <v>42</v>
      </c>
      <c r="I44" s="11">
        <v>1000</v>
      </c>
    </row>
    <row r="45" spans="1:9">
      <c r="D45" t="s">
        <v>43</v>
      </c>
      <c r="E45">
        <f>E43+E44</f>
        <v>1000</v>
      </c>
      <c r="H45" t="s">
        <v>43</v>
      </c>
      <c r="I45">
        <f>I43+I44</f>
        <v>1000</v>
      </c>
    </row>
    <row r="49" spans="12:12">
      <c r="L49" s="12">
        <v>0.08</v>
      </c>
    </row>
    <row r="52" spans="12:12">
      <c r="L52" s="6">
        <f>K27*0.5+0.04*0.5</f>
        <v>6.9419999999999996E-2</v>
      </c>
    </row>
    <row r="53" spans="12:12">
      <c r="L53" s="1"/>
    </row>
    <row r="55" spans="12:12">
      <c r="L55">
        <f>(0.8)*(1+(1-0.2)*0.471)</f>
        <v>1.10144</v>
      </c>
    </row>
  </sheetData>
  <mergeCells count="6">
    <mergeCell ref="I14:J14"/>
    <mergeCell ref="D38:E38"/>
    <mergeCell ref="H38:I38"/>
    <mergeCell ref="D25:E25"/>
    <mergeCell ref="H25:I25"/>
    <mergeCell ref="D37:E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5380-A14F-4016-8B84-26C686CF2005}">
  <dimension ref="A1:N25"/>
  <sheetViews>
    <sheetView workbookViewId="0">
      <selection activeCell="Q8" sqref="Q8"/>
    </sheetView>
  </sheetViews>
  <sheetFormatPr defaultColWidth="8.85546875" defaultRowHeight="15"/>
  <cols>
    <col min="1" max="1" width="12.140625" bestFit="1" customWidth="1"/>
    <col min="2" max="2" width="9.140625" bestFit="1" customWidth="1"/>
    <col min="4" max="4" width="18.85546875" bestFit="1" customWidth="1"/>
    <col min="5" max="5" width="10.7109375" bestFit="1" customWidth="1"/>
    <col min="9" max="9" width="18.85546875" bestFit="1" customWidth="1"/>
    <col min="10" max="10" width="10.7109375" bestFit="1" customWidth="1"/>
    <col min="12" max="12" width="22.28515625" bestFit="1" customWidth="1"/>
    <col min="13" max="13" width="10.140625" bestFit="1" customWidth="1"/>
  </cols>
  <sheetData>
    <row r="1" spans="1:14">
      <c r="B1">
        <f>0.08+(0.588)*(1-0.2)*(0.08-0.04)</f>
        <v>9.8816000000000001E-2</v>
      </c>
      <c r="D1" t="s">
        <v>17</v>
      </c>
      <c r="I1" t="s">
        <v>18</v>
      </c>
      <c r="L1" t="s">
        <v>44</v>
      </c>
      <c r="N1" s="1">
        <f>J6*0.2</f>
        <v>1</v>
      </c>
    </row>
    <row r="2" spans="1:14">
      <c r="A2" t="s">
        <v>45</v>
      </c>
      <c r="B2" s="6">
        <f>B1*0.5+0.04*0.5</f>
        <v>6.9407999999999997E-2</v>
      </c>
      <c r="D2" s="51" t="s">
        <v>20</v>
      </c>
      <c r="E2" s="51"/>
      <c r="I2" s="51" t="s">
        <v>20</v>
      </c>
      <c r="J2" s="51"/>
    </row>
    <row r="3" spans="1:14">
      <c r="D3" t="s">
        <v>22</v>
      </c>
      <c r="E3" s="1">
        <v>1500</v>
      </c>
      <c r="I3" t="s">
        <v>22</v>
      </c>
      <c r="J3" s="1">
        <v>1500</v>
      </c>
    </row>
    <row r="4" spans="1:14">
      <c r="A4" s="14">
        <f>0.08*(1-0.2)</f>
        <v>6.4000000000000001E-2</v>
      </c>
      <c r="D4" t="s">
        <v>24</v>
      </c>
      <c r="E4" s="2">
        <v>1375</v>
      </c>
      <c r="I4" t="s">
        <v>24</v>
      </c>
      <c r="J4" s="2">
        <v>1375</v>
      </c>
    </row>
    <row r="5" spans="1:14">
      <c r="D5" t="s">
        <v>25</v>
      </c>
      <c r="E5" s="1">
        <v>125</v>
      </c>
      <c r="I5" t="s">
        <v>46</v>
      </c>
      <c r="J5" s="1">
        <v>125</v>
      </c>
    </row>
    <row r="6" spans="1:14">
      <c r="D6" t="s">
        <v>47</v>
      </c>
      <c r="E6" s="1">
        <v>125</v>
      </c>
      <c r="I6" t="s">
        <v>48</v>
      </c>
      <c r="J6" s="2">
        <f>J5*0.04</f>
        <v>5</v>
      </c>
      <c r="L6" t="s">
        <v>49</v>
      </c>
      <c r="M6" s="1">
        <f>J24</f>
        <v>1000</v>
      </c>
    </row>
    <row r="7" spans="1:14">
      <c r="D7" t="s">
        <v>50</v>
      </c>
      <c r="E7" s="2">
        <f>E6*0.2</f>
        <v>25</v>
      </c>
      <c r="I7" t="s">
        <v>47</v>
      </c>
      <c r="J7" s="1">
        <f>J5-J6</f>
        <v>120</v>
      </c>
      <c r="L7" t="s">
        <v>51</v>
      </c>
      <c r="M7" s="1">
        <f>(0.2*J6)/0.04</f>
        <v>25</v>
      </c>
    </row>
    <row r="8" spans="1:14">
      <c r="D8" t="s">
        <v>27</v>
      </c>
      <c r="E8" s="1">
        <f>E6-E7</f>
        <v>100</v>
      </c>
      <c r="I8" t="s">
        <v>50</v>
      </c>
      <c r="J8" s="1">
        <f>J7*0.2</f>
        <v>24</v>
      </c>
      <c r="L8" t="s">
        <v>52</v>
      </c>
      <c r="M8" s="1">
        <f>M6+M7</f>
        <v>1025</v>
      </c>
    </row>
    <row r="9" spans="1:14">
      <c r="I9" t="s">
        <v>53</v>
      </c>
      <c r="J9" s="2">
        <v>5</v>
      </c>
    </row>
    <row r="10" spans="1:14">
      <c r="D10" t="s">
        <v>29</v>
      </c>
      <c r="E10" s="1">
        <v>100</v>
      </c>
      <c r="I10" t="s">
        <v>27</v>
      </c>
      <c r="J10" s="1">
        <f>J7-J8+J9</f>
        <v>101</v>
      </c>
    </row>
    <row r="11" spans="1:14">
      <c r="D11" t="s">
        <v>31</v>
      </c>
      <c r="E11">
        <v>62.5</v>
      </c>
    </row>
    <row r="12" spans="1:14">
      <c r="D12" t="s">
        <v>33</v>
      </c>
      <c r="E12" s="1">
        <v>2</v>
      </c>
      <c r="I12" t="s">
        <v>29</v>
      </c>
      <c r="J12" s="1">
        <f>J10</f>
        <v>101</v>
      </c>
    </row>
    <row r="13" spans="1:14">
      <c r="I13" t="s">
        <v>31</v>
      </c>
      <c r="J13">
        <v>39.4</v>
      </c>
    </row>
    <row r="14" spans="1:14">
      <c r="D14" t="s">
        <v>54</v>
      </c>
      <c r="E14" s="1">
        <f>1000000000*E12/62500000</f>
        <v>32</v>
      </c>
      <c r="I14" t="s">
        <v>33</v>
      </c>
      <c r="J14" s="1">
        <f>101000000/42500000</f>
        <v>2.3764705882352941</v>
      </c>
    </row>
    <row r="16" spans="1:14">
      <c r="E16" s="5"/>
      <c r="I16" t="s">
        <v>55</v>
      </c>
      <c r="J16" s="1">
        <f>(1000000000*J14)/39400000</f>
        <v>60.316512391758742</v>
      </c>
    </row>
    <row r="17" spans="4:10">
      <c r="D17" s="52" t="s">
        <v>35</v>
      </c>
      <c r="E17" s="52"/>
    </row>
    <row r="18" spans="4:10">
      <c r="D18" t="s">
        <v>37</v>
      </c>
      <c r="E18" s="1">
        <v>450</v>
      </c>
      <c r="I18" s="52" t="s">
        <v>35</v>
      </c>
      <c r="J18" s="52"/>
    </row>
    <row r="19" spans="4:10">
      <c r="D19" t="s">
        <v>38</v>
      </c>
      <c r="E19" s="2">
        <v>550</v>
      </c>
      <c r="I19" t="s">
        <v>37</v>
      </c>
      <c r="J19" s="1">
        <v>450</v>
      </c>
    </row>
    <row r="20" spans="4:10">
      <c r="D20" t="s">
        <v>39</v>
      </c>
      <c r="E20" s="1">
        <f>E18+E19</f>
        <v>1000</v>
      </c>
      <c r="I20" t="s">
        <v>38</v>
      </c>
      <c r="J20" s="2">
        <v>550</v>
      </c>
    </row>
    <row r="21" spans="4:10">
      <c r="I21" t="s">
        <v>39</v>
      </c>
      <c r="J21" s="1">
        <f>J19+J20</f>
        <v>1000</v>
      </c>
    </row>
    <row r="22" spans="4:10">
      <c r="D22" t="s">
        <v>41</v>
      </c>
      <c r="E22">
        <v>0</v>
      </c>
    </row>
    <row r="23" spans="4:10">
      <c r="D23" t="s">
        <v>42</v>
      </c>
      <c r="E23" s="11">
        <v>1000</v>
      </c>
      <c r="I23" t="s">
        <v>41</v>
      </c>
      <c r="J23">
        <v>0</v>
      </c>
    </row>
    <row r="24" spans="4:10">
      <c r="D24" t="s">
        <v>43</v>
      </c>
      <c r="E24">
        <f>E22+E23</f>
        <v>1000</v>
      </c>
      <c r="I24" t="s">
        <v>42</v>
      </c>
      <c r="J24" s="11">
        <v>1000</v>
      </c>
    </row>
    <row r="25" spans="4:10">
      <c r="I25" t="s">
        <v>43</v>
      </c>
      <c r="J25">
        <f>J23+J24</f>
        <v>1000</v>
      </c>
    </row>
  </sheetData>
  <mergeCells count="4">
    <mergeCell ref="I2:J2"/>
    <mergeCell ref="D2:E2"/>
    <mergeCell ref="D17:E17"/>
    <mergeCell ref="I18:J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A221-9935-4616-BD38-2C5E1FE056B1}">
  <dimension ref="A1"/>
  <sheetViews>
    <sheetView workbookViewId="0"/>
  </sheetViews>
  <sheetFormatPr defaultColWidth="8.85546875" defaultRowHeight="15"/>
  <cols>
    <col min="1" max="1" width="55.85546875" customWidth="1"/>
  </cols>
  <sheetData>
    <row r="1" spans="1:1" ht="56.25" customHeight="1">
      <c r="A1" s="10" t="s">
        <v>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D38D-4528-4E4B-A1B4-B6095324B982}">
  <dimension ref="A1"/>
  <sheetViews>
    <sheetView workbookViewId="0">
      <selection activeCell="C13" sqref="C13"/>
    </sheetView>
  </sheetViews>
  <sheetFormatPr defaultColWidth="8.85546875" defaultRowHeight="15"/>
  <sheetData>
    <row r="1" spans="1:1" ht="15.95">
      <c r="A1" s="9" t="s">
        <v>57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1400B-AA2E-4BAE-95EA-9AE2D04BD7CB}">
  <dimension ref="A1:I16"/>
  <sheetViews>
    <sheetView workbookViewId="0">
      <selection activeCell="A3" sqref="A3:E16"/>
    </sheetView>
  </sheetViews>
  <sheetFormatPr defaultColWidth="8.85546875" defaultRowHeight="15"/>
  <cols>
    <col min="1" max="1" width="15.42578125" bestFit="1" customWidth="1"/>
    <col min="2" max="2" width="20.140625" bestFit="1" customWidth="1"/>
    <col min="3" max="3" width="20.140625" customWidth="1"/>
    <col min="4" max="4" width="11.85546875" customWidth="1"/>
    <col min="5" max="5" width="16.42578125" bestFit="1" customWidth="1"/>
    <col min="8" max="8" width="22.28515625" bestFit="1" customWidth="1"/>
    <col min="9" max="9" width="10.7109375" bestFit="1" customWidth="1"/>
  </cols>
  <sheetData>
    <row r="1" spans="1:9" ht="69.75" customHeight="1">
      <c r="A1" s="53" t="s">
        <v>58</v>
      </c>
      <c r="B1" s="53"/>
      <c r="C1" s="53"/>
      <c r="D1" s="53"/>
      <c r="E1" s="53"/>
      <c r="F1" s="53"/>
    </row>
    <row r="2" spans="1:9" ht="15.95">
      <c r="A2" s="13"/>
      <c r="B2" s="13"/>
      <c r="C2" s="13"/>
      <c r="D2" s="13"/>
      <c r="E2" s="13"/>
      <c r="F2" s="13"/>
      <c r="I2" s="1"/>
    </row>
    <row r="3" spans="1:9">
      <c r="B3" s="34" t="s">
        <v>0</v>
      </c>
      <c r="C3" s="36" t="s">
        <v>1</v>
      </c>
      <c r="D3" s="35" t="s">
        <v>2</v>
      </c>
      <c r="E3" s="36" t="s">
        <v>3</v>
      </c>
      <c r="I3" s="1"/>
    </row>
    <row r="4" spans="1:9">
      <c r="A4" s="24" t="s">
        <v>4</v>
      </c>
      <c r="B4" s="30">
        <v>0.08</v>
      </c>
      <c r="C4" s="37">
        <f>((C12/C10)*B4)+((C11/C10)*1*(1-0.2))</f>
        <v>0.08</v>
      </c>
      <c r="D4" s="31">
        <f>((D12/D10)*(0.08))+((D11/D10)*(0.04))</f>
        <v>6.720000000000001E-2</v>
      </c>
      <c r="E4" s="45">
        <f>((E12/E10)*(E9/E12))+((E11/E10)*(0.04)*(1-0.2))</f>
        <v>6.4000000000000001E-2</v>
      </c>
      <c r="I4" s="1"/>
    </row>
    <row r="5" spans="1:9">
      <c r="A5" s="25" t="s">
        <v>5</v>
      </c>
      <c r="B5" s="19">
        <v>1500</v>
      </c>
      <c r="C5" s="38">
        <v>1500</v>
      </c>
      <c r="D5" s="20">
        <v>1500</v>
      </c>
      <c r="E5" s="39">
        <v>1500</v>
      </c>
    </row>
    <row r="6" spans="1:9">
      <c r="A6" s="25" t="s">
        <v>6</v>
      </c>
      <c r="B6" s="19">
        <v>1375</v>
      </c>
      <c r="C6" s="38">
        <v>1375</v>
      </c>
      <c r="D6" s="20">
        <v>1375</v>
      </c>
      <c r="E6" s="39">
        <v>1375</v>
      </c>
      <c r="H6" t="s">
        <v>59</v>
      </c>
    </row>
    <row r="7" spans="1:9">
      <c r="A7" s="25" t="s">
        <v>7</v>
      </c>
      <c r="B7" s="27">
        <f>B11*0.04</f>
        <v>0</v>
      </c>
      <c r="C7" s="39">
        <f>C11*0.04</f>
        <v>0</v>
      </c>
      <c r="D7" s="20">
        <f>D11*0.04</f>
        <v>20</v>
      </c>
      <c r="E7" s="39">
        <f>E11*0.04</f>
        <v>20</v>
      </c>
    </row>
    <row r="8" spans="1:9">
      <c r="A8" s="25" t="s">
        <v>8</v>
      </c>
      <c r="B8" s="19">
        <v>0</v>
      </c>
      <c r="C8" s="38">
        <f>(C5-C6)*0.2</f>
        <v>25</v>
      </c>
      <c r="D8" s="20">
        <v>0</v>
      </c>
      <c r="E8" s="39">
        <f>(E5-E6-E7)*0.2</f>
        <v>21</v>
      </c>
      <c r="H8" t="s">
        <v>60</v>
      </c>
      <c r="I8" s="50">
        <f>(E7*0.2)/0.04</f>
        <v>100</v>
      </c>
    </row>
    <row r="9" spans="1:9">
      <c r="A9" s="25" t="s">
        <v>9</v>
      </c>
      <c r="B9" s="32">
        <f>B5-B6-B7-B8</f>
        <v>125</v>
      </c>
      <c r="C9" s="40">
        <f>C5-C6-C7-C8</f>
        <v>100</v>
      </c>
      <c r="D9" s="33">
        <f>D5-D6-D7-D8</f>
        <v>105</v>
      </c>
      <c r="E9" s="40">
        <f>E5-E6-E7-E8</f>
        <v>84</v>
      </c>
    </row>
    <row r="10" spans="1:9">
      <c r="A10" s="25" t="s">
        <v>10</v>
      </c>
      <c r="B10" s="17">
        <f>B9/B4</f>
        <v>1562.5</v>
      </c>
      <c r="C10" s="41">
        <f>C12</f>
        <v>1250</v>
      </c>
      <c r="D10" s="18">
        <f>D11+D12</f>
        <v>1562.5</v>
      </c>
      <c r="E10" s="46">
        <f>E11+E12</f>
        <v>1562.5</v>
      </c>
    </row>
    <row r="11" spans="1:9">
      <c r="A11" s="25" t="s">
        <v>11</v>
      </c>
      <c r="B11" s="19">
        <v>0</v>
      </c>
      <c r="C11" s="38">
        <v>0</v>
      </c>
      <c r="D11" s="20">
        <v>500</v>
      </c>
      <c r="E11" s="39">
        <v>500</v>
      </c>
    </row>
    <row r="12" spans="1:9">
      <c r="A12" s="25" t="s">
        <v>12</v>
      </c>
      <c r="B12" s="21">
        <f>B10</f>
        <v>1562.5</v>
      </c>
      <c r="C12" s="42">
        <f>C9/B4</f>
        <v>1250</v>
      </c>
      <c r="D12" s="23">
        <f>B10-500</f>
        <v>1062.5</v>
      </c>
      <c r="E12" s="39">
        <f>B10-500</f>
        <v>1062.5</v>
      </c>
    </row>
    <row r="13" spans="1:9">
      <c r="A13" s="25" t="s">
        <v>13</v>
      </c>
      <c r="B13" s="28">
        <v>62.5</v>
      </c>
      <c r="C13" s="43">
        <f>B13-(C11/B14)</f>
        <v>62.5</v>
      </c>
      <c r="D13" s="15">
        <v>42.5</v>
      </c>
      <c r="E13" s="49">
        <v>39.4</v>
      </c>
    </row>
    <row r="14" spans="1:9">
      <c r="A14" s="25" t="s">
        <v>14</v>
      </c>
      <c r="B14" s="19">
        <f>B12/B13</f>
        <v>25</v>
      </c>
      <c r="C14" s="38">
        <f>C12/C13</f>
        <v>20</v>
      </c>
      <c r="D14" s="20">
        <f>D12/D13</f>
        <v>25</v>
      </c>
      <c r="E14" s="39">
        <f>E12/E13</f>
        <v>26.967005076142133</v>
      </c>
    </row>
    <row r="15" spans="1:9">
      <c r="A15" s="25" t="s">
        <v>61</v>
      </c>
      <c r="B15" s="29">
        <f>B9</f>
        <v>125</v>
      </c>
      <c r="C15" s="44">
        <f>C9</f>
        <v>100</v>
      </c>
      <c r="D15" s="16">
        <f>D9</f>
        <v>105</v>
      </c>
      <c r="E15" s="48">
        <f>E9</f>
        <v>84</v>
      </c>
    </row>
    <row r="16" spans="1:9">
      <c r="A16" s="26" t="s">
        <v>16</v>
      </c>
      <c r="B16" s="21">
        <f>B15/B13</f>
        <v>2</v>
      </c>
      <c r="C16" s="42">
        <f>C15/C13</f>
        <v>1.6</v>
      </c>
      <c r="D16" s="22">
        <f>D15/D13</f>
        <v>2.4705882352941178</v>
      </c>
      <c r="E16" s="47">
        <f>E15/E13</f>
        <v>2.1319796954314723</v>
      </c>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B33-F8B4-4130-A4F4-63A12282A68C}">
  <dimension ref="A1"/>
  <sheetViews>
    <sheetView workbookViewId="0"/>
  </sheetViews>
  <sheetFormatPr defaultColWidth="8.85546875" defaultRowHeight="15"/>
  <sheetData>
    <row r="1" spans="1:1" ht="15.95">
      <c r="A1" s="9" t="s">
        <v>62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0119-CA31-45D4-818A-384657697690}">
  <dimension ref="A1"/>
  <sheetViews>
    <sheetView workbookViewId="0">
      <selection activeCell="A17" sqref="A17"/>
    </sheetView>
  </sheetViews>
  <sheetFormatPr defaultColWidth="8.85546875" defaultRowHeight="15"/>
  <cols>
    <col min="1" max="1" width="90.28515625" customWidth="1"/>
  </cols>
  <sheetData>
    <row r="1" spans="1:1" ht="64.5" customHeight="1">
      <c r="A1" s="10"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2025-04-28T15:41:23Z</dcterms:created>
  <dcterms:modified xsi:type="dcterms:W3CDTF">2025-09-25T15:06:12Z</dcterms:modified>
  <cp:category/>
  <cp:contentStatus/>
</cp:coreProperties>
</file>