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24226"/>
  <xr:revisionPtr revIDLastSave="0" documentId="13_ncr:1_{3B9B0224-733F-461A-AD23-8A9188A62BCC}" xr6:coauthVersionLast="47" xr6:coauthVersionMax="47" xr10:uidLastSave="{00000000-0000-0000-0000-000000000000}"/>
  <bookViews>
    <workbookView xWindow="-120" yWindow="-120" windowWidth="29040" windowHeight="15840" firstSheet="1" activeTab="2" xr2:uid="{F8D68037-880B-447C-B51A-4D824810A1BB}"/>
  </bookViews>
  <sheets>
    <sheet name="Sheet1" sheetId="1" r:id="rId1"/>
    <sheet name="Demography 2" sheetId="3" r:id="rId2"/>
    <sheet name="Sheet2" sheetId="5" r:id="rId3"/>
    <sheet name="Procurement and Repair from MI" sheetId="4" r:id="rId4"/>
  </sheets>
  <definedNames>
    <definedName name="_xlnm._FilterDatabase" localSheetId="1" hidden="1">'Demography 2'!$A$1:$AA$6</definedName>
    <definedName name="_xlnm._FilterDatabase" localSheetId="0" hidden="1">Sheet1!$A$1:$V$186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1" i="1" l="1" a="1"/>
  <c r="N181" i="1" s="1"/>
  <c r="N180" i="1" a="1"/>
  <c r="N180" i="1" s="1"/>
  <c r="S186" i="1"/>
  <c r="W2" i="4"/>
  <c r="AC3" i="4"/>
  <c r="AF3" i="4"/>
  <c r="AG3" i="4"/>
  <c r="AJ3" i="4"/>
  <c r="AH3" i="4"/>
  <c r="AI3" i="4"/>
  <c r="AC4" i="4"/>
  <c r="AF4" i="4"/>
  <c r="AG4" i="4"/>
  <c r="AH4" i="4"/>
  <c r="W5" i="4"/>
  <c r="AC6" i="4"/>
  <c r="AF6" i="4"/>
  <c r="AG6" i="4"/>
  <c r="AI6" i="4"/>
  <c r="AK6" i="4"/>
  <c r="AH6" i="4"/>
  <c r="AL6" i="4"/>
  <c r="AJ6" i="4"/>
  <c r="AC7" i="4"/>
  <c r="AF7" i="4"/>
  <c r="AG7" i="4"/>
  <c r="AI7" i="4"/>
  <c r="AK7" i="4"/>
  <c r="AH7" i="4"/>
  <c r="AJ7" i="4"/>
  <c r="AC8" i="4"/>
  <c r="AF8" i="4"/>
  <c r="AG8" i="4"/>
  <c r="AI8" i="4"/>
  <c r="AK8" i="4"/>
  <c r="AH8" i="4"/>
  <c r="AJ8" i="4"/>
  <c r="AC9" i="4"/>
  <c r="AF9" i="4"/>
  <c r="AG9" i="4"/>
  <c r="AI9" i="4"/>
  <c r="AK9" i="4"/>
  <c r="AH9" i="4"/>
  <c r="AL9" i="4"/>
  <c r="AJ9" i="4"/>
  <c r="AC10" i="4"/>
  <c r="AF10" i="4"/>
  <c r="AG10" i="4"/>
  <c r="AI10" i="4"/>
  <c r="AK10" i="4"/>
  <c r="AH10" i="4"/>
  <c r="AL10" i="4"/>
  <c r="AJ10" i="4"/>
  <c r="AC11" i="4"/>
  <c r="AF11" i="4"/>
  <c r="AG11" i="4"/>
  <c r="AI11" i="4"/>
  <c r="AK11" i="4"/>
  <c r="AH11" i="4"/>
  <c r="AL11" i="4"/>
  <c r="AJ11" i="4"/>
  <c r="W12" i="4"/>
  <c r="AC13" i="4"/>
  <c r="AD13" i="4"/>
  <c r="AF13" i="4"/>
  <c r="AG13" i="4"/>
  <c r="AH13" i="4"/>
  <c r="AC14" i="4"/>
  <c r="AF14" i="4"/>
  <c r="AG14" i="4"/>
  <c r="AH14" i="4"/>
  <c r="W15" i="4"/>
  <c r="AC16" i="4"/>
  <c r="AF16" i="4"/>
  <c r="AG16" i="4"/>
  <c r="AI16" i="4"/>
  <c r="AH16" i="4"/>
  <c r="AC17" i="4"/>
  <c r="AF17" i="4"/>
  <c r="AG17" i="4"/>
  <c r="AH17" i="4"/>
  <c r="W18" i="4"/>
  <c r="AC19" i="4"/>
  <c r="AF19" i="4"/>
  <c r="AG19" i="4"/>
  <c r="AI19" i="4"/>
  <c r="AH19" i="4"/>
  <c r="W20" i="4"/>
  <c r="AC21" i="4"/>
  <c r="AF21" i="4"/>
  <c r="AG21" i="4"/>
  <c r="AH21" i="4"/>
  <c r="AC22" i="4"/>
  <c r="AF22" i="4"/>
  <c r="AG22" i="4"/>
  <c r="AH22" i="4"/>
  <c r="W23" i="4"/>
  <c r="AC24" i="4"/>
  <c r="AF24" i="4"/>
  <c r="AG24" i="4"/>
  <c r="AH24" i="4"/>
  <c r="AK24" i="4"/>
  <c r="AI24" i="4"/>
  <c r="AJ24" i="4"/>
  <c r="AL24" i="4"/>
  <c r="W25" i="4"/>
  <c r="AC26" i="4"/>
  <c r="AD26" i="4"/>
  <c r="AF26" i="4"/>
  <c r="AG26" i="4"/>
  <c r="AI26" i="4"/>
  <c r="AH26" i="4"/>
  <c r="AC27" i="4"/>
  <c r="AF27" i="4"/>
  <c r="AG27" i="4"/>
  <c r="AH27" i="4"/>
  <c r="AC28" i="4"/>
  <c r="AF28" i="4"/>
  <c r="AG28" i="4"/>
  <c r="AI28" i="4"/>
  <c r="AH28" i="4"/>
  <c r="W29" i="4"/>
  <c r="AC30" i="4"/>
  <c r="AD30" i="4"/>
  <c r="AF30" i="4"/>
  <c r="AG30" i="4"/>
  <c r="AH30" i="4"/>
  <c r="AC31" i="4"/>
  <c r="AF31" i="4"/>
  <c r="AG31" i="4"/>
  <c r="AH31" i="4"/>
  <c r="W32" i="4"/>
  <c r="W33" i="4"/>
  <c r="AC34" i="4"/>
  <c r="AF34" i="4"/>
  <c r="AG34" i="4"/>
  <c r="AI34" i="4"/>
  <c r="AH34" i="4"/>
  <c r="AC35" i="4"/>
  <c r="AD35" i="4"/>
  <c r="AF35" i="4"/>
  <c r="AG35" i="4"/>
  <c r="AH35" i="4"/>
  <c r="AC36" i="4"/>
  <c r="AF36" i="4"/>
  <c r="AG36" i="4"/>
  <c r="AH36" i="4"/>
  <c r="AC37" i="4"/>
  <c r="AF37" i="4"/>
  <c r="AG37" i="4"/>
  <c r="AH37" i="4"/>
  <c r="AC38" i="4"/>
  <c r="AF38" i="4"/>
  <c r="AG38" i="4"/>
  <c r="AH38" i="4"/>
  <c r="AC39" i="4"/>
  <c r="AF39" i="4"/>
  <c r="AG39" i="4"/>
  <c r="AH39" i="4"/>
  <c r="M40" i="4"/>
  <c r="W40" i="4"/>
  <c r="AC41" i="4"/>
  <c r="AF41" i="4"/>
  <c r="AG41" i="4"/>
  <c r="AH41" i="4"/>
  <c r="W42" i="4"/>
  <c r="W43" i="4"/>
  <c r="AC44" i="4"/>
  <c r="AF44" i="4"/>
  <c r="AG44" i="4"/>
  <c r="AH44" i="4"/>
  <c r="AI44" i="4"/>
  <c r="AK44" i="4"/>
  <c r="AJ44" i="4"/>
  <c r="AC45" i="4"/>
  <c r="AD45" i="4"/>
  <c r="AF45" i="4"/>
  <c r="AG45" i="4"/>
  <c r="AH45" i="4"/>
  <c r="W46" i="4"/>
  <c r="AC47" i="4"/>
  <c r="AF47" i="4"/>
  <c r="AG47" i="4"/>
  <c r="AI47" i="4"/>
  <c r="AH47" i="4"/>
  <c r="W48" i="4"/>
  <c r="AC49" i="4"/>
  <c r="AF49" i="4"/>
  <c r="AG49" i="4"/>
  <c r="AI49" i="4"/>
  <c r="AH49" i="4"/>
  <c r="AJ49" i="4"/>
  <c r="AC50" i="4"/>
  <c r="AF50" i="4"/>
  <c r="AG50" i="4"/>
  <c r="AI50" i="4"/>
  <c r="AH50" i="4"/>
  <c r="AJ50" i="4"/>
  <c r="AC51" i="4"/>
  <c r="AF51" i="4"/>
  <c r="AG51" i="4"/>
  <c r="AI51" i="4"/>
  <c r="AH51" i="4"/>
  <c r="AJ51" i="4"/>
  <c r="AC52" i="4"/>
  <c r="AF52" i="4"/>
  <c r="AG52" i="4"/>
  <c r="AI52" i="4"/>
  <c r="AH52" i="4"/>
  <c r="AJ52" i="4"/>
  <c r="W53" i="4"/>
  <c r="AC54" i="4"/>
  <c r="AF54" i="4"/>
  <c r="AG54" i="4"/>
  <c r="AH54" i="4"/>
  <c r="AC55" i="4"/>
  <c r="AF55" i="4"/>
  <c r="AG55" i="4"/>
  <c r="AH55" i="4"/>
  <c r="AC56" i="4"/>
  <c r="AD56" i="4"/>
  <c r="AK56" i="4"/>
  <c r="AF56" i="4"/>
  <c r="AG56" i="4"/>
  <c r="AH56" i="4"/>
  <c r="AI56" i="4"/>
  <c r="AJ56" i="4"/>
  <c r="AL56" i="4"/>
  <c r="W57" i="4"/>
  <c r="AC58" i="4"/>
  <c r="AF58" i="4"/>
  <c r="AG58" i="4"/>
  <c r="AH58" i="4"/>
  <c r="AC59" i="4"/>
  <c r="AD59" i="4"/>
  <c r="AF59" i="4"/>
  <c r="AG59" i="4"/>
  <c r="AI59" i="4"/>
  <c r="AK59" i="4"/>
  <c r="AH59" i="4"/>
  <c r="AJ59" i="4"/>
  <c r="W60" i="4"/>
  <c r="AC61" i="4"/>
  <c r="AF61" i="4"/>
  <c r="AG61" i="4"/>
  <c r="AH61" i="4"/>
  <c r="W62" i="4"/>
  <c r="AC63" i="4"/>
  <c r="AF63" i="4"/>
  <c r="AG63" i="4"/>
  <c r="AH63" i="4"/>
  <c r="AC64" i="4"/>
  <c r="AF64" i="4"/>
  <c r="AG64" i="4"/>
  <c r="AH64" i="4"/>
  <c r="AC65" i="4"/>
  <c r="AD65" i="4"/>
  <c r="AF65" i="4"/>
  <c r="AG65" i="4"/>
  <c r="AI65" i="4"/>
  <c r="AH65" i="4"/>
  <c r="AC66" i="4"/>
  <c r="AD66" i="4"/>
  <c r="AF66" i="4"/>
  <c r="AG66" i="4"/>
  <c r="AI66" i="4"/>
  <c r="AH66" i="4"/>
  <c r="AC67" i="4"/>
  <c r="AD67" i="4"/>
  <c r="AF67" i="4"/>
  <c r="AG67" i="4"/>
  <c r="AH67" i="4"/>
  <c r="AC68" i="4"/>
  <c r="AF68" i="4"/>
  <c r="AG68" i="4"/>
  <c r="AH68" i="4"/>
  <c r="W69" i="4"/>
  <c r="AC70" i="4"/>
  <c r="AF70" i="4"/>
  <c r="AG70" i="4"/>
  <c r="AH70" i="4"/>
  <c r="AC71" i="4"/>
  <c r="AF71" i="4"/>
  <c r="AG71" i="4"/>
  <c r="AH71" i="4"/>
  <c r="W72" i="4"/>
  <c r="AC73" i="4"/>
  <c r="AF73" i="4"/>
  <c r="AG73" i="4"/>
  <c r="AH73" i="4"/>
  <c r="W74" i="4"/>
  <c r="AC75" i="4"/>
  <c r="AD75" i="4"/>
  <c r="AK75" i="4"/>
  <c r="AF75" i="4"/>
  <c r="AG75" i="4"/>
  <c r="AH75" i="4"/>
  <c r="AI75" i="4"/>
  <c r="AL75" i="4"/>
  <c r="AJ75" i="4"/>
  <c r="AC76" i="4"/>
  <c r="AF76" i="4"/>
  <c r="AG76" i="4"/>
  <c r="AI76" i="4"/>
  <c r="AH76" i="4"/>
  <c r="AJ76" i="4"/>
  <c r="W77" i="4"/>
  <c r="AC78" i="4"/>
  <c r="AF78" i="4"/>
  <c r="AG78" i="4"/>
  <c r="AH78" i="4"/>
  <c r="W79" i="4"/>
  <c r="AC80" i="4"/>
  <c r="AD80" i="4"/>
  <c r="AF80" i="4"/>
  <c r="AG80" i="4"/>
  <c r="AI80" i="4"/>
  <c r="AH80" i="4"/>
  <c r="AC81" i="4"/>
  <c r="AF81" i="4"/>
  <c r="AG81" i="4"/>
  <c r="AI81" i="4"/>
  <c r="AH81" i="4"/>
  <c r="AC82" i="4"/>
  <c r="AF82" i="4"/>
  <c r="AG82" i="4"/>
  <c r="AI82" i="4"/>
  <c r="AH82" i="4"/>
  <c r="W83" i="4"/>
  <c r="AC84" i="4"/>
  <c r="AF84" i="4"/>
  <c r="AG84" i="4"/>
  <c r="AH84" i="4"/>
  <c r="W85" i="4"/>
  <c r="AC86" i="4"/>
  <c r="AF86" i="4"/>
  <c r="AG86" i="4"/>
  <c r="AH86" i="4"/>
  <c r="AC87" i="4"/>
  <c r="AD87" i="4"/>
  <c r="AF87" i="4"/>
  <c r="AG87" i="4"/>
  <c r="AH87" i="4"/>
  <c r="AC88" i="4"/>
  <c r="AF88" i="4"/>
  <c r="AG88" i="4"/>
  <c r="AH88" i="4"/>
  <c r="AI88" i="4"/>
  <c r="AJ88" i="4"/>
  <c r="AK88" i="4"/>
  <c r="AL88" i="4"/>
  <c r="W89" i="4"/>
  <c r="AC90" i="4"/>
  <c r="AF90" i="4"/>
  <c r="AG90" i="4"/>
  <c r="AI90" i="4"/>
  <c r="AH90" i="4"/>
  <c r="I2" i="3"/>
  <c r="S2" i="3"/>
  <c r="V2" i="3"/>
  <c r="W2" i="3"/>
  <c r="X2" i="3"/>
  <c r="AC4" i="3" s="1"/>
  <c r="Z2" i="3"/>
  <c r="AA2" i="3" s="1"/>
  <c r="I3" i="3"/>
  <c r="S3" i="3"/>
  <c r="V3" i="3"/>
  <c r="W3" i="3"/>
  <c r="X3" i="3"/>
  <c r="Z3" i="3"/>
  <c r="AA3" i="3" s="1"/>
  <c r="I4" i="3"/>
  <c r="S4" i="3"/>
  <c r="V4" i="3"/>
  <c r="W4" i="3"/>
  <c r="X4" i="3"/>
  <c r="Z4" i="3"/>
  <c r="AA4" i="3" s="1"/>
  <c r="I5" i="3"/>
  <c r="S5" i="3"/>
  <c r="V5" i="3"/>
  <c r="W5" i="3"/>
  <c r="X5" i="3"/>
  <c r="Z5" i="3"/>
  <c r="AA5" i="3" s="1"/>
  <c r="I6" i="3"/>
  <c r="S6" i="3"/>
  <c r="V6" i="3"/>
  <c r="W6" i="3"/>
  <c r="X6" i="3"/>
  <c r="Z6" i="3"/>
  <c r="AA6" i="3"/>
  <c r="R2" i="1"/>
  <c r="U2" i="1"/>
  <c r="V2" i="1"/>
  <c r="AL2" i="1"/>
  <c r="AM2" i="1"/>
  <c r="BA2" i="1"/>
  <c r="BB2" i="1"/>
  <c r="BC2" i="1"/>
  <c r="BJ2" i="1" a="1"/>
  <c r="BJ2" i="1"/>
  <c r="BU2" i="1"/>
  <c r="R3" i="1"/>
  <c r="S3" i="1"/>
  <c r="U3" i="1"/>
  <c r="V3" i="1"/>
  <c r="AL3" i="1"/>
  <c r="AM3" i="1"/>
  <c r="BA3" i="1"/>
  <c r="BB3" i="1"/>
  <c r="BE3" i="1"/>
  <c r="BC3" i="1"/>
  <c r="BJ3" i="1" a="1"/>
  <c r="BJ3" i="1"/>
  <c r="BJ21" i="1"/>
  <c r="BU3" i="1"/>
  <c r="R4" i="1"/>
  <c r="U4" i="1"/>
  <c r="V4" i="1"/>
  <c r="AL4" i="1"/>
  <c r="AM4" i="1"/>
  <c r="BA4" i="1"/>
  <c r="BB4" i="1"/>
  <c r="BD4" i="1"/>
  <c r="BC4" i="1"/>
  <c r="BJ4" i="1" a="1"/>
  <c r="BJ4" i="1"/>
  <c r="BU4" i="1"/>
  <c r="R5" i="1"/>
  <c r="U5" i="1"/>
  <c r="V5" i="1"/>
  <c r="AL5" i="1"/>
  <c r="AM5" i="1"/>
  <c r="BA5" i="1"/>
  <c r="BC5" i="1"/>
  <c r="BJ5" i="1" a="1"/>
  <c r="BJ5" i="1"/>
  <c r="BU5" i="1"/>
  <c r="R6" i="1"/>
  <c r="U6" i="1"/>
  <c r="V6" i="1"/>
  <c r="AL6" i="1"/>
  <c r="AM6" i="1"/>
  <c r="BA6" i="1"/>
  <c r="BB6" i="1"/>
  <c r="BC6" i="1"/>
  <c r="BG6" i="1"/>
  <c r="BJ6" i="1"/>
  <c r="BJ6" i="1" a="1"/>
  <c r="BU6" i="1"/>
  <c r="R7" i="1"/>
  <c r="U7" i="1"/>
  <c r="V7" i="1"/>
  <c r="AL7" i="1"/>
  <c r="AM7" i="1"/>
  <c r="BA7" i="1"/>
  <c r="BB7" i="1"/>
  <c r="BD7" i="1"/>
  <c r="BC7" i="1"/>
  <c r="BJ7" i="1"/>
  <c r="BJ7" i="1" a="1"/>
  <c r="R8" i="1"/>
  <c r="U8" i="1"/>
  <c r="V8" i="1"/>
  <c r="Y11" i="1"/>
  <c r="AL8" i="1"/>
  <c r="AM8" i="1"/>
  <c r="BA8" i="1"/>
  <c r="BB8" i="1"/>
  <c r="BC8" i="1"/>
  <c r="BJ8" i="1" a="1"/>
  <c r="BJ8" i="1"/>
  <c r="R9" i="1"/>
  <c r="U9" i="1"/>
  <c r="V9" i="1"/>
  <c r="AL9" i="1"/>
  <c r="BA9" i="1"/>
  <c r="BB9" i="1"/>
  <c r="BE9" i="1"/>
  <c r="BC9" i="1"/>
  <c r="BJ9" i="1" a="1"/>
  <c r="BJ9" i="1"/>
  <c r="R10" i="1"/>
  <c r="S10" i="1"/>
  <c r="U10" i="1"/>
  <c r="V10" i="1"/>
  <c r="AB10" i="1"/>
  <c r="AL10" i="1"/>
  <c r="AM10" i="1"/>
  <c r="BA10" i="1"/>
  <c r="BB10" i="1"/>
  <c r="BC10" i="1"/>
  <c r="BE10" i="1"/>
  <c r="BJ10" i="1" a="1"/>
  <c r="BJ10" i="1"/>
  <c r="R11" i="1"/>
  <c r="U11" i="1"/>
  <c r="V11" i="1"/>
  <c r="AB11" i="1"/>
  <c r="AB12" i="1"/>
  <c r="AL11" i="1"/>
  <c r="AM11" i="1"/>
  <c r="BA11" i="1"/>
  <c r="BB11" i="1"/>
  <c r="BD11" i="1"/>
  <c r="BC11" i="1"/>
  <c r="BE11" i="1"/>
  <c r="BJ11" i="1" a="1"/>
  <c r="BJ11" i="1"/>
  <c r="R12" i="1"/>
  <c r="U12" i="1"/>
  <c r="V12" i="1"/>
  <c r="AL12" i="1"/>
  <c r="AM12" i="1"/>
  <c r="BA12" i="1"/>
  <c r="BB12" i="1"/>
  <c r="BD12" i="1"/>
  <c r="BC12" i="1"/>
  <c r="BJ12" i="1" a="1"/>
  <c r="BJ12" i="1"/>
  <c r="R13" i="1"/>
  <c r="U13" i="1"/>
  <c r="V13" i="1"/>
  <c r="AL13" i="1"/>
  <c r="AM13" i="1"/>
  <c r="BA13" i="1"/>
  <c r="BB13" i="1"/>
  <c r="BD13" i="1"/>
  <c r="BC13" i="1"/>
  <c r="BJ13" i="1" a="1"/>
  <c r="BJ13" i="1"/>
  <c r="R14" i="1"/>
  <c r="U14" i="1"/>
  <c r="V14" i="1"/>
  <c r="AL14" i="1"/>
  <c r="AO2" i="1"/>
  <c r="AM14" i="1"/>
  <c r="BA14" i="1"/>
  <c r="BB14" i="1"/>
  <c r="BE14" i="1"/>
  <c r="BC14" i="1"/>
  <c r="BJ14" i="1" a="1"/>
  <c r="BJ14" i="1"/>
  <c r="R15" i="1"/>
  <c r="U15" i="1"/>
  <c r="V15" i="1"/>
  <c r="Y15" i="1"/>
  <c r="AL15" i="1"/>
  <c r="BA15" i="1"/>
  <c r="BB15" i="1"/>
  <c r="BC15" i="1"/>
  <c r="BJ15" i="1"/>
  <c r="BJ15" i="1" a="1"/>
  <c r="R16" i="1"/>
  <c r="U16" i="1"/>
  <c r="V16" i="1"/>
  <c r="Y16" i="1"/>
  <c r="AL16" i="1"/>
  <c r="AM16" i="1"/>
  <c r="BA16" i="1"/>
  <c r="BB16" i="1"/>
  <c r="BE16" i="1"/>
  <c r="BC16" i="1"/>
  <c r="BJ16" i="1" a="1"/>
  <c r="BJ16" i="1"/>
  <c r="R17" i="1"/>
  <c r="S17" i="1"/>
  <c r="U17" i="1"/>
  <c r="V17" i="1"/>
  <c r="AL17" i="1"/>
  <c r="AM17" i="1"/>
  <c r="BA17" i="1"/>
  <c r="BB17" i="1"/>
  <c r="BD17" i="1"/>
  <c r="BC17" i="1"/>
  <c r="BJ17" i="1" a="1"/>
  <c r="BJ17" i="1"/>
  <c r="R18" i="1"/>
  <c r="U18" i="1"/>
  <c r="V18" i="1"/>
  <c r="AL18" i="1"/>
  <c r="BA18" i="1"/>
  <c r="BB18" i="1"/>
  <c r="BE18" i="1"/>
  <c r="BC18" i="1"/>
  <c r="BJ18" i="1" a="1"/>
  <c r="BJ18" i="1"/>
  <c r="R19" i="1"/>
  <c r="U19" i="1"/>
  <c r="V19" i="1"/>
  <c r="AL19" i="1"/>
  <c r="AM19" i="1"/>
  <c r="BA19" i="1"/>
  <c r="BB19" i="1"/>
  <c r="BC19" i="1"/>
  <c r="BJ19" i="1" a="1"/>
  <c r="BJ19" i="1"/>
  <c r="R20" i="1"/>
  <c r="U20" i="1"/>
  <c r="V20" i="1"/>
  <c r="AL20" i="1"/>
  <c r="AM20" i="1"/>
  <c r="BA20" i="1"/>
  <c r="BB20" i="1"/>
  <c r="BC20" i="1"/>
  <c r="BJ20" i="1" a="1"/>
  <c r="BJ20" i="1"/>
  <c r="R21" i="1"/>
  <c r="U21" i="1"/>
  <c r="V21" i="1"/>
  <c r="AL21" i="1"/>
  <c r="AM21" i="1"/>
  <c r="BA21" i="1"/>
  <c r="BB21" i="1"/>
  <c r="BC21" i="1"/>
  <c r="R22" i="1"/>
  <c r="U22" i="1"/>
  <c r="V22" i="1"/>
  <c r="AL22" i="1"/>
  <c r="AM22" i="1"/>
  <c r="BA22" i="1"/>
  <c r="BB22" i="1"/>
  <c r="BC22" i="1"/>
  <c r="R23" i="1"/>
  <c r="U23" i="1"/>
  <c r="V23" i="1"/>
  <c r="AL23" i="1"/>
  <c r="AM23" i="1"/>
  <c r="BA23" i="1"/>
  <c r="BB23" i="1"/>
  <c r="BE23" i="1"/>
  <c r="BC23" i="1"/>
  <c r="R24" i="1"/>
  <c r="U24" i="1"/>
  <c r="V24" i="1"/>
  <c r="AL24" i="1"/>
  <c r="AM24" i="1"/>
  <c r="BA24" i="1"/>
  <c r="BB24" i="1"/>
  <c r="BE24" i="1"/>
  <c r="BC24" i="1"/>
  <c r="R25" i="1"/>
  <c r="U25" i="1"/>
  <c r="V25" i="1"/>
  <c r="AL25" i="1"/>
  <c r="BA25" i="1"/>
  <c r="BB25" i="1"/>
  <c r="BE25" i="1"/>
  <c r="BC25" i="1"/>
  <c r="R26" i="1"/>
  <c r="U26" i="1"/>
  <c r="V26" i="1"/>
  <c r="AL26" i="1"/>
  <c r="AM26" i="1"/>
  <c r="BA26" i="1"/>
  <c r="BB26" i="1"/>
  <c r="BC26" i="1"/>
  <c r="R27" i="1"/>
  <c r="S27" i="1"/>
  <c r="U27" i="1"/>
  <c r="V27" i="1"/>
  <c r="AL27" i="1"/>
  <c r="AM27" i="1"/>
  <c r="AY27" i="1"/>
  <c r="AZ27" i="1"/>
  <c r="BA27" i="1"/>
  <c r="BB27" i="1"/>
  <c r="BD27" i="1"/>
  <c r="BC27" i="1"/>
  <c r="R28" i="1"/>
  <c r="S28" i="1"/>
  <c r="U28" i="1"/>
  <c r="V28" i="1"/>
  <c r="AL28" i="1"/>
  <c r="AM28" i="1"/>
  <c r="AY28" i="1"/>
  <c r="AZ28" i="1"/>
  <c r="BA28" i="1"/>
  <c r="BB28" i="1"/>
  <c r="BE28" i="1"/>
  <c r="BC28" i="1"/>
  <c r="R29" i="1"/>
  <c r="S29" i="1"/>
  <c r="U29" i="1"/>
  <c r="V29" i="1"/>
  <c r="AL29" i="1"/>
  <c r="AM29" i="1"/>
  <c r="BA29" i="1"/>
  <c r="BB29" i="1"/>
  <c r="BD29" i="1"/>
  <c r="BF29" i="1"/>
  <c r="BC29" i="1"/>
  <c r="R30" i="1"/>
  <c r="U30" i="1"/>
  <c r="V30" i="1"/>
  <c r="AL30" i="1"/>
  <c r="BA30" i="1"/>
  <c r="BB30" i="1"/>
  <c r="BE30" i="1"/>
  <c r="BG30" i="1"/>
  <c r="BC30" i="1"/>
  <c r="R31" i="1"/>
  <c r="U31" i="1"/>
  <c r="V31" i="1"/>
  <c r="AL31" i="1"/>
  <c r="AM31" i="1"/>
  <c r="BA31" i="1"/>
  <c r="BB31" i="1"/>
  <c r="BD31" i="1"/>
  <c r="BC31" i="1"/>
  <c r="R32" i="1"/>
  <c r="U32" i="1"/>
  <c r="V32" i="1"/>
  <c r="AL32" i="1"/>
  <c r="AM32" i="1"/>
  <c r="BA32" i="1"/>
  <c r="BB32" i="1"/>
  <c r="BC32" i="1"/>
  <c r="R33" i="1"/>
  <c r="U33" i="1"/>
  <c r="V33" i="1"/>
  <c r="AL33" i="1"/>
  <c r="AM33" i="1"/>
  <c r="BA33" i="1"/>
  <c r="BB33" i="1"/>
  <c r="BE33" i="1"/>
  <c r="BC33" i="1"/>
  <c r="R34" i="1"/>
  <c r="U34" i="1"/>
  <c r="V34" i="1"/>
  <c r="AL34" i="1"/>
  <c r="AM34" i="1"/>
  <c r="BA34" i="1"/>
  <c r="BB34" i="1"/>
  <c r="BC34" i="1"/>
  <c r="R35" i="1"/>
  <c r="S35" i="1"/>
  <c r="U35" i="1"/>
  <c r="V35" i="1"/>
  <c r="AL35" i="1"/>
  <c r="AM35" i="1"/>
  <c r="BA35" i="1"/>
  <c r="BB35" i="1"/>
  <c r="BD35" i="1"/>
  <c r="BE35" i="1"/>
  <c r="BC35" i="1"/>
  <c r="R36" i="1"/>
  <c r="U36" i="1"/>
  <c r="V36" i="1"/>
  <c r="AL36" i="1"/>
  <c r="AM36" i="1"/>
  <c r="BA36" i="1"/>
  <c r="BB36" i="1"/>
  <c r="BD36" i="1"/>
  <c r="BC36" i="1"/>
  <c r="BG36" i="1"/>
  <c r="BE36" i="1"/>
  <c r="R37" i="1"/>
  <c r="U37" i="1"/>
  <c r="V37" i="1"/>
  <c r="AL37" i="1"/>
  <c r="AM37" i="1"/>
  <c r="BA37" i="1"/>
  <c r="BB37" i="1"/>
  <c r="BD37" i="1"/>
  <c r="BC37" i="1"/>
  <c r="BE37" i="1"/>
  <c r="R38" i="1"/>
  <c r="U38" i="1"/>
  <c r="V38" i="1"/>
  <c r="AL38" i="1"/>
  <c r="AM38" i="1"/>
  <c r="BA38" i="1"/>
  <c r="BB38" i="1"/>
  <c r="BD38" i="1"/>
  <c r="BF38" i="1"/>
  <c r="BC38" i="1"/>
  <c r="BE38" i="1"/>
  <c r="R39" i="1"/>
  <c r="U39" i="1"/>
  <c r="V39" i="1"/>
  <c r="AL39" i="1"/>
  <c r="BA39" i="1"/>
  <c r="BC39" i="1"/>
  <c r="BF39" i="1"/>
  <c r="BE39" i="1"/>
  <c r="R40" i="1"/>
  <c r="U40" i="1"/>
  <c r="V40" i="1"/>
  <c r="AL40" i="1"/>
  <c r="AM40" i="1"/>
  <c r="BA40" i="1"/>
  <c r="BB40" i="1"/>
  <c r="BC40" i="1"/>
  <c r="R41" i="1"/>
  <c r="U41" i="1"/>
  <c r="V41" i="1"/>
  <c r="AL41" i="1"/>
  <c r="BA41" i="1"/>
  <c r="BB41" i="1"/>
  <c r="BC41" i="1"/>
  <c r="R42" i="1"/>
  <c r="U42" i="1"/>
  <c r="V42" i="1"/>
  <c r="AL42" i="1"/>
  <c r="BA42" i="1"/>
  <c r="BB42" i="1"/>
  <c r="BD42" i="1"/>
  <c r="BC42" i="1"/>
  <c r="R43" i="1"/>
  <c r="U43" i="1"/>
  <c r="V43" i="1"/>
  <c r="AL43" i="1"/>
  <c r="BA43" i="1"/>
  <c r="BB43" i="1"/>
  <c r="BC43" i="1"/>
  <c r="BG43" i="1"/>
  <c r="R44" i="1"/>
  <c r="U44" i="1"/>
  <c r="V44" i="1"/>
  <c r="AL44" i="1"/>
  <c r="AM44" i="1"/>
  <c r="BA44" i="1"/>
  <c r="BB44" i="1"/>
  <c r="BE44" i="1"/>
  <c r="BD44" i="1"/>
  <c r="BG44" i="1"/>
  <c r="BC44" i="1"/>
  <c r="R45" i="1"/>
  <c r="S45" i="1"/>
  <c r="U45" i="1"/>
  <c r="V45" i="1"/>
  <c r="AL45" i="1"/>
  <c r="AM45" i="1"/>
  <c r="BA45" i="1"/>
  <c r="BB45" i="1"/>
  <c r="BC45" i="1"/>
  <c r="R46" i="1"/>
  <c r="U46" i="1"/>
  <c r="V46" i="1"/>
  <c r="AL46" i="1"/>
  <c r="BA46" i="1"/>
  <c r="BB46" i="1"/>
  <c r="BC46" i="1"/>
  <c r="R47" i="1"/>
  <c r="U47" i="1"/>
  <c r="V47" i="1"/>
  <c r="AL47" i="1"/>
  <c r="AM47" i="1"/>
  <c r="BA47" i="1"/>
  <c r="BB47" i="1"/>
  <c r="BD47" i="1"/>
  <c r="BC47" i="1"/>
  <c r="R48" i="1"/>
  <c r="S48" i="1"/>
  <c r="U48" i="1"/>
  <c r="V48" i="1"/>
  <c r="AL48" i="1"/>
  <c r="AM48" i="1"/>
  <c r="BA48" i="1"/>
  <c r="BB48" i="1"/>
  <c r="BD48" i="1"/>
  <c r="BC48" i="1"/>
  <c r="BG48" i="1"/>
  <c r="R49" i="1"/>
  <c r="U49" i="1"/>
  <c r="V49" i="1"/>
  <c r="AL49" i="1"/>
  <c r="AM49" i="1"/>
  <c r="BA49" i="1"/>
  <c r="BB49" i="1"/>
  <c r="BE49" i="1"/>
  <c r="BG49" i="1"/>
  <c r="BC49" i="1"/>
  <c r="R50" i="1"/>
  <c r="U50" i="1"/>
  <c r="V50" i="1"/>
  <c r="AL50" i="1"/>
  <c r="AM50" i="1"/>
  <c r="BA50" i="1"/>
  <c r="BB50" i="1"/>
  <c r="BE50" i="1"/>
  <c r="BC50" i="1"/>
  <c r="BF50" i="1"/>
  <c r="R51" i="1"/>
  <c r="S51" i="1"/>
  <c r="U51" i="1"/>
  <c r="V51" i="1"/>
  <c r="AL51" i="1"/>
  <c r="AM51" i="1"/>
  <c r="BA51" i="1"/>
  <c r="BB51" i="1"/>
  <c r="BD51" i="1"/>
  <c r="BC51" i="1"/>
  <c r="R52" i="1"/>
  <c r="U52" i="1"/>
  <c r="V52" i="1"/>
  <c r="AL52" i="1"/>
  <c r="AM52" i="1"/>
  <c r="BA52" i="1"/>
  <c r="BB52" i="1"/>
  <c r="BD52" i="1"/>
  <c r="BC52" i="1"/>
  <c r="R53" i="1"/>
  <c r="U53" i="1"/>
  <c r="V53" i="1"/>
  <c r="AL53" i="1"/>
  <c r="AM53" i="1"/>
  <c r="BA53" i="1"/>
  <c r="BB53" i="1"/>
  <c r="BD53" i="1"/>
  <c r="BC53" i="1"/>
  <c r="R54" i="1"/>
  <c r="U54" i="1"/>
  <c r="V54" i="1"/>
  <c r="AL54" i="1"/>
  <c r="AM54" i="1"/>
  <c r="BA54" i="1"/>
  <c r="BB54" i="1"/>
  <c r="BD54" i="1"/>
  <c r="BC54" i="1"/>
  <c r="R55" i="1"/>
  <c r="U55" i="1"/>
  <c r="V55" i="1"/>
  <c r="AL55" i="1"/>
  <c r="AM55" i="1"/>
  <c r="BA55" i="1"/>
  <c r="BB55" i="1"/>
  <c r="BD55" i="1"/>
  <c r="BC55" i="1"/>
  <c r="R56" i="1"/>
  <c r="U56" i="1"/>
  <c r="V56" i="1"/>
  <c r="AL56" i="1"/>
  <c r="AM56" i="1"/>
  <c r="BA56" i="1"/>
  <c r="BB56" i="1"/>
  <c r="BC56" i="1"/>
  <c r="R57" i="1"/>
  <c r="S57" i="1"/>
  <c r="AM30" i="1"/>
  <c r="U57" i="1"/>
  <c r="V57" i="1"/>
  <c r="AL57" i="1"/>
  <c r="AM57" i="1"/>
  <c r="BA57" i="1"/>
  <c r="BB57" i="1"/>
  <c r="BC57" i="1"/>
  <c r="R58" i="1"/>
  <c r="U58" i="1"/>
  <c r="V58" i="1"/>
  <c r="AL58" i="1"/>
  <c r="BA58" i="1"/>
  <c r="BB58" i="1"/>
  <c r="BE58" i="1"/>
  <c r="BC58" i="1"/>
  <c r="R59" i="1"/>
  <c r="U59" i="1"/>
  <c r="V59" i="1"/>
  <c r="AL59" i="1"/>
  <c r="AM59" i="1"/>
  <c r="BA59" i="1"/>
  <c r="BB59" i="1"/>
  <c r="BC59" i="1"/>
  <c r="R60" i="1"/>
  <c r="U60" i="1"/>
  <c r="V60" i="1"/>
  <c r="AL60" i="1"/>
  <c r="BA60" i="1"/>
  <c r="BB60" i="1"/>
  <c r="BE60" i="1"/>
  <c r="BC60" i="1"/>
  <c r="R61" i="1"/>
  <c r="S61" i="1"/>
  <c r="U61" i="1"/>
  <c r="V61" i="1"/>
  <c r="AL61" i="1"/>
  <c r="AM61" i="1"/>
  <c r="BA61" i="1"/>
  <c r="BB61" i="1"/>
  <c r="BE61" i="1"/>
  <c r="BC61" i="1"/>
  <c r="R62" i="1"/>
  <c r="U62" i="1"/>
  <c r="V62" i="1"/>
  <c r="AL62" i="1"/>
  <c r="AM62" i="1"/>
  <c r="BA62" i="1"/>
  <c r="BB62" i="1"/>
  <c r="BC62" i="1"/>
  <c r="R63" i="1"/>
  <c r="S63" i="1"/>
  <c r="U63" i="1"/>
  <c r="V63" i="1"/>
  <c r="AL63" i="1"/>
  <c r="AM63" i="1"/>
  <c r="BA63" i="1"/>
  <c r="BB63" i="1"/>
  <c r="BD63" i="1"/>
  <c r="BC63" i="1"/>
  <c r="R64" i="1"/>
  <c r="U64" i="1"/>
  <c r="V64" i="1"/>
  <c r="AL64" i="1"/>
  <c r="BA64" i="1"/>
  <c r="BB64" i="1"/>
  <c r="BE64" i="1"/>
  <c r="BD64" i="1"/>
  <c r="BC64" i="1"/>
  <c r="R65" i="1"/>
  <c r="U65" i="1"/>
  <c r="V65" i="1"/>
  <c r="AL65" i="1"/>
  <c r="AM65" i="1"/>
  <c r="BA65" i="1"/>
  <c r="BB65" i="1"/>
  <c r="BE65" i="1"/>
  <c r="BF65" i="1"/>
  <c r="BC65" i="1"/>
  <c r="R66" i="1"/>
  <c r="S66" i="1"/>
  <c r="AM39" i="1"/>
  <c r="U66" i="1"/>
  <c r="V66" i="1"/>
  <c r="AL66" i="1"/>
  <c r="AM66" i="1"/>
  <c r="BA66" i="1"/>
  <c r="BB66" i="1"/>
  <c r="BD66" i="1"/>
  <c r="BC66" i="1"/>
  <c r="R67" i="1"/>
  <c r="U67" i="1"/>
  <c r="V67" i="1"/>
  <c r="AL67" i="1"/>
  <c r="AM67" i="1"/>
  <c r="BA67" i="1"/>
  <c r="BB67" i="1"/>
  <c r="BC67" i="1"/>
  <c r="R68" i="1"/>
  <c r="U68" i="1"/>
  <c r="V68" i="1"/>
  <c r="AL68" i="1"/>
  <c r="AM68" i="1"/>
  <c r="BA68" i="1"/>
  <c r="BB68" i="1"/>
  <c r="BD68" i="1"/>
  <c r="BC68" i="1"/>
  <c r="R69" i="1"/>
  <c r="S69" i="1"/>
  <c r="AM41" i="1"/>
  <c r="U69" i="1"/>
  <c r="V69" i="1"/>
  <c r="AL69" i="1"/>
  <c r="AM69" i="1"/>
  <c r="BA69" i="1"/>
  <c r="BB69" i="1"/>
  <c r="BC69" i="1"/>
  <c r="R70" i="1"/>
  <c r="S70" i="1"/>
  <c r="U70" i="1"/>
  <c r="V70" i="1"/>
  <c r="AL70" i="1"/>
  <c r="AM70" i="1"/>
  <c r="BA70" i="1"/>
  <c r="BB70" i="1"/>
  <c r="BC70" i="1"/>
  <c r="BG70" i="1"/>
  <c r="R71" i="1"/>
  <c r="U71" i="1"/>
  <c r="V71" i="1"/>
  <c r="AL71" i="1"/>
  <c r="AM71" i="1"/>
  <c r="BA71" i="1"/>
  <c r="BB71" i="1"/>
  <c r="BC71" i="1"/>
  <c r="R72" i="1"/>
  <c r="U72" i="1"/>
  <c r="V72" i="1"/>
  <c r="AL72" i="1"/>
  <c r="AM72" i="1"/>
  <c r="BA72" i="1"/>
  <c r="BB72" i="1"/>
  <c r="BD72" i="1"/>
  <c r="BC72" i="1"/>
  <c r="BF72" i="1"/>
  <c r="R73" i="1"/>
  <c r="U73" i="1"/>
  <c r="V73" i="1"/>
  <c r="AL73" i="1"/>
  <c r="AM73" i="1"/>
  <c r="BA73" i="1"/>
  <c r="BB73" i="1"/>
  <c r="BC73" i="1"/>
  <c r="R74" i="1"/>
  <c r="U74" i="1"/>
  <c r="V74" i="1"/>
  <c r="AL74" i="1"/>
  <c r="AM74" i="1"/>
  <c r="BA74" i="1"/>
  <c r="BB74" i="1"/>
  <c r="BE74" i="1"/>
  <c r="BC74" i="1"/>
  <c r="BG74" i="1"/>
  <c r="R75" i="1"/>
  <c r="U75" i="1"/>
  <c r="V75" i="1"/>
  <c r="AL75" i="1"/>
  <c r="AM75" i="1"/>
  <c r="BA75" i="1"/>
  <c r="BB75" i="1"/>
  <c r="BC75" i="1"/>
  <c r="R76" i="1"/>
  <c r="U76" i="1"/>
  <c r="V76" i="1"/>
  <c r="AL76" i="1"/>
  <c r="AM76" i="1"/>
  <c r="BA76" i="1"/>
  <c r="BB76" i="1"/>
  <c r="BD76" i="1"/>
  <c r="BG76" i="1"/>
  <c r="BE76" i="1"/>
  <c r="BF76" i="1"/>
  <c r="BC76" i="1"/>
  <c r="R77" i="1"/>
  <c r="S77" i="1"/>
  <c r="U77" i="1"/>
  <c r="V77" i="1"/>
  <c r="AL77" i="1"/>
  <c r="BA77" i="1"/>
  <c r="BB77" i="1"/>
  <c r="BE77" i="1"/>
  <c r="BC77" i="1"/>
  <c r="R78" i="1"/>
  <c r="U78" i="1"/>
  <c r="V78" i="1"/>
  <c r="AL78" i="1"/>
  <c r="AM78" i="1"/>
  <c r="BA78" i="1"/>
  <c r="BB78" i="1"/>
  <c r="BC78" i="1"/>
  <c r="R79" i="1"/>
  <c r="S79" i="1"/>
  <c r="AM43" i="1"/>
  <c r="U79" i="1"/>
  <c r="V79" i="1"/>
  <c r="AL79" i="1"/>
  <c r="AM79" i="1"/>
  <c r="BA79" i="1"/>
  <c r="BB79" i="1"/>
  <c r="BD79" i="1"/>
  <c r="BC79" i="1"/>
  <c r="R80" i="1"/>
  <c r="U80" i="1"/>
  <c r="V80" i="1"/>
  <c r="AL80" i="1"/>
  <c r="AM80" i="1"/>
  <c r="BA80" i="1"/>
  <c r="BB80" i="1"/>
  <c r="BD80" i="1"/>
  <c r="BC80" i="1"/>
  <c r="R81" i="1"/>
  <c r="U81" i="1"/>
  <c r="V81" i="1"/>
  <c r="AL81" i="1"/>
  <c r="AM81" i="1"/>
  <c r="BA81" i="1"/>
  <c r="BB81" i="1"/>
  <c r="BD81" i="1"/>
  <c r="BF81" i="1"/>
  <c r="BC81" i="1"/>
  <c r="R82" i="1"/>
  <c r="U82" i="1"/>
  <c r="V82" i="1"/>
  <c r="AL82" i="1"/>
  <c r="AM82" i="1"/>
  <c r="BA82" i="1"/>
  <c r="BB82" i="1"/>
  <c r="BE82" i="1"/>
  <c r="BC82" i="1"/>
  <c r="R83" i="1"/>
  <c r="U83" i="1"/>
  <c r="V83" i="1"/>
  <c r="AL83" i="1"/>
  <c r="AM83" i="1"/>
  <c r="BA83" i="1"/>
  <c r="BB83" i="1"/>
  <c r="BE83" i="1"/>
  <c r="BC83" i="1"/>
  <c r="R84" i="1"/>
  <c r="U84" i="1"/>
  <c r="V84" i="1"/>
  <c r="AL84" i="1"/>
  <c r="AM84" i="1"/>
  <c r="BA84" i="1"/>
  <c r="BB84" i="1"/>
  <c r="BE84" i="1"/>
  <c r="BC84" i="1"/>
  <c r="R85" i="1"/>
  <c r="U85" i="1"/>
  <c r="V85" i="1"/>
  <c r="AL85" i="1"/>
  <c r="AM85" i="1"/>
  <c r="BA85" i="1"/>
  <c r="BB85" i="1"/>
  <c r="BE85" i="1"/>
  <c r="BC85" i="1"/>
  <c r="R86" i="1"/>
  <c r="U86" i="1"/>
  <c r="V86" i="1"/>
  <c r="AL86" i="1"/>
  <c r="AM86" i="1"/>
  <c r="BA86" i="1"/>
  <c r="BB86" i="1"/>
  <c r="BE86" i="1"/>
  <c r="BC86" i="1"/>
  <c r="R87" i="1"/>
  <c r="U87" i="1"/>
  <c r="V87" i="1"/>
  <c r="AL87" i="1"/>
  <c r="AM87" i="1"/>
  <c r="BA87" i="1"/>
  <c r="BB87" i="1"/>
  <c r="BD87" i="1"/>
  <c r="BC87" i="1"/>
  <c r="R88" i="1"/>
  <c r="S88" i="1"/>
  <c r="AM46" i="1"/>
  <c r="U88" i="1"/>
  <c r="V88" i="1"/>
  <c r="AL88" i="1"/>
  <c r="AM88" i="1"/>
  <c r="BA88" i="1"/>
  <c r="BB88" i="1"/>
  <c r="BE88" i="1"/>
  <c r="BC88" i="1"/>
  <c r="R89" i="1"/>
  <c r="U89" i="1"/>
  <c r="V89" i="1"/>
  <c r="AL89" i="1"/>
  <c r="AM89" i="1"/>
  <c r="BA89" i="1"/>
  <c r="BB89" i="1"/>
  <c r="BC89" i="1"/>
  <c r="R90" i="1"/>
  <c r="U90" i="1"/>
  <c r="V90" i="1"/>
  <c r="AL90" i="1"/>
  <c r="AM90" i="1"/>
  <c r="BA90" i="1"/>
  <c r="BB90" i="1"/>
  <c r="BE90" i="1"/>
  <c r="BD90" i="1"/>
  <c r="BC90" i="1"/>
  <c r="R91" i="1"/>
  <c r="U91" i="1"/>
  <c r="V91" i="1"/>
  <c r="AL91" i="1"/>
  <c r="BA91" i="1"/>
  <c r="BB91" i="1"/>
  <c r="BD91" i="1"/>
  <c r="BG91" i="1"/>
  <c r="BC91" i="1"/>
  <c r="BE91" i="1"/>
  <c r="R92" i="1"/>
  <c r="U92" i="1"/>
  <c r="V92" i="1"/>
  <c r="AL92" i="1"/>
  <c r="AM92" i="1"/>
  <c r="BA92" i="1"/>
  <c r="BB92" i="1"/>
  <c r="BC92" i="1"/>
  <c r="R93" i="1"/>
  <c r="U93" i="1"/>
  <c r="V93" i="1"/>
  <c r="AL93" i="1"/>
  <c r="AM93" i="1"/>
  <c r="BA93" i="1"/>
  <c r="BB93" i="1"/>
  <c r="BD93" i="1"/>
  <c r="BC93" i="1"/>
  <c r="R94" i="1"/>
  <c r="U94" i="1"/>
  <c r="V94" i="1"/>
  <c r="AL94" i="1"/>
  <c r="AM94" i="1"/>
  <c r="BA94" i="1"/>
  <c r="BB94" i="1"/>
  <c r="BC94" i="1"/>
  <c r="R95" i="1"/>
  <c r="U95" i="1"/>
  <c r="V95" i="1"/>
  <c r="AL95" i="1"/>
  <c r="BA95" i="1"/>
  <c r="BB95" i="1"/>
  <c r="BC95" i="1"/>
  <c r="R96" i="1"/>
  <c r="U96" i="1"/>
  <c r="V96" i="1"/>
  <c r="AL96" i="1"/>
  <c r="AM96" i="1"/>
  <c r="BA96" i="1"/>
  <c r="BB96" i="1"/>
  <c r="BE96" i="1"/>
  <c r="BC96" i="1"/>
  <c r="R97" i="1"/>
  <c r="U97" i="1"/>
  <c r="V97" i="1"/>
  <c r="AL97" i="1"/>
  <c r="AM97" i="1"/>
  <c r="BA97" i="1"/>
  <c r="BB97" i="1"/>
  <c r="BE97" i="1"/>
  <c r="BC97" i="1"/>
  <c r="R98" i="1"/>
  <c r="U98" i="1"/>
  <c r="V98" i="1"/>
  <c r="AL98" i="1"/>
  <c r="AM98" i="1"/>
  <c r="BA98" i="1"/>
  <c r="BB98" i="1"/>
  <c r="BE98" i="1"/>
  <c r="BC98" i="1"/>
  <c r="R99" i="1"/>
  <c r="U99" i="1"/>
  <c r="V99" i="1"/>
  <c r="AL99" i="1"/>
  <c r="AM99" i="1"/>
  <c r="BA99" i="1"/>
  <c r="BB99" i="1"/>
  <c r="BC99" i="1"/>
  <c r="R100" i="1"/>
  <c r="U100" i="1"/>
  <c r="V100" i="1"/>
  <c r="AL100" i="1"/>
  <c r="BA100" i="1"/>
  <c r="BB100" i="1"/>
  <c r="BC100" i="1"/>
  <c r="R101" i="1"/>
  <c r="U101" i="1"/>
  <c r="V101" i="1"/>
  <c r="BA101" i="1"/>
  <c r="BB101" i="1"/>
  <c r="BC101" i="1"/>
  <c r="R102" i="1"/>
  <c r="U102" i="1"/>
  <c r="V102" i="1"/>
  <c r="BA102" i="1"/>
  <c r="BB102" i="1"/>
  <c r="BD102" i="1"/>
  <c r="BE102" i="1"/>
  <c r="BC102" i="1"/>
  <c r="R103" i="1"/>
  <c r="S103" i="1"/>
  <c r="U103" i="1"/>
  <c r="V103" i="1"/>
  <c r="BA103" i="1"/>
  <c r="BB103" i="1"/>
  <c r="BC103" i="1"/>
  <c r="R104" i="1"/>
  <c r="U104" i="1"/>
  <c r="V104" i="1"/>
  <c r="BA104" i="1"/>
  <c r="BB104" i="1"/>
  <c r="BD104" i="1"/>
  <c r="BC104" i="1"/>
  <c r="R105" i="1"/>
  <c r="U105" i="1"/>
  <c r="V105" i="1"/>
  <c r="BA105" i="1"/>
  <c r="BB105" i="1"/>
  <c r="BE105" i="1"/>
  <c r="BC105" i="1"/>
  <c r="R106" i="1"/>
  <c r="U106" i="1"/>
  <c r="V106" i="1"/>
  <c r="BA106" i="1"/>
  <c r="BB106" i="1"/>
  <c r="BC106" i="1"/>
  <c r="R107" i="1"/>
  <c r="U107" i="1"/>
  <c r="V107" i="1"/>
  <c r="BA107" i="1"/>
  <c r="BB107" i="1"/>
  <c r="BE107" i="1"/>
  <c r="BC107" i="1"/>
  <c r="R108" i="1"/>
  <c r="S108" i="1"/>
  <c r="AM58" i="1"/>
  <c r="U108" i="1"/>
  <c r="V108" i="1"/>
  <c r="BA108" i="1"/>
  <c r="BB108" i="1"/>
  <c r="BC108" i="1"/>
  <c r="R109" i="1"/>
  <c r="U109" i="1"/>
  <c r="V109" i="1"/>
  <c r="BA109" i="1"/>
  <c r="BB109" i="1"/>
  <c r="BC109" i="1"/>
  <c r="R110" i="1"/>
  <c r="S110" i="1"/>
  <c r="AM60" i="1"/>
  <c r="U110" i="1"/>
  <c r="V110" i="1"/>
  <c r="BA110" i="1"/>
  <c r="BB110" i="1"/>
  <c r="BD110" i="1"/>
  <c r="BC110" i="1"/>
  <c r="BG110" i="1"/>
  <c r="R111" i="1"/>
  <c r="U111" i="1"/>
  <c r="V111" i="1"/>
  <c r="BA111" i="1"/>
  <c r="BB111" i="1"/>
  <c r="BD111" i="1"/>
  <c r="BC111" i="1"/>
  <c r="R112" i="1"/>
  <c r="U112" i="1"/>
  <c r="V112" i="1"/>
  <c r="BA112" i="1"/>
  <c r="BB112" i="1"/>
  <c r="BE112" i="1"/>
  <c r="BD112" i="1"/>
  <c r="BG112" i="1"/>
  <c r="BC112" i="1"/>
  <c r="R113" i="1"/>
  <c r="U113" i="1"/>
  <c r="V113" i="1"/>
  <c r="BA113" i="1"/>
  <c r="BB113" i="1"/>
  <c r="BC113" i="1"/>
  <c r="R114" i="1"/>
  <c r="U114" i="1"/>
  <c r="V114" i="1"/>
  <c r="BA114" i="1"/>
  <c r="BB114" i="1"/>
  <c r="BE114" i="1"/>
  <c r="BC114" i="1"/>
  <c r="R115" i="1"/>
  <c r="U115" i="1"/>
  <c r="V115" i="1"/>
  <c r="BA115" i="1"/>
  <c r="BB115" i="1"/>
  <c r="BD115" i="1"/>
  <c r="BC115" i="1"/>
  <c r="R116" i="1"/>
  <c r="U116" i="1"/>
  <c r="V116" i="1"/>
  <c r="BA116" i="1"/>
  <c r="BB116" i="1"/>
  <c r="BD116" i="1"/>
  <c r="BC116" i="1"/>
  <c r="R117" i="1"/>
  <c r="U117" i="1"/>
  <c r="V117" i="1"/>
  <c r="BA117" i="1"/>
  <c r="BB117" i="1"/>
  <c r="BC117" i="1"/>
  <c r="R118" i="1"/>
  <c r="U118" i="1"/>
  <c r="V118" i="1"/>
  <c r="BA118" i="1"/>
  <c r="BB118" i="1"/>
  <c r="BC118" i="1"/>
  <c r="BF118" i="1"/>
  <c r="R119" i="1"/>
  <c r="U119" i="1"/>
  <c r="V119" i="1"/>
  <c r="BA119" i="1"/>
  <c r="BB119" i="1"/>
  <c r="BE119" i="1"/>
  <c r="BC119" i="1"/>
  <c r="R120" i="1"/>
  <c r="U120" i="1"/>
  <c r="V120" i="1"/>
  <c r="BA120" i="1"/>
  <c r="BB120" i="1"/>
  <c r="BD120" i="1"/>
  <c r="BE120" i="1"/>
  <c r="BF120" i="1"/>
  <c r="BC120" i="1"/>
  <c r="R121" i="1"/>
  <c r="U121" i="1"/>
  <c r="V121" i="1"/>
  <c r="BA121" i="1"/>
  <c r="BB121" i="1"/>
  <c r="BC121" i="1"/>
  <c r="R122" i="1"/>
  <c r="U122" i="1"/>
  <c r="V122" i="1"/>
  <c r="BA122" i="1"/>
  <c r="BB122" i="1"/>
  <c r="BC122" i="1"/>
  <c r="R123" i="1"/>
  <c r="U123" i="1"/>
  <c r="V123" i="1"/>
  <c r="BA123" i="1"/>
  <c r="BB123" i="1"/>
  <c r="BC123" i="1"/>
  <c r="R124" i="1"/>
  <c r="S124" i="1"/>
  <c r="AM64" i="1"/>
  <c r="U124" i="1"/>
  <c r="V124" i="1"/>
  <c r="BA124" i="1"/>
  <c r="BB124" i="1"/>
  <c r="BD124" i="1"/>
  <c r="BC124" i="1"/>
  <c r="R125" i="1"/>
  <c r="U125" i="1"/>
  <c r="V125" i="1"/>
  <c r="BA125" i="1"/>
  <c r="BB125" i="1"/>
  <c r="BD125" i="1"/>
  <c r="BC125" i="1"/>
  <c r="R126" i="1"/>
  <c r="U126" i="1"/>
  <c r="V126" i="1"/>
  <c r="BA126" i="1"/>
  <c r="BB126" i="1"/>
  <c r="BE126" i="1"/>
  <c r="BC126" i="1"/>
  <c r="R127" i="1"/>
  <c r="U127" i="1"/>
  <c r="V127" i="1"/>
  <c r="BA127" i="1"/>
  <c r="BB127" i="1"/>
  <c r="BD127" i="1"/>
  <c r="BC127" i="1"/>
  <c r="R128" i="1"/>
  <c r="U128" i="1"/>
  <c r="V128" i="1"/>
  <c r="BA128" i="1"/>
  <c r="BB128" i="1"/>
  <c r="BE128" i="1"/>
  <c r="BC128" i="1"/>
  <c r="R129" i="1"/>
  <c r="U129" i="1"/>
  <c r="V129" i="1"/>
  <c r="BA129" i="1"/>
  <c r="BB129" i="1"/>
  <c r="BC129" i="1"/>
  <c r="R130" i="1"/>
  <c r="U130" i="1"/>
  <c r="V130" i="1"/>
  <c r="BA130" i="1"/>
  <c r="BB130" i="1"/>
  <c r="BD130" i="1"/>
  <c r="BF130" i="1"/>
  <c r="BC130" i="1"/>
  <c r="BE130" i="1"/>
  <c r="R131" i="1"/>
  <c r="U131" i="1"/>
  <c r="V131" i="1"/>
  <c r="BA131" i="1"/>
  <c r="BB131" i="1"/>
  <c r="BD131" i="1"/>
  <c r="BC131" i="1"/>
  <c r="BE131" i="1"/>
  <c r="R132" i="1"/>
  <c r="U132" i="1"/>
  <c r="V132" i="1"/>
  <c r="BA132" i="1"/>
  <c r="BB132" i="1"/>
  <c r="BD132" i="1"/>
  <c r="BC132" i="1"/>
  <c r="BE132" i="1"/>
  <c r="R133" i="1"/>
  <c r="U133" i="1"/>
  <c r="V133" i="1"/>
  <c r="BA133" i="1"/>
  <c r="BB133" i="1"/>
  <c r="BD133" i="1"/>
  <c r="BC133" i="1"/>
  <c r="BE133" i="1"/>
  <c r="R134" i="1"/>
  <c r="U134" i="1"/>
  <c r="V134" i="1"/>
  <c r="BA134" i="1"/>
  <c r="BB134" i="1"/>
  <c r="BD134" i="1"/>
  <c r="BF134" i="1"/>
  <c r="BC134" i="1"/>
  <c r="BE134" i="1"/>
  <c r="R135" i="1"/>
  <c r="U135" i="1"/>
  <c r="V135" i="1"/>
  <c r="BA135" i="1"/>
  <c r="BB135" i="1"/>
  <c r="BD135" i="1"/>
  <c r="BC135" i="1"/>
  <c r="BE135" i="1"/>
  <c r="R136" i="1"/>
  <c r="U136" i="1"/>
  <c r="V136" i="1"/>
  <c r="BA136" i="1"/>
  <c r="BB136" i="1"/>
  <c r="BE136" i="1"/>
  <c r="BC136" i="1"/>
  <c r="R137" i="1"/>
  <c r="U137" i="1"/>
  <c r="V137" i="1"/>
  <c r="BA137" i="1"/>
  <c r="BB137" i="1"/>
  <c r="BE137" i="1"/>
  <c r="BC137" i="1"/>
  <c r="R138" i="1"/>
  <c r="U138" i="1"/>
  <c r="V138" i="1"/>
  <c r="BA138" i="1"/>
  <c r="BB138" i="1"/>
  <c r="BC138" i="1"/>
  <c r="R139" i="1"/>
  <c r="U139" i="1"/>
  <c r="V139" i="1"/>
  <c r="BA139" i="1"/>
  <c r="BB139" i="1"/>
  <c r="BC139" i="1"/>
  <c r="R140" i="1"/>
  <c r="U140" i="1"/>
  <c r="V140" i="1"/>
  <c r="BA140" i="1"/>
  <c r="BB140" i="1"/>
  <c r="BC140" i="1"/>
  <c r="R141" i="1"/>
  <c r="U141" i="1"/>
  <c r="V141" i="1"/>
  <c r="BA141" i="1"/>
  <c r="BB141" i="1"/>
  <c r="BC141" i="1"/>
  <c r="R142" i="1"/>
  <c r="U142" i="1"/>
  <c r="V142" i="1"/>
  <c r="BA142" i="1"/>
  <c r="BB142" i="1"/>
  <c r="BE142" i="1"/>
  <c r="BC142" i="1"/>
  <c r="R143" i="1"/>
  <c r="U143" i="1"/>
  <c r="V143" i="1"/>
  <c r="BA143" i="1"/>
  <c r="BB143" i="1"/>
  <c r="BC143" i="1"/>
  <c r="R144" i="1"/>
  <c r="S144" i="1"/>
  <c r="U144" i="1"/>
  <c r="V144" i="1"/>
  <c r="BA144" i="1"/>
  <c r="BB144" i="1"/>
  <c r="BD144" i="1"/>
  <c r="BC144" i="1"/>
  <c r="R145" i="1"/>
  <c r="U145" i="1"/>
  <c r="V145" i="1"/>
  <c r="BA145" i="1"/>
  <c r="BB145" i="1"/>
  <c r="BE145" i="1"/>
  <c r="BC145" i="1"/>
  <c r="R146" i="1"/>
  <c r="U146" i="1"/>
  <c r="V146" i="1"/>
  <c r="BA146" i="1"/>
  <c r="BB146" i="1"/>
  <c r="BD146" i="1"/>
  <c r="BC146" i="1"/>
  <c r="R147" i="1"/>
  <c r="S147" i="1"/>
  <c r="U147" i="1"/>
  <c r="V147" i="1"/>
  <c r="BA147" i="1"/>
  <c r="BB147" i="1"/>
  <c r="BE147" i="1"/>
  <c r="BC147" i="1"/>
  <c r="R148" i="1"/>
  <c r="S148" i="1"/>
  <c r="U148" i="1"/>
  <c r="V148" i="1"/>
  <c r="BA148" i="1"/>
  <c r="BB148" i="1"/>
  <c r="BC148" i="1"/>
  <c r="R149" i="1"/>
  <c r="U149" i="1"/>
  <c r="V149" i="1"/>
  <c r="BA149" i="1"/>
  <c r="BB149" i="1"/>
  <c r="BE149" i="1"/>
  <c r="BC149" i="1"/>
  <c r="R150" i="1"/>
  <c r="U150" i="1"/>
  <c r="V150" i="1"/>
  <c r="BA150" i="1"/>
  <c r="BB150" i="1"/>
  <c r="BD150" i="1"/>
  <c r="BC150" i="1"/>
  <c r="R151" i="1"/>
  <c r="U151" i="1"/>
  <c r="V151" i="1"/>
  <c r="BA151" i="1"/>
  <c r="BB151" i="1"/>
  <c r="BC151" i="1"/>
  <c r="R152" i="1"/>
  <c r="U152" i="1"/>
  <c r="V152" i="1"/>
  <c r="BA152" i="1"/>
  <c r="BB152" i="1"/>
  <c r="BD152" i="1"/>
  <c r="BE152" i="1"/>
  <c r="BF152" i="1"/>
  <c r="BC152" i="1"/>
  <c r="R153" i="1"/>
  <c r="U153" i="1"/>
  <c r="V153" i="1"/>
  <c r="BA153" i="1"/>
  <c r="BB153" i="1"/>
  <c r="BC153" i="1"/>
  <c r="R154" i="1"/>
  <c r="U154" i="1"/>
  <c r="V154" i="1"/>
  <c r="BA154" i="1"/>
  <c r="BB154" i="1"/>
  <c r="BC154" i="1"/>
  <c r="R155" i="1"/>
  <c r="U155" i="1"/>
  <c r="V155" i="1"/>
  <c r="BA155" i="1"/>
  <c r="BB155" i="1"/>
  <c r="BE155" i="1"/>
  <c r="BC155" i="1"/>
  <c r="R156" i="1"/>
  <c r="U156" i="1"/>
  <c r="V156" i="1"/>
  <c r="BA156" i="1"/>
  <c r="BB156" i="1"/>
  <c r="BD156" i="1"/>
  <c r="BC156" i="1"/>
  <c r="R157" i="1"/>
  <c r="S157" i="1"/>
  <c r="U157" i="1"/>
  <c r="V157" i="1"/>
  <c r="BA157" i="1"/>
  <c r="BB157" i="1"/>
  <c r="BC157" i="1"/>
  <c r="R158" i="1"/>
  <c r="U158" i="1"/>
  <c r="V158" i="1"/>
  <c r="BA158" i="1"/>
  <c r="BB158" i="1"/>
  <c r="BC158" i="1"/>
  <c r="R159" i="1"/>
  <c r="U159" i="1"/>
  <c r="V159" i="1"/>
  <c r="BA159" i="1"/>
  <c r="BB159" i="1"/>
  <c r="BD159" i="1"/>
  <c r="BC159" i="1"/>
  <c r="BF159" i="1"/>
  <c r="R160" i="1"/>
  <c r="U160" i="1"/>
  <c r="V160" i="1"/>
  <c r="BA160" i="1"/>
  <c r="BB160" i="1"/>
  <c r="BD160" i="1"/>
  <c r="BG160" i="1"/>
  <c r="BC160" i="1"/>
  <c r="R161" i="1"/>
  <c r="S161" i="1"/>
  <c r="U161" i="1"/>
  <c r="V161" i="1"/>
  <c r="BA161" i="1"/>
  <c r="BB161" i="1"/>
  <c r="BD161" i="1"/>
  <c r="BC161" i="1"/>
  <c r="R162" i="1"/>
  <c r="U162" i="1"/>
  <c r="V162" i="1"/>
  <c r="BA162" i="1"/>
  <c r="BB162" i="1"/>
  <c r="BC162" i="1"/>
  <c r="R163" i="1"/>
  <c r="S163" i="1"/>
  <c r="U163" i="1"/>
  <c r="V163" i="1"/>
  <c r="BA163" i="1"/>
  <c r="BB163" i="1"/>
  <c r="BC163" i="1"/>
  <c r="R164" i="1"/>
  <c r="U164" i="1"/>
  <c r="V164" i="1"/>
  <c r="BA164" i="1"/>
  <c r="BB164" i="1"/>
  <c r="BC164" i="1"/>
  <c r="R165" i="1"/>
  <c r="U165" i="1"/>
  <c r="V165" i="1"/>
  <c r="BA165" i="1"/>
  <c r="BB165" i="1"/>
  <c r="BE165" i="1"/>
  <c r="BC165" i="1"/>
  <c r="R166" i="1"/>
  <c r="U166" i="1"/>
  <c r="V166" i="1"/>
  <c r="BA166" i="1"/>
  <c r="BB166" i="1"/>
  <c r="BE166" i="1"/>
  <c r="BC166" i="1"/>
  <c r="R167" i="1"/>
  <c r="S167" i="1"/>
  <c r="U167" i="1"/>
  <c r="V167" i="1"/>
  <c r="BA167" i="1"/>
  <c r="BB167" i="1"/>
  <c r="BC167" i="1"/>
  <c r="R168" i="1"/>
  <c r="S168" i="1"/>
  <c r="U168" i="1"/>
  <c r="V168" i="1"/>
  <c r="BA168" i="1"/>
  <c r="BB168" i="1"/>
  <c r="BE168" i="1"/>
  <c r="BC168" i="1"/>
  <c r="R169" i="1"/>
  <c r="S169" i="1"/>
  <c r="U169" i="1"/>
  <c r="V169" i="1"/>
  <c r="BA169" i="1"/>
  <c r="BB169" i="1"/>
  <c r="BD169" i="1"/>
  <c r="BE169" i="1"/>
  <c r="BC169" i="1"/>
  <c r="BF169" i="1"/>
  <c r="R170" i="1"/>
  <c r="U170" i="1"/>
  <c r="V170" i="1"/>
  <c r="BA170" i="1"/>
  <c r="BB170" i="1"/>
  <c r="BD170" i="1"/>
  <c r="BC170" i="1"/>
  <c r="R171" i="1"/>
  <c r="S171" i="1"/>
  <c r="U171" i="1"/>
  <c r="V171" i="1"/>
  <c r="BA171" i="1"/>
  <c r="BB171" i="1"/>
  <c r="BC171" i="1"/>
  <c r="R172" i="1"/>
  <c r="U172" i="1"/>
  <c r="V172" i="1"/>
  <c r="BA172" i="1"/>
  <c r="BB172" i="1"/>
  <c r="BD172" i="1"/>
  <c r="BF172" i="1"/>
  <c r="BC172" i="1"/>
  <c r="BG172" i="1"/>
  <c r="R173" i="1"/>
  <c r="U173" i="1"/>
  <c r="V173" i="1"/>
  <c r="BA173" i="1"/>
  <c r="BB173" i="1"/>
  <c r="BD173" i="1"/>
  <c r="BE173" i="1"/>
  <c r="BC173" i="1"/>
  <c r="R174" i="1"/>
  <c r="U174" i="1"/>
  <c r="V174" i="1"/>
  <c r="BA174" i="1"/>
  <c r="BB174" i="1"/>
  <c r="BD174" i="1"/>
  <c r="BC174" i="1"/>
  <c r="R175" i="1"/>
  <c r="U175" i="1"/>
  <c r="V175" i="1"/>
  <c r="BA175" i="1"/>
  <c r="BB175" i="1"/>
  <c r="BD175" i="1"/>
  <c r="BG175" i="1"/>
  <c r="BC175" i="1"/>
  <c r="R176" i="1"/>
  <c r="U176" i="1"/>
  <c r="V176" i="1"/>
  <c r="BA176" i="1"/>
  <c r="BB176" i="1"/>
  <c r="BC176" i="1"/>
  <c r="R177" i="1"/>
  <c r="U177" i="1"/>
  <c r="V177" i="1"/>
  <c r="BA177" i="1"/>
  <c r="BB177" i="1"/>
  <c r="BE177" i="1"/>
  <c r="BC177" i="1"/>
  <c r="R178" i="1"/>
  <c r="U178" i="1"/>
  <c r="V178" i="1"/>
  <c r="BA178" i="1"/>
  <c r="BB178" i="1"/>
  <c r="BD178" i="1"/>
  <c r="BE178" i="1"/>
  <c r="BC178" i="1"/>
  <c r="R179" i="1"/>
  <c r="S179" i="1"/>
  <c r="AM100" i="1"/>
  <c r="U179" i="1"/>
  <c r="V179" i="1"/>
  <c r="BA179" i="1"/>
  <c r="BB179" i="1"/>
  <c r="BD179" i="1"/>
  <c r="BC179" i="1"/>
  <c r="B180" i="1"/>
  <c r="C180" i="1"/>
  <c r="D180" i="1"/>
  <c r="E180" i="1"/>
  <c r="F180" i="1"/>
  <c r="Q180" i="1"/>
  <c r="B181" i="1"/>
  <c r="D181" i="1"/>
  <c r="E181" i="1"/>
  <c r="F181" i="1"/>
  <c r="B182" i="1"/>
  <c r="D182" i="1"/>
  <c r="E182" i="1"/>
  <c r="F182" i="1"/>
  <c r="B183" i="1"/>
  <c r="D183" i="1"/>
  <c r="E183" i="1"/>
  <c r="F183" i="1"/>
  <c r="B184" i="1"/>
  <c r="D184" i="1"/>
  <c r="E184" i="1"/>
  <c r="F184" i="1"/>
  <c r="B185" i="1"/>
  <c r="D185" i="1"/>
  <c r="E185" i="1"/>
  <c r="F185" i="1"/>
  <c r="AI67" i="4"/>
  <c r="AJ67" i="4"/>
  <c r="AM77" i="1"/>
  <c r="AK78" i="4"/>
  <c r="AK67" i="4"/>
  <c r="AI63" i="4"/>
  <c r="AJ63" i="4"/>
  <c r="AI84" i="4"/>
  <c r="AK84" i="4"/>
  <c r="AJ84" i="4"/>
  <c r="AK63" i="4"/>
  <c r="AI38" i="4"/>
  <c r="AJ38" i="4"/>
  <c r="AI22" i="4"/>
  <c r="AJ22" i="4"/>
  <c r="AL22" i="4"/>
  <c r="AM91" i="1"/>
  <c r="AI78" i="4"/>
  <c r="AJ78" i="4"/>
  <c r="AI73" i="4"/>
  <c r="AK73" i="4"/>
  <c r="AJ73" i="4"/>
  <c r="AK49" i="4"/>
  <c r="AL49" i="4"/>
  <c r="AL37" i="4"/>
  <c r="AK26" i="4"/>
  <c r="AL21" i="4"/>
  <c r="AM95" i="1"/>
  <c r="AM42" i="1"/>
  <c r="AK52" i="4"/>
  <c r="AL52" i="4"/>
  <c r="AI37" i="4"/>
  <c r="AK37" i="4"/>
  <c r="AJ37" i="4"/>
  <c r="AI31" i="4"/>
  <c r="AJ31" i="4"/>
  <c r="AI21" i="4"/>
  <c r="AJ21" i="4"/>
  <c r="AL82" i="4"/>
  <c r="AI14" i="4"/>
  <c r="AJ14" i="4"/>
  <c r="AJ61" i="4"/>
  <c r="AI61" i="4"/>
  <c r="AL30" i="4"/>
  <c r="AI71" i="4"/>
  <c r="AL71" i="4"/>
  <c r="AJ71" i="4"/>
  <c r="AK47" i="4"/>
  <c r="AI36" i="4"/>
  <c r="AK36" i="4"/>
  <c r="AJ36" i="4"/>
  <c r="AI30" i="4"/>
  <c r="AJ30" i="4"/>
  <c r="S180" i="1"/>
  <c r="AK76" i="4"/>
  <c r="AL76" i="4"/>
  <c r="AK41" i="4"/>
  <c r="AK30" i="4"/>
  <c r="AL19" i="4"/>
  <c r="AI13" i="4"/>
  <c r="AK13" i="4"/>
  <c r="AJ13" i="4"/>
  <c r="AM18" i="1"/>
  <c r="AI87" i="4"/>
  <c r="AK87" i="4"/>
  <c r="AJ87" i="4"/>
  <c r="AK70" i="4"/>
  <c r="AL65" i="4"/>
  <c r="AK51" i="4"/>
  <c r="AL51" i="4"/>
  <c r="AI41" i="4"/>
  <c r="AL41" i="4"/>
  <c r="AJ41" i="4"/>
  <c r="AI4" i="4"/>
  <c r="AJ4" i="4"/>
  <c r="S184" i="1"/>
  <c r="Z20" i="1"/>
  <c r="S183" i="1"/>
  <c r="AA17" i="1"/>
  <c r="AM9" i="1"/>
  <c r="AI70" i="4"/>
  <c r="AJ70" i="4"/>
  <c r="AL59" i="4"/>
  <c r="AI35" i="4"/>
  <c r="AK35" i="4"/>
  <c r="AJ35" i="4"/>
  <c r="AL8" i="4"/>
  <c r="AL90" i="4"/>
  <c r="AL28" i="4"/>
  <c r="S181" i="1"/>
  <c r="AM25" i="1"/>
  <c r="AI55" i="4"/>
  <c r="AL55" i="4"/>
  <c r="AJ55" i="4"/>
  <c r="AI86" i="4"/>
  <c r="AJ86" i="4"/>
  <c r="AI45" i="4"/>
  <c r="AL45" i="4"/>
  <c r="AJ45" i="4"/>
  <c r="AI17" i="4"/>
  <c r="AJ17" i="4"/>
  <c r="AL17" i="4"/>
  <c r="AK3" i="4"/>
  <c r="AL3" i="4"/>
  <c r="S185" i="1"/>
  <c r="Y19" i="1"/>
  <c r="AI68" i="4"/>
  <c r="AJ68" i="4"/>
  <c r="AK50" i="4"/>
  <c r="AL50" i="4"/>
  <c r="AI39" i="4"/>
  <c r="AL39" i="4"/>
  <c r="AJ39" i="4"/>
  <c r="AI64" i="4"/>
  <c r="AL64" i="4"/>
  <c r="AJ64" i="4"/>
  <c r="AK58" i="4"/>
  <c r="AI54" i="4"/>
  <c r="AJ54" i="4"/>
  <c r="AK16" i="4"/>
  <c r="AL7" i="4"/>
  <c r="S182" i="1"/>
  <c r="AM15" i="1"/>
  <c r="AL84" i="4"/>
  <c r="AL67" i="4"/>
  <c r="AI58" i="4"/>
  <c r="AJ58" i="4"/>
  <c r="AL38" i="4"/>
  <c r="AI27" i="4"/>
  <c r="AK27" i="4"/>
  <c r="AJ27" i="4"/>
  <c r="AJ90" i="4"/>
  <c r="AK90" i="4"/>
  <c r="AJ28" i="4"/>
  <c r="AK28" i="4"/>
  <c r="AJ26" i="4"/>
  <c r="AL26" i="4"/>
  <c r="AL16" i="4"/>
  <c r="AJ81" i="4"/>
  <c r="AK81" i="4"/>
  <c r="AL78" i="4"/>
  <c r="AL63" i="4"/>
  <c r="AJ34" i="4"/>
  <c r="AK34" i="4"/>
  <c r="AJ19" i="4"/>
  <c r="AK19" i="4"/>
  <c r="AJ65" i="4"/>
  <c r="AK65" i="4"/>
  <c r="AJ47" i="4"/>
  <c r="AL47" i="4"/>
  <c r="AL44" i="4"/>
  <c r="AJ16" i="4"/>
  <c r="AJ82" i="4"/>
  <c r="AK82" i="4"/>
  <c r="AJ80" i="4"/>
  <c r="AK80" i="4"/>
  <c r="AJ66" i="4"/>
  <c r="AK66" i="4"/>
  <c r="AL27" i="4"/>
  <c r="AK45" i="4"/>
  <c r="AL66" i="4"/>
  <c r="AK17" i="4"/>
  <c r="AL81" i="4"/>
  <c r="AK64" i="4"/>
  <c r="AK22" i="4"/>
  <c r="AK54" i="4"/>
  <c r="AL54" i="4"/>
  <c r="AK68" i="4"/>
  <c r="AL68" i="4"/>
  <c r="AK55" i="4"/>
  <c r="AL87" i="4"/>
  <c r="AK38" i="4"/>
  <c r="AL73" i="4"/>
  <c r="AL80" i="4"/>
  <c r="AL36" i="4"/>
  <c r="AK61" i="4"/>
  <c r="AL61" i="4"/>
  <c r="AL70" i="4"/>
  <c r="AL4" i="4"/>
  <c r="AL13" i="4"/>
  <c r="AK21" i="4"/>
  <c r="AK14" i="4"/>
  <c r="AL14" i="4"/>
  <c r="AK86" i="4"/>
  <c r="AL86" i="4"/>
  <c r="AK71" i="4"/>
  <c r="AK39" i="4"/>
  <c r="AL35" i="4"/>
  <c r="AK4" i="4"/>
  <c r="AK31" i="4"/>
  <c r="AL31" i="4"/>
  <c r="AL34" i="4"/>
  <c r="AL58" i="4"/>
  <c r="BE29" i="1"/>
  <c r="BE68" i="1"/>
  <c r="BF68" i="1"/>
  <c r="BD157" i="1"/>
  <c r="BE157" i="1"/>
  <c r="BD142" i="1"/>
  <c r="BG142" i="1"/>
  <c r="BD147" i="1"/>
  <c r="BE158" i="1"/>
  <c r="BD158" i="1"/>
  <c r="BE66" i="1"/>
  <c r="BD118" i="1"/>
  <c r="BE118" i="1"/>
  <c r="BG118" i="1"/>
  <c r="BD24" i="1"/>
  <c r="BF24" i="1"/>
  <c r="BD18" i="1"/>
  <c r="BG18" i="1"/>
  <c r="BE170" i="1"/>
  <c r="BG64" i="1"/>
  <c r="BD3" i="1"/>
  <c r="BF3" i="1"/>
  <c r="BE6" i="1"/>
  <c r="BD6" i="1"/>
  <c r="BD33" i="1"/>
  <c r="BG33" i="1"/>
  <c r="BD145" i="1"/>
  <c r="BF145" i="1"/>
  <c r="BE55" i="1"/>
  <c r="BE54" i="1"/>
  <c r="BG130" i="1"/>
  <c r="BD23" i="1"/>
  <c r="BF23" i="1"/>
  <c r="BD58" i="1"/>
  <c r="BD107" i="1"/>
  <c r="BE7" i="1"/>
  <c r="BD65" i="1"/>
  <c r="BE72" i="1"/>
  <c r="BE57" i="1"/>
  <c r="BD57" i="1"/>
  <c r="BG57" i="1"/>
  <c r="BE53" i="1"/>
  <c r="BD98" i="1"/>
  <c r="BE179" i="1"/>
  <c r="BD114" i="1"/>
  <c r="BF114" i="1"/>
  <c r="BE31" i="1"/>
  <c r="BE172" i="1"/>
  <c r="BD165" i="1"/>
  <c r="BD168" i="1"/>
  <c r="BG168" i="1"/>
  <c r="BD9" i="1"/>
  <c r="BF9" i="1"/>
  <c r="BG9" i="1"/>
  <c r="BD137" i="1"/>
  <c r="BF137" i="1"/>
  <c r="BE48" i="1"/>
  <c r="BE159" i="1"/>
  <c r="BG159" i="1"/>
  <c r="BF102" i="1"/>
  <c r="BE63" i="1"/>
  <c r="BF63" i="1"/>
  <c r="BG63" i="1"/>
  <c r="Y13" i="1"/>
  <c r="BD177" i="1"/>
  <c r="BE110" i="1"/>
  <c r="BD70" i="1"/>
  <c r="BE70" i="1"/>
  <c r="BD50" i="1"/>
  <c r="BE156" i="1"/>
  <c r="BF156" i="1"/>
  <c r="BD136" i="1"/>
  <c r="BD163" i="1"/>
  <c r="BE163" i="1"/>
  <c r="BD155" i="1"/>
  <c r="BE160" i="1"/>
  <c r="BD151" i="1"/>
  <c r="BE151" i="1"/>
  <c r="BG151" i="1"/>
  <c r="BD85" i="1"/>
  <c r="BF85" i="1"/>
  <c r="BD59" i="1"/>
  <c r="BE59" i="1"/>
  <c r="BD105" i="1"/>
  <c r="BD61" i="1"/>
  <c r="BG61" i="1"/>
  <c r="BE175" i="1"/>
  <c r="BD34" i="1"/>
  <c r="BF34" i="1"/>
  <c r="BE34" i="1"/>
  <c r="BE17" i="1"/>
  <c r="BD78" i="1"/>
  <c r="BE78" i="1"/>
  <c r="BE47" i="1"/>
  <c r="BG47" i="1"/>
  <c r="BG131" i="1"/>
  <c r="BD30" i="1"/>
  <c r="BD86" i="1"/>
  <c r="BF86" i="1"/>
  <c r="BD126" i="1"/>
  <c r="BG126" i="1"/>
  <c r="BD56" i="1"/>
  <c r="BG56" i="1"/>
  <c r="BE56" i="1"/>
  <c r="BD74" i="1"/>
  <c r="BE13" i="1"/>
  <c r="BF13" i="1"/>
  <c r="BE161" i="1"/>
  <c r="BE93" i="1"/>
  <c r="BG93" i="1"/>
  <c r="BE81" i="1"/>
  <c r="BE4" i="1"/>
  <c r="BD88" i="1"/>
  <c r="BE42" i="1"/>
  <c r="BD15" i="1"/>
  <c r="BF15" i="1"/>
  <c r="BE15" i="1"/>
  <c r="BE150" i="1"/>
  <c r="BF150" i="1"/>
  <c r="BD166" i="1"/>
  <c r="BD73" i="1"/>
  <c r="BF73" i="1"/>
  <c r="BE73" i="1"/>
  <c r="BB39" i="1"/>
  <c r="BD39" i="1"/>
  <c r="BD20" i="1"/>
  <c r="BE20" i="1"/>
  <c r="R181" i="1"/>
  <c r="BD10" i="1"/>
  <c r="BF10" i="1"/>
  <c r="BE104" i="1"/>
  <c r="BE27" i="1"/>
  <c r="BE43" i="1"/>
  <c r="BD43" i="1"/>
  <c r="BD16" i="1"/>
  <c r="BE8" i="1"/>
  <c r="BD8" i="1"/>
  <c r="BG134" i="1"/>
  <c r="BG152" i="1"/>
  <c r="BD128" i="1"/>
  <c r="BF128" i="1"/>
  <c r="BF90" i="1"/>
  <c r="BD45" i="1"/>
  <c r="BE45" i="1"/>
  <c r="BE127" i="1"/>
  <c r="BD119" i="1"/>
  <c r="BG119" i="1"/>
  <c r="BE106" i="1"/>
  <c r="BD106" i="1"/>
  <c r="BG106" i="1"/>
  <c r="BE80" i="1"/>
  <c r="BF80" i="1"/>
  <c r="BE51" i="1"/>
  <c r="BD25" i="1"/>
  <c r="BF25" i="1"/>
  <c r="BD49" i="1"/>
  <c r="BF33" i="1"/>
  <c r="BG155" i="1"/>
  <c r="BF44" i="1"/>
  <c r="BF64" i="1"/>
  <c r="BG157" i="1"/>
  <c r="BF53" i="1"/>
  <c r="BG29" i="1"/>
  <c r="BF177" i="1"/>
  <c r="BG145" i="1"/>
  <c r="BG165" i="1"/>
  <c r="BG107" i="1"/>
  <c r="BF155" i="1"/>
  <c r="BG104" i="1"/>
  <c r="BF98" i="1"/>
  <c r="BF161" i="1"/>
  <c r="BG170" i="1"/>
  <c r="BF45" i="1"/>
  <c r="BF107" i="1"/>
  <c r="BG102" i="1"/>
  <c r="BG150" i="1"/>
  <c r="BG80" i="1"/>
  <c r="BG23" i="1"/>
  <c r="BG53" i="1"/>
  <c r="BF57" i="1"/>
  <c r="BG15" i="1"/>
  <c r="BG16" i="1"/>
  <c r="BG35" i="1"/>
  <c r="BF35" i="1"/>
  <c r="BF43" i="1"/>
  <c r="BG156" i="1"/>
  <c r="BF49" i="1"/>
  <c r="BF51" i="1"/>
  <c r="BG128" i="1"/>
  <c r="BG45" i="1"/>
  <c r="BG27" i="1"/>
  <c r="BG25" i="1"/>
  <c r="BF88" i="1"/>
  <c r="BF47" i="1"/>
  <c r="BF61" i="1"/>
  <c r="BF78" i="1"/>
  <c r="BG13" i="1"/>
  <c r="BF56" i="1"/>
  <c r="BF70" i="1"/>
  <c r="BF17" i="1"/>
  <c r="BG17" i="1"/>
  <c r="BF104" i="1"/>
  <c r="AF2" i="3"/>
  <c r="BE148" i="1"/>
  <c r="BD148" i="1"/>
  <c r="BD122" i="1"/>
  <c r="BG122" i="1"/>
  <c r="BE122" i="1"/>
  <c r="BE108" i="1"/>
  <c r="BD108" i="1"/>
  <c r="BG115" i="1"/>
  <c r="BE101" i="1"/>
  <c r="BD101" i="1"/>
  <c r="BE103" i="1"/>
  <c r="BD103" i="1"/>
  <c r="BF103" i="1"/>
  <c r="BF174" i="1"/>
  <c r="BG174" i="1"/>
  <c r="BF42" i="1"/>
  <c r="BG42" i="1"/>
  <c r="BG34" i="1"/>
  <c r="R180" i="1"/>
  <c r="BG114" i="1"/>
  <c r="BG78" i="1"/>
  <c r="BG163" i="1"/>
  <c r="BF163" i="1"/>
  <c r="BE52" i="1"/>
  <c r="BF36" i="1"/>
  <c r="BF179" i="1"/>
  <c r="BG179" i="1"/>
  <c r="BF151" i="1"/>
  <c r="BD138" i="1"/>
  <c r="BG138" i="1"/>
  <c r="BE138" i="1"/>
  <c r="BE26" i="1"/>
  <c r="BD26" i="1"/>
  <c r="AB3" i="1"/>
  <c r="AB2" i="1"/>
  <c r="AB7" i="1"/>
  <c r="BC180" i="1"/>
  <c r="BE174" i="1"/>
  <c r="BG161" i="1"/>
  <c r="BE143" i="1"/>
  <c r="BD143" i="1"/>
  <c r="BF143" i="1"/>
  <c r="BD109" i="1"/>
  <c r="BG109" i="1"/>
  <c r="BE109" i="1"/>
  <c r="BG31" i="1"/>
  <c r="BF31" i="1"/>
  <c r="BE113" i="1"/>
  <c r="BD113" i="1"/>
  <c r="BF113" i="1"/>
  <c r="BG11" i="1"/>
  <c r="BF11" i="1"/>
  <c r="BB5" i="1"/>
  <c r="BA180" i="1"/>
  <c r="BA183" i="1"/>
  <c r="BF14" i="1"/>
  <c r="BF52" i="1"/>
  <c r="BG52" i="1"/>
  <c r="BB185" i="1"/>
  <c r="BF131" i="1"/>
  <c r="BD141" i="1"/>
  <c r="BE141" i="1"/>
  <c r="BG133" i="1"/>
  <c r="BE144" i="1"/>
  <c r="BD2" i="1"/>
  <c r="BG10" i="1"/>
  <c r="BF136" i="1"/>
  <c r="BG136" i="1"/>
  <c r="BG38" i="1"/>
  <c r="BF99" i="1"/>
  <c r="BD95" i="1"/>
  <c r="BE95" i="1"/>
  <c r="BF87" i="1"/>
  <c r="BF79" i="1"/>
  <c r="BG75" i="1"/>
  <c r="BG51" i="1"/>
  <c r="BD129" i="1"/>
  <c r="BE129" i="1"/>
  <c r="BF129" i="1"/>
  <c r="BD100" i="1"/>
  <c r="BE100" i="1"/>
  <c r="BF110" i="1"/>
  <c r="BG4" i="1"/>
  <c r="BF4" i="1"/>
  <c r="BF126" i="1"/>
  <c r="BF48" i="1"/>
  <c r="BD154" i="1"/>
  <c r="BG154" i="1"/>
  <c r="BE154" i="1"/>
  <c r="BF115" i="1"/>
  <c r="BF66" i="1"/>
  <c r="BG66" i="1"/>
  <c r="Y7" i="1"/>
  <c r="Y6" i="1"/>
  <c r="BD89" i="1"/>
  <c r="BE89" i="1"/>
  <c r="BE124" i="1"/>
  <c r="BE62" i="1"/>
  <c r="BD62" i="1"/>
  <c r="BE22" i="1"/>
  <c r="BD22" i="1"/>
  <c r="BG22" i="1"/>
  <c r="BF20" i="1"/>
  <c r="BG20" i="1"/>
  <c r="BG81" i="1"/>
  <c r="BG14" i="1"/>
  <c r="BG129" i="1"/>
  <c r="BG24" i="1"/>
  <c r="BE12" i="1"/>
  <c r="BE117" i="1"/>
  <c r="BD117" i="1"/>
  <c r="BE115" i="1"/>
  <c r="BF176" i="1"/>
  <c r="BG173" i="1"/>
  <c r="BF173" i="1"/>
  <c r="BD153" i="1"/>
  <c r="BE153" i="1"/>
  <c r="BD140" i="1"/>
  <c r="BF140" i="1"/>
  <c r="BE140" i="1"/>
  <c r="BF111" i="1"/>
  <c r="BD75" i="1"/>
  <c r="BF75" i="1"/>
  <c r="BE75" i="1"/>
  <c r="BG73" i="1"/>
  <c r="BE71" i="1"/>
  <c r="BD71" i="1"/>
  <c r="BF71" i="1"/>
  <c r="BF8" i="1"/>
  <c r="BG8" i="1"/>
  <c r="BE2" i="1"/>
  <c r="BE32" i="1"/>
  <c r="BD32" i="1"/>
  <c r="BF32" i="1"/>
  <c r="BF28" i="1"/>
  <c r="BG28" i="1"/>
  <c r="BE121" i="1"/>
  <c r="BD121" i="1"/>
  <c r="BF154" i="1"/>
  <c r="BG166" i="1"/>
  <c r="BF166" i="1"/>
  <c r="BE164" i="1"/>
  <c r="BD164" i="1"/>
  <c r="BE99" i="1"/>
  <c r="BD99" i="1"/>
  <c r="BG39" i="1"/>
  <c r="BG3" i="1"/>
  <c r="BF91" i="1"/>
  <c r="BD83" i="1"/>
  <c r="Y9" i="1"/>
  <c r="AO5" i="1"/>
  <c r="AO10" i="1"/>
  <c r="BD97" i="1"/>
  <c r="BE146" i="1"/>
  <c r="BF146" i="1"/>
  <c r="BF158" i="1"/>
  <c r="BG158" i="1"/>
  <c r="BD176" i="1"/>
  <c r="BG176" i="1"/>
  <c r="BE176" i="1"/>
  <c r="BG92" i="1"/>
  <c r="BG90" i="1"/>
  <c r="BE69" i="1"/>
  <c r="BD69" i="1"/>
  <c r="AO6" i="1"/>
  <c r="BC185" i="1"/>
  <c r="BC181" i="1"/>
  <c r="BF6" i="1"/>
  <c r="BG85" i="1"/>
  <c r="AO7" i="1"/>
  <c r="BG169" i="1"/>
  <c r="BF178" i="1"/>
  <c r="BG178" i="1"/>
  <c r="BD92" i="1"/>
  <c r="BF92" i="1"/>
  <c r="BE92" i="1"/>
  <c r="BG88" i="1"/>
  <c r="BF55" i="1"/>
  <c r="BE139" i="1"/>
  <c r="BD139" i="1"/>
  <c r="BG139" i="1"/>
  <c r="BE19" i="1"/>
  <c r="BD19" i="1"/>
  <c r="BG58" i="1"/>
  <c r="BF58" i="1"/>
  <c r="BF54" i="1"/>
  <c r="BG54" i="1"/>
  <c r="BD167" i="1"/>
  <c r="BE167" i="1"/>
  <c r="BG135" i="1"/>
  <c r="BF119" i="1"/>
  <c r="BA182" i="1"/>
  <c r="Y4" i="1"/>
  <c r="BG7" i="1"/>
  <c r="BF7" i="1"/>
  <c r="BF142" i="1"/>
  <c r="BG132" i="1"/>
  <c r="BF132" i="1"/>
  <c r="BG98" i="1"/>
  <c r="BG96" i="1"/>
  <c r="BD94" i="1"/>
  <c r="BE94" i="1"/>
  <c r="BF144" i="1"/>
  <c r="BG144" i="1"/>
  <c r="BA184" i="1"/>
  <c r="BE162" i="1"/>
  <c r="BD162" i="1"/>
  <c r="BF133" i="1"/>
  <c r="BF93" i="1"/>
  <c r="AB8" i="1"/>
  <c r="BE171" i="1"/>
  <c r="BD171" i="1"/>
  <c r="BD60" i="1"/>
  <c r="BF60" i="1"/>
  <c r="BF106" i="1"/>
  <c r="BG50" i="1"/>
  <c r="AB4" i="1"/>
  <c r="BD149" i="1"/>
  <c r="BF105" i="1"/>
  <c r="BG127" i="1"/>
  <c r="BF127" i="1"/>
  <c r="BF168" i="1"/>
  <c r="BF59" i="1"/>
  <c r="BG59" i="1"/>
  <c r="BD77" i="1"/>
  <c r="BG147" i="1"/>
  <c r="BF124" i="1"/>
  <c r="BE116" i="1"/>
  <c r="BF116" i="1"/>
  <c r="BG113" i="1"/>
  <c r="BE67" i="1"/>
  <c r="BD67" i="1"/>
  <c r="BF164" i="1"/>
  <c r="BG137" i="1"/>
  <c r="BG72" i="1"/>
  <c r="AO11" i="1"/>
  <c r="BF135" i="1"/>
  <c r="BE79" i="1"/>
  <c r="BG79" i="1"/>
  <c r="BD46" i="1"/>
  <c r="BE46" i="1"/>
  <c r="Y8" i="1"/>
  <c r="BG105" i="1"/>
  <c r="BG86" i="1"/>
  <c r="BE41" i="1"/>
  <c r="BD41" i="1"/>
  <c r="BF41" i="1"/>
  <c r="BF37" i="1"/>
  <c r="BG37" i="1"/>
  <c r="BF175" i="1"/>
  <c r="BF170" i="1"/>
  <c r="BF18" i="1"/>
  <c r="AO3" i="1"/>
  <c r="BG164" i="1"/>
  <c r="BG55" i="1"/>
  <c r="BC183" i="1"/>
  <c r="BD84" i="1"/>
  <c r="BE125" i="1"/>
  <c r="BF74" i="1"/>
  <c r="BF30" i="1"/>
  <c r="BF165" i="1"/>
  <c r="BF160" i="1"/>
  <c r="BD123" i="1"/>
  <c r="BE123" i="1"/>
  <c r="BG65" i="1"/>
  <c r="BF27" i="1"/>
  <c r="BG120" i="1"/>
  <c r="BE87" i="1"/>
  <c r="BG87" i="1"/>
  <c r="BD28" i="1"/>
  <c r="BD96" i="1"/>
  <c r="BF96" i="1"/>
  <c r="BF157" i="1"/>
  <c r="BG124" i="1"/>
  <c r="BF112" i="1"/>
  <c r="BF147" i="1"/>
  <c r="BD14" i="1"/>
  <c r="BE111" i="1"/>
  <c r="BG111" i="1"/>
  <c r="BG177" i="1"/>
  <c r="BG40" i="1"/>
  <c r="BD21" i="1"/>
  <c r="BE21" i="1"/>
  <c r="BF16" i="1"/>
  <c r="AO9" i="1"/>
  <c r="AO8" i="1"/>
  <c r="AO4" i="1"/>
  <c r="BD82" i="1"/>
  <c r="BF122" i="1"/>
  <c r="BG68" i="1"/>
  <c r="BD40" i="1"/>
  <c r="BE40" i="1"/>
  <c r="AB6" i="1"/>
  <c r="AB5" i="1"/>
  <c r="Y2" i="1"/>
  <c r="Y5" i="1"/>
  <c r="Y12" i="1"/>
  <c r="Y3" i="1"/>
  <c r="BC184" i="1"/>
  <c r="BA185" i="1"/>
  <c r="BC182" i="1"/>
  <c r="Y10" i="1"/>
  <c r="BA181" i="1"/>
  <c r="BG121" i="1"/>
  <c r="BF121" i="1"/>
  <c r="BG171" i="1"/>
  <c r="BF171" i="1"/>
  <c r="BF83" i="1"/>
  <c r="BG83" i="1"/>
  <c r="BF95" i="1"/>
  <c r="BG95" i="1"/>
  <c r="BF19" i="1"/>
  <c r="BG19" i="1"/>
  <c r="BE5" i="1"/>
  <c r="BE182" i="1"/>
  <c r="BD5" i="1"/>
  <c r="BD183" i="1"/>
  <c r="BF138" i="1"/>
  <c r="BG125" i="1"/>
  <c r="BF125" i="1"/>
  <c r="BG62" i="1"/>
  <c r="BF62" i="1"/>
  <c r="BG84" i="1"/>
  <c r="BF84" i="1"/>
  <c r="BG99" i="1"/>
  <c r="BB183" i="1"/>
  <c r="BG100" i="1"/>
  <c r="BF100" i="1"/>
  <c r="BG32" i="1"/>
  <c r="BG108" i="1"/>
  <c r="BF108" i="1"/>
  <c r="BF40" i="1"/>
  <c r="BG82" i="1"/>
  <c r="BF82" i="1"/>
  <c r="BG140" i="1"/>
  <c r="BG103" i="1"/>
  <c r="BF89" i="1"/>
  <c r="BG89" i="1"/>
  <c r="BF22" i="1"/>
  <c r="BF94" i="1"/>
  <c r="BG94" i="1"/>
  <c r="BG101" i="1"/>
  <c r="BF101" i="1"/>
  <c r="BE184" i="1"/>
  <c r="BE180" i="1"/>
  <c r="BB184" i="1"/>
  <c r="BF46" i="1"/>
  <c r="BG46" i="1"/>
  <c r="BB181" i="1"/>
  <c r="BB182" i="1"/>
  <c r="BG116" i="1"/>
  <c r="BF117" i="1"/>
  <c r="BG117" i="1"/>
  <c r="BG123" i="1"/>
  <c r="BF123" i="1"/>
  <c r="BF77" i="1"/>
  <c r="BG77" i="1"/>
  <c r="BB180" i="1"/>
  <c r="BG2" i="1"/>
  <c r="BD182" i="1"/>
  <c r="BD184" i="1"/>
  <c r="BD181" i="1"/>
  <c r="BF2" i="1"/>
  <c r="BD180" i="1"/>
  <c r="BD185" i="1"/>
  <c r="BG71" i="1"/>
  <c r="BF26" i="1"/>
  <c r="BG26" i="1"/>
  <c r="BF67" i="1"/>
  <c r="BG67" i="1"/>
  <c r="BG69" i="1"/>
  <c r="BF69" i="1"/>
  <c r="BF153" i="1"/>
  <c r="BG153" i="1"/>
  <c r="BG60" i="1"/>
  <c r="BF109" i="1"/>
  <c r="BG41" i="1"/>
  <c r="BG12" i="1"/>
  <c r="BF12" i="1"/>
  <c r="BF141" i="1"/>
  <c r="BG141" i="1"/>
  <c r="BG146" i="1"/>
  <c r="BG148" i="1"/>
  <c r="BF148" i="1"/>
  <c r="BG97" i="1"/>
  <c r="BF97" i="1"/>
  <c r="BG167" i="1"/>
  <c r="BF167" i="1"/>
  <c r="BG21" i="1"/>
  <c r="BF21" i="1"/>
  <c r="BF162" i="1"/>
  <c r="BG162" i="1"/>
  <c r="BF139" i="1"/>
  <c r="BG149" i="1"/>
  <c r="BF149" i="1"/>
  <c r="BG143" i="1"/>
  <c r="BE185" i="1"/>
  <c r="BG5" i="1"/>
  <c r="BG181" i="1"/>
  <c r="BF5" i="1"/>
  <c r="BF185" i="1"/>
  <c r="BE183" i="1"/>
  <c r="BE181" i="1"/>
  <c r="BG180" i="1"/>
  <c r="BF181" i="1"/>
  <c r="BF183" i="1"/>
  <c r="BG184" i="1"/>
  <c r="BG182" i="1"/>
  <c r="BF182" i="1"/>
  <c r="BF184" i="1"/>
  <c r="BG185" i="1"/>
  <c r="BF180" i="1"/>
  <c r="BG183" i="1"/>
  <c r="AC6" i="3" l="1"/>
  <c r="AC3" i="3"/>
  <c r="AC5" i="3"/>
  <c r="AC2" i="3"/>
</calcChain>
</file>

<file path=xl/sharedStrings.xml><?xml version="1.0" encoding="utf-8"?>
<sst xmlns="http://schemas.openxmlformats.org/spreadsheetml/2006/main" count="3062" uniqueCount="631">
  <si>
    <t>Patient ID</t>
  </si>
  <si>
    <t>Patient Age</t>
  </si>
  <si>
    <t>Patient Home Location</t>
  </si>
  <si>
    <t>Distance to limb-fitting centre (km)</t>
  </si>
  <si>
    <t>Time to arrive at centre by public transport at 12:00 hrs (hrs)</t>
  </si>
  <si>
    <t>(Min.) Cost of travel to centre at 12:00 hrs (INR)</t>
  </si>
  <si>
    <t>Gender</t>
  </si>
  <si>
    <t>Date of Amputation</t>
  </si>
  <si>
    <t>Date of Registration</t>
  </si>
  <si>
    <t>Date of First Prosthetic Fitting</t>
  </si>
  <si>
    <t>Cause of Amputation</t>
  </si>
  <si>
    <t>Amputation Level</t>
  </si>
  <si>
    <t>Side of Amputation</t>
  </si>
  <si>
    <t>Type of Prosthesis</t>
  </si>
  <si>
    <t>Type of Terminal device</t>
  </si>
  <si>
    <t>Category of Repair</t>
  </si>
  <si>
    <t>Minor/major repair</t>
  </si>
  <si>
    <t>Single repair/ Multiple repairs</t>
  </si>
  <si>
    <t>Repair costs (INR)</t>
  </si>
  <si>
    <t>Date of Repair</t>
  </si>
  <si>
    <t>Day of week (repair)</t>
  </si>
  <si>
    <t>Month of repair session</t>
  </si>
  <si>
    <t>Month</t>
  </si>
  <si>
    <t>Frequency</t>
  </si>
  <si>
    <t>Day of week</t>
  </si>
  <si>
    <t>Number of repair visits</t>
  </si>
  <si>
    <t>Total cost of repair</t>
  </si>
  <si>
    <t>Occupation</t>
  </si>
  <si>
    <t>All India wage rate (male)</t>
  </si>
  <si>
    <t>All India wage rate (female)</t>
  </si>
  <si>
    <t>Minimum Repair time</t>
  </si>
  <si>
    <t>Minimum visit time</t>
  </si>
  <si>
    <t>Cost of travel</t>
  </si>
  <si>
    <t>Loss of wages</t>
  </si>
  <si>
    <t>Incidental expenses</t>
  </si>
  <si>
    <t>Total visit expenses</t>
  </si>
  <si>
    <t>Total visit expenses without repair costs</t>
  </si>
  <si>
    <t>Year</t>
  </si>
  <si>
    <t>Length of amputation</t>
  </si>
  <si>
    <t>Type of device</t>
  </si>
  <si>
    <t>Frequency of repair events</t>
  </si>
  <si>
    <t>P001</t>
  </si>
  <si>
    <t>#446, 1st Stage, 20nd  Cross Indiranagar, Bangalore, Bangalore, 560038</t>
  </si>
  <si>
    <t>Male</t>
  </si>
  <si>
    <t>Trauma from machinery</t>
  </si>
  <si>
    <t>Transhumeral</t>
  </si>
  <si>
    <t>Right</t>
  </si>
  <si>
    <t>cosmetic</t>
  </si>
  <si>
    <t>Cosmetic</t>
  </si>
  <si>
    <t xml:space="preserve">Suspension belt has been changed </t>
  </si>
  <si>
    <t>Minor &amp; major</t>
  </si>
  <si>
    <t>January</t>
  </si>
  <si>
    <t>Monday</t>
  </si>
  <si>
    <t>Ploughing/ tilling workers</t>
  </si>
  <si>
    <t>Transradial</t>
  </si>
  <si>
    <t xml:space="preserve">Rt AE Prosthesis Gloves &amp; Suspension belt has been changed </t>
  </si>
  <si>
    <t>February</t>
  </si>
  <si>
    <t>Tuesday</t>
  </si>
  <si>
    <t>P002</t>
  </si>
  <si>
    <t>Sowing workers</t>
  </si>
  <si>
    <t>Body powered</t>
  </si>
  <si>
    <t>#993, 1st Fllor, 3rd Main, 7th Block, 2nd Phase B G 2nd Stage Kosakerehalli, Bangalore, Bangalore, 560085</t>
  </si>
  <si>
    <t>A</t>
  </si>
  <si>
    <t>Trauma from transport</t>
  </si>
  <si>
    <t>Left</t>
  </si>
  <si>
    <t>Voluntary opening</t>
  </si>
  <si>
    <t xml:space="preserve"> Axillary Pad Changed </t>
  </si>
  <si>
    <t>Minor</t>
  </si>
  <si>
    <t>March</t>
  </si>
  <si>
    <t>Wednesday</t>
  </si>
  <si>
    <t>P003</t>
  </si>
  <si>
    <t>Harvesting/ winnowing/ threshing workers</t>
  </si>
  <si>
    <t>Rt AE Prosthesis Gloves Changed</t>
  </si>
  <si>
    <t>April</t>
  </si>
  <si>
    <t>Thursday</t>
  </si>
  <si>
    <t>P004</t>
  </si>
  <si>
    <t>Picking workers</t>
  </si>
  <si>
    <t>B G Road, Bangalore, Bangalore, 560075</t>
  </si>
  <si>
    <t xml:space="preserve">Rt BE prosthesis  gloves Changed </t>
  </si>
  <si>
    <t>May</t>
  </si>
  <si>
    <t>Friday</t>
  </si>
  <si>
    <t>P005</t>
  </si>
  <si>
    <t>Horticulture workers</t>
  </si>
  <si>
    <t>Myoelectric</t>
  </si>
  <si>
    <t>June</t>
  </si>
  <si>
    <t>Saturday</t>
  </si>
  <si>
    <t>P006</t>
  </si>
  <si>
    <t>Fishermen in-land</t>
  </si>
  <si>
    <t>#36 Sri Sai Ranga  Sai Gardinya Layout, Bangalore, Bangalore, 560064</t>
  </si>
  <si>
    <t>Female</t>
  </si>
  <si>
    <t xml:space="preserve">Lt BE Prosthesis Gloves fixation done </t>
  </si>
  <si>
    <t>Major</t>
  </si>
  <si>
    <t>July</t>
  </si>
  <si>
    <t>Sunday</t>
  </si>
  <si>
    <t>P007</t>
  </si>
  <si>
    <t>Fishermen-coastal/Deep-sea</t>
  </si>
  <si>
    <t>#1396, 6th Cross, 13th Main, HAL 3rd Stgae, Bangalore, Bangalore, 560008</t>
  </si>
  <si>
    <t>shoulder disarticulation (transhumeral)</t>
  </si>
  <si>
    <t>Rt Shoulder  Dis articulation Prosthesis socket padding done</t>
  </si>
  <si>
    <t>August</t>
  </si>
  <si>
    <t>P008</t>
  </si>
  <si>
    <t>Loggers and woodcutters</t>
  </si>
  <si>
    <t>Hasaguli, Gundlupet, Chamarajanagar, 571111</t>
  </si>
  <si>
    <t xml:space="preserve">Control cable &amp; Cosmetic gloves replaced  </t>
  </si>
  <si>
    <t>Minor &amp; Minor</t>
  </si>
  <si>
    <t>September</t>
  </si>
  <si>
    <t>Earliest repair date</t>
  </si>
  <si>
    <t>P009</t>
  </si>
  <si>
    <t>Animal husbandry workers</t>
  </si>
  <si>
    <t xml:space="preserve">Lt AE Prosthesis cosmetic laminated gloves replaced  </t>
  </si>
  <si>
    <t>October</t>
  </si>
  <si>
    <t>Latest repair date</t>
  </si>
  <si>
    <t>P010</t>
  </si>
  <si>
    <t>Packaging labourers</t>
  </si>
  <si>
    <t>#32, 2nd Cross Lakshmi Nagar Kirloskar Colony, Bangalore, Bangalore, 560079</t>
  </si>
  <si>
    <t>Trauma from electrical equipment</t>
  </si>
  <si>
    <t>Rt AE prosthesis alteration done</t>
  </si>
  <si>
    <t>November</t>
  </si>
  <si>
    <t>Range</t>
  </si>
  <si>
    <t>P011</t>
  </si>
  <si>
    <t>General agricultural labourers</t>
  </si>
  <si>
    <t>Harness alteration done</t>
  </si>
  <si>
    <t>December</t>
  </si>
  <si>
    <t>P012</t>
  </si>
  <si>
    <t>Plant protection workers</t>
  </si>
  <si>
    <t>#908,  1St Floor,8th Cross, Nwe Bank Colony Konakunte, Bangalore, Bangalore, 560062</t>
  </si>
  <si>
    <t xml:space="preserve">Rt BE prosthesis  Gloves replaced </t>
  </si>
  <si>
    <t>P013</t>
  </si>
  <si>
    <t>Carpenter</t>
  </si>
  <si>
    <t xml:space="preserve">Follow up done </t>
  </si>
  <si>
    <t>Earliest Date of Repair</t>
  </si>
  <si>
    <t>P014</t>
  </si>
  <si>
    <t>Blacksmith</t>
  </si>
  <si>
    <t xml:space="preserve">Rt BE prosthesis Gloves replaced </t>
  </si>
  <si>
    <t>Latest date of repair</t>
  </si>
  <si>
    <t>P015</t>
  </si>
  <si>
    <t>Mason</t>
  </si>
  <si>
    <t xml:space="preserve">Rt BE Prosthesis  Cable Adaptor has been changed &amp; Gloves Changed </t>
  </si>
  <si>
    <t>P016</t>
  </si>
  <si>
    <t>Weavers</t>
  </si>
  <si>
    <t>Chiknayakanhalli, Tumkur, 572218</t>
  </si>
  <si>
    <t xml:space="preserve">Lt AE Prosthesis Cable   replaced </t>
  </si>
  <si>
    <t>Single repair</t>
  </si>
  <si>
    <t>Multiple repairs</t>
  </si>
  <si>
    <t>P017</t>
  </si>
  <si>
    <t>Beedi makers</t>
  </si>
  <si>
    <t>Krishnarajanagar, Mysore, 571604</t>
  </si>
  <si>
    <t xml:space="preserve">Rt BE Prosthesis  Terminal Device has been changed </t>
  </si>
  <si>
    <t>Minimum cost of a repair visit</t>
  </si>
  <si>
    <t>P018</t>
  </si>
  <si>
    <t>Bamboo basket weavers</t>
  </si>
  <si>
    <t>#18, Lavastra Bradainga Foram Hesragatta, Bangalore, Bangalore, 560089</t>
  </si>
  <si>
    <t>Gloves changed</t>
  </si>
  <si>
    <t>Maximum cost of a repair visit</t>
  </si>
  <si>
    <t>P019</t>
  </si>
  <si>
    <t>Handicraft workers</t>
  </si>
  <si>
    <t>Bangalore, Bangalore, 560061</t>
  </si>
  <si>
    <t>Follow up done</t>
  </si>
  <si>
    <t>P020</t>
  </si>
  <si>
    <t>Plumbers</t>
  </si>
  <si>
    <t>Lt BE Prosthesis Socket tight</t>
  </si>
  <si>
    <t>P021</t>
  </si>
  <si>
    <t>Electrician</t>
  </si>
  <si>
    <t>#6/10, 2nd Cross Nagarahole  Nagar, Bangalore, Bangalore, 560091</t>
  </si>
  <si>
    <t>Congenital</t>
  </si>
  <si>
    <t xml:space="preserve">Rt elbow disarticulation prosthesis upper shell changed </t>
  </si>
  <si>
    <t>P022</t>
  </si>
  <si>
    <t>Construction workers</t>
  </si>
  <si>
    <t xml:space="preserve">Rt Elbow Disarticulation prosthesis, cosmetic gloves changed </t>
  </si>
  <si>
    <t>P023</t>
  </si>
  <si>
    <t>LMV &amp; Tractor drivers</t>
  </si>
  <si>
    <t>Tiruppur, Tiruppur, 641652</t>
  </si>
  <si>
    <t>Rt BE Prosthesis general follow up   done</t>
  </si>
  <si>
    <t>P024</t>
  </si>
  <si>
    <t>Non-agricultural labourers</t>
  </si>
  <si>
    <t xml:space="preserve">Rt BE Prosthesis Gloves Length has been reduced  </t>
  </si>
  <si>
    <t>P025</t>
  </si>
  <si>
    <t>Sweeping/ Cleaning workers</t>
  </si>
  <si>
    <t>Tiruppur, Tiruppur, Tamilunadu641652</t>
  </si>
  <si>
    <t xml:space="preserve">Rt BE Prosthesis Cable Attachment &amp; Gloves changed </t>
  </si>
  <si>
    <t>P026</t>
  </si>
  <si>
    <t>Average</t>
  </si>
  <si>
    <t>Terminal device repair done + follow up done</t>
  </si>
  <si>
    <t>Major &amp; Minor</t>
  </si>
  <si>
    <t>P027</t>
  </si>
  <si>
    <t xml:space="preserve">Axilla Padding and control cable changed </t>
  </si>
  <si>
    <t>P028</t>
  </si>
  <si>
    <t>Harness Ring Changed</t>
  </si>
  <si>
    <t>P029</t>
  </si>
  <si>
    <t>Shillong, Meghalaya, Nongtmymmai, East Garo Hills, East Garo Hills, 794111</t>
  </si>
  <si>
    <t>Externally powered (myoelectric)</t>
  </si>
  <si>
    <t>myo hand</t>
  </si>
  <si>
    <t>terminal device changed</t>
  </si>
  <si>
    <t>P030</t>
  </si>
  <si>
    <t>#283/30,1st Main, Near to 1st gate Jakksandra Kormangala, Bangalore, Bangalore, 560034</t>
  </si>
  <si>
    <t>Socket changed</t>
  </si>
  <si>
    <t>P031</t>
  </si>
  <si>
    <t>#9-257, Kamms Street , Madanapalli, Chittoor, 517305</t>
  </si>
  <si>
    <t>Rt BE Prosthesis  gloves changed</t>
  </si>
  <si>
    <t>P032</t>
  </si>
  <si>
    <t xml:space="preserve"> gloves changed</t>
  </si>
  <si>
    <t>P033</t>
  </si>
  <si>
    <t>Rt BE Prosthesis  gloves changed &amp; Straps changed</t>
  </si>
  <si>
    <t>P034</t>
  </si>
  <si>
    <t>12 Squar Apts A BLock-F4, TC palya main Road, Near to Reliance Fresh, Bangalore, Bangalore, 560036</t>
  </si>
  <si>
    <t>wrist disarticulation (transradial)</t>
  </si>
  <si>
    <t xml:space="preserve">Lt BE  Prosthesis cable Changed </t>
  </si>
  <si>
    <t>P035</t>
  </si>
  <si>
    <t>congenital</t>
  </si>
  <si>
    <t xml:space="preserve">Lt BE Prosthesis control cable changed </t>
  </si>
  <si>
    <t>P036</t>
  </si>
  <si>
    <t xml:space="preserve">Lt BE  Prosthesis straps Changed </t>
  </si>
  <si>
    <t>P037</t>
  </si>
  <si>
    <t>socket repair done</t>
  </si>
  <si>
    <t>P038</t>
  </si>
  <si>
    <t>Kanamagala, Doddaballapura, Bangalore Rural</t>
  </si>
  <si>
    <t>Lt AE  prosthesis gloves changed</t>
  </si>
  <si>
    <t>P039</t>
  </si>
  <si>
    <t>#145/4 Thappa kuttai Muniyappan kovil Theru Ayothiyapattanam, Salem, Salem, 636103</t>
  </si>
  <si>
    <t>General Prosthesis Follow up done</t>
  </si>
  <si>
    <t>P040</t>
  </si>
  <si>
    <t>Thatekere Village Mudlipe post, Holenarsipur, Hassan</t>
  </si>
  <si>
    <t>Body powered (wrist disarticulation)</t>
  </si>
  <si>
    <t>Terminal Device has been changed</t>
  </si>
  <si>
    <t>P041</t>
  </si>
  <si>
    <t>#C62 Bommasandra industrial area Village Bommasandra Post Hosure Road , Bangalore, Bangalore, 560099</t>
  </si>
  <si>
    <t xml:space="preserve">Rt BE  Prosthesis Follow up done </t>
  </si>
  <si>
    <t>P042</t>
  </si>
  <si>
    <t>#66, 4th Main, Binny Layout, Attiguppe  Bangalore, 560040</t>
  </si>
  <si>
    <t>Control cable system changed</t>
  </si>
  <si>
    <t>P043</t>
  </si>
  <si>
    <t>No 74 1st Main 2nd Cross, RMV Stage Bhoopasandra, Bangalore, Bangalore, 560094</t>
  </si>
  <si>
    <t>Lt BE control cable and harness repairs done</t>
  </si>
  <si>
    <t>P044</t>
  </si>
  <si>
    <t>Lt BE Repair control cable changed</t>
  </si>
  <si>
    <t>P045</t>
  </si>
  <si>
    <t>Lt BE Repair Terminal device repair done</t>
  </si>
  <si>
    <t>P046</t>
  </si>
  <si>
    <t xml:space="preserve"> Bommanahalli Nagam palya Opp to Bosch Buillding, Bangalore, Bangalore</t>
  </si>
  <si>
    <t xml:space="preserve">Rt BE Prosthesis Gloves &amp; Strap Changed </t>
  </si>
  <si>
    <t>P047</t>
  </si>
  <si>
    <t xml:space="preserve"> Replaced ( Terminal Device)</t>
  </si>
  <si>
    <t>P048</t>
  </si>
  <si>
    <t>#49, 1st Main Road Ashtalakshmi Layout Sarakki Kere J P Nagar, 6th Phase, Bangalore, Bangalore, 560070</t>
  </si>
  <si>
    <t xml:space="preserve">Rt BE cosmetic laminated  Suspension  Press Button has changed  </t>
  </si>
  <si>
    <t>P049</t>
  </si>
  <si>
    <t xml:space="preserve">Rt BE Prosthesis    Press button has Fixed  with Straps  &amp; Provided Stockinette  1 pice  </t>
  </si>
  <si>
    <t>P050</t>
  </si>
  <si>
    <t>Jigani, Bangalore, Bangalore, 560105</t>
  </si>
  <si>
    <t xml:space="preserve">Gloves has been changed </t>
  </si>
  <si>
    <t>P051</t>
  </si>
  <si>
    <t xml:space="preserve">cosmetic gloves has been changed </t>
  </si>
  <si>
    <t>P052</t>
  </si>
  <si>
    <t>Jigani, Anekal, Bangalore</t>
  </si>
  <si>
    <t>Lt- cosmetic (gloves?) changed</t>
  </si>
  <si>
    <t>P053</t>
  </si>
  <si>
    <t>Rajarajeshwarinagar, Bangalore</t>
  </si>
  <si>
    <t>harness cable changed</t>
  </si>
  <si>
    <t>P054</t>
  </si>
  <si>
    <t>hassan, karnataka</t>
  </si>
  <si>
    <t>Terminal device attachment changed</t>
  </si>
  <si>
    <t>P055</t>
  </si>
  <si>
    <t>Bannerghatta, Bangalore</t>
  </si>
  <si>
    <t>Transradial &amp; transhumeral</t>
  </si>
  <si>
    <t>Bilateral</t>
  </si>
  <si>
    <t>control cable and gloves changed</t>
  </si>
  <si>
    <t>P056</t>
  </si>
  <si>
    <t>Bangalore</t>
  </si>
  <si>
    <t>P057</t>
  </si>
  <si>
    <t>Tumkur</t>
  </si>
  <si>
    <t>elbow hinge changed</t>
  </si>
  <si>
    <t>P058</t>
  </si>
  <si>
    <t>P059</t>
  </si>
  <si>
    <t>RAJAMUNDRY, A.P.</t>
  </si>
  <si>
    <t>gloves, elbow control cable changed</t>
  </si>
  <si>
    <t>Minor &amp; Major</t>
  </si>
  <si>
    <t>P060</t>
  </si>
  <si>
    <t>control cable changed</t>
  </si>
  <si>
    <t>P061</t>
  </si>
  <si>
    <t>Shrirangapattana, Mandya, 571607</t>
  </si>
  <si>
    <t xml:space="preserve">Rt Wrist Disarticualtion prosthesis Harness system and Cable changed </t>
  </si>
  <si>
    <t>Major &amp; Major</t>
  </si>
  <si>
    <t>P062</t>
  </si>
  <si>
    <t xml:space="preserve">Palasamudram  (post) Chittoor </t>
  </si>
  <si>
    <t>P063</t>
  </si>
  <si>
    <t>Kizhattumannill Melattur  Malapuram, Tirur, Mallapuram, 679326</t>
  </si>
  <si>
    <t>They brought new gloves - fitting  done</t>
  </si>
  <si>
    <t>P064</t>
  </si>
  <si>
    <t>Control cable &amp; gloves changed</t>
  </si>
  <si>
    <t>Minor &amp; minor</t>
  </si>
  <si>
    <t>P065</t>
  </si>
  <si>
    <t>P066</t>
  </si>
  <si>
    <t>Terminal device repair done</t>
  </si>
  <si>
    <t>P067</t>
  </si>
  <si>
    <t>Jai Kissan Agro Industrei Old Check Post Gubbi, Gubbi, Tumkur, 572101</t>
  </si>
  <si>
    <t>Elbow joint changed, harness changed, cable system changed &amp; gloves changed</t>
  </si>
  <si>
    <t>Major, major, minor &amp; minor</t>
  </si>
  <si>
    <t>P068</t>
  </si>
  <si>
    <t>Terminal device, elbow unit and control cable  changed</t>
  </si>
  <si>
    <t>Major, major &amp; Minor</t>
  </si>
  <si>
    <t>P069</t>
  </si>
  <si>
    <t>Jai Kissan Agro Industrei Old Check Post Gubbi Tumkur-572101</t>
  </si>
  <si>
    <t>Terminal device changed</t>
  </si>
  <si>
    <t>P070</t>
  </si>
  <si>
    <t>Screw changed</t>
  </si>
  <si>
    <t>P071</t>
  </si>
  <si>
    <t>Terminal device recoil spring changed</t>
  </si>
  <si>
    <t>P072</t>
  </si>
  <si>
    <t>Major &amp; minor</t>
  </si>
  <si>
    <t>P073</t>
  </si>
  <si>
    <t>Straps changed</t>
  </si>
  <si>
    <t>P074</t>
  </si>
  <si>
    <t>elbow unit control cable changed</t>
  </si>
  <si>
    <t>P075</t>
  </si>
  <si>
    <t>elbow &amp; wrist joint realingnment done</t>
  </si>
  <si>
    <t>P076</t>
  </si>
  <si>
    <t>#770 1at Cross Kamatagari Mandimohalla Mysore , Nanjangud, Mysore</t>
  </si>
  <si>
    <t>Socket repaired</t>
  </si>
  <si>
    <t>P077</t>
  </si>
  <si>
    <t>adjustment of control cable -general follow up done</t>
  </si>
  <si>
    <t>P078</t>
  </si>
  <si>
    <t xml:space="preserve">Rt gloves changed </t>
  </si>
  <si>
    <t>P079</t>
  </si>
  <si>
    <t xml:space="preserve">Rt BE Prosthesis  Cable has been changed </t>
  </si>
  <si>
    <t>P080</t>
  </si>
  <si>
    <t xml:space="preserve"> Prosthetic socket tightened</t>
  </si>
  <si>
    <t>P081</t>
  </si>
  <si>
    <t>#770 1st cross Kamtagari Mandi mohalla Mysore</t>
  </si>
  <si>
    <t xml:space="preserve">cosmetic laminated  Gloves  </t>
  </si>
  <si>
    <t>P082</t>
  </si>
  <si>
    <t>Kurnool ishalavil andrapradesh</t>
  </si>
  <si>
    <t>P083</t>
  </si>
  <si>
    <t>#346 Rajapuram Sidha Road 7th Cross  Lngarajpuram, Bangalore, Bangalore, 560038</t>
  </si>
  <si>
    <t xml:space="preserve">control Cable changed  </t>
  </si>
  <si>
    <t>P084</t>
  </si>
  <si>
    <t>elbow control cable changed</t>
  </si>
  <si>
    <t>P085</t>
  </si>
  <si>
    <t>Chikkamulagudan, Mandya, Mandya, 571401</t>
  </si>
  <si>
    <t>Rt Trans Radial Prosthesis</t>
  </si>
  <si>
    <t>New device</t>
  </si>
  <si>
    <t>P086</t>
  </si>
  <si>
    <t>Chikkamulagudan, Bangalore, Mandya, 571401</t>
  </si>
  <si>
    <t>Change of cosmetic  gloves and suspension</t>
  </si>
  <si>
    <t>P087</t>
  </si>
  <si>
    <t>Chikkamangalore Anasle post Malavalli taluk Mandya</t>
  </si>
  <si>
    <t>Gloves Changed</t>
  </si>
  <si>
    <t>P088</t>
  </si>
  <si>
    <t>P089</t>
  </si>
  <si>
    <t>Krishnagiri, TN</t>
  </si>
  <si>
    <t>P090</t>
  </si>
  <si>
    <t>#1-20 Main Bazeer Tharigounnda Gurramkomda, Madanapalli, Chittoor, 515291</t>
  </si>
  <si>
    <t xml:space="preserve">Rt BE Prosthesis Gloves  changed  </t>
  </si>
  <si>
    <t>P091</t>
  </si>
  <si>
    <t>#27, 4th Cross, 7th Main Muniyappa Layout Garoboovipalya, Bangalore, Bangalore, 560058</t>
  </si>
  <si>
    <t xml:space="preserve"> Lt BE  prosthesis Alimico Gloves has changed </t>
  </si>
  <si>
    <t>P092</t>
  </si>
  <si>
    <t>Harness changed</t>
  </si>
  <si>
    <t>P093</t>
  </si>
  <si>
    <t>#149, Wada No-12, Hulageri Bana, Laxmeshwar, Shirahatti, Gadag, 582116</t>
  </si>
  <si>
    <t>Lt AE Elbow joint unit repaired</t>
  </si>
  <si>
    <t>P094</t>
  </si>
  <si>
    <t>Gadag</t>
  </si>
  <si>
    <t>P095</t>
  </si>
  <si>
    <t>Hosahalli main road padarayana pura , Bangalore, Bangalore</t>
  </si>
  <si>
    <t>cosmetic  gloves repair done</t>
  </si>
  <si>
    <t>P096</t>
  </si>
  <si>
    <t>axilla pad given</t>
  </si>
  <si>
    <t>P097</t>
  </si>
  <si>
    <t>P098</t>
  </si>
  <si>
    <t>P099</t>
  </si>
  <si>
    <t xml:space="preserve">re-riveting of suspension done </t>
  </si>
  <si>
    <t>Vivekananda nagar , Near new bus stand Hangal Tq, Hangal, Haveri</t>
  </si>
  <si>
    <t>Lt AE Prosthesis  Cosmetic glove changed</t>
  </si>
  <si>
    <t>Lt AE Prosthesis  Fixation screw tightened, harness restitched</t>
  </si>
  <si>
    <t>Rayachuru dist</t>
  </si>
  <si>
    <t>Padding done in  socket</t>
  </si>
  <si>
    <t>Chittor dist</t>
  </si>
  <si>
    <t>Kodagu</t>
  </si>
  <si>
    <t>Kolar</t>
  </si>
  <si>
    <t>Gloves and Harness changed</t>
  </si>
  <si>
    <t>#358  Dommathamari , Pavagada, Tumkur, 561202</t>
  </si>
  <si>
    <t xml:space="preserve">Lt BE Prosthesis  gloves has been changed  welding done in foresrm shell &amp; padding has  done </t>
  </si>
  <si>
    <t>Minor, minor &amp; minor</t>
  </si>
  <si>
    <t xml:space="preserve">Changed cosmetic laminated gloves </t>
  </si>
  <si>
    <t>minor</t>
  </si>
  <si>
    <t>Krishna, Krishna, Andrapradesh 520013</t>
  </si>
  <si>
    <t xml:space="preserve">Rt Side Cable  changed </t>
  </si>
  <si>
    <t>B-L Harness Cable Control System</t>
  </si>
  <si>
    <t>Krishna, Krishna,Andhra Pradesh  520013</t>
  </si>
  <si>
    <t>Rt BE Prosthesis socket trimming done</t>
  </si>
  <si>
    <t>Krishna, Krishna,  Andrapradesh520013</t>
  </si>
  <si>
    <t>Harness Control Cable changed</t>
  </si>
  <si>
    <t xml:space="preserve">Rt Side control Cable  changed </t>
  </si>
  <si>
    <t>Harness repair done</t>
  </si>
  <si>
    <t xml:space="preserve"> Prosthesis harness repair has been done </t>
  </si>
  <si>
    <t>wrist unit changed</t>
  </si>
  <si>
    <t>Basaralu, Mandya</t>
  </si>
  <si>
    <t>crossbar assembly changed</t>
  </si>
  <si>
    <t>#100, 5th cross, Kransree Layout, Meddahalli(P) Veeragonagar, Bangalore, Bangalore, 560049</t>
  </si>
  <si>
    <t>socket changed and new gloves provided</t>
  </si>
  <si>
    <t xml:space="preserve"> repair of prosthesis harness restiching</t>
  </si>
  <si>
    <t>suspension straps changed</t>
  </si>
  <si>
    <t>#24,Jadrayuv towers, ,NGRF Indranagar post,Bangalore:-38</t>
  </si>
  <si>
    <t xml:space="preserve">Bangalore, </t>
  </si>
  <si>
    <t>F-1 Gold Platz Apt #26 Glellington street Richmon town, Bangalore, Bangalore</t>
  </si>
  <si>
    <t>Lt AE Prosthesis repair done</t>
  </si>
  <si>
    <t>socket changed</t>
  </si>
  <si>
    <t>elbow joint repair done</t>
  </si>
  <si>
    <t>cosmetic (wrist disarticulation)</t>
  </si>
  <si>
    <t>Balasamudra villege, Vallur post, Pavagada Tq, Tumkur dist</t>
  </si>
  <si>
    <t>Lt- cosmetic laminated (shell) changed</t>
  </si>
  <si>
    <t>#119 KAilash Apt #152 compound 8th main Malleshwaram , Bangalore, Bangalore, 560003</t>
  </si>
  <si>
    <t xml:space="preserve">Rt BE Prosthesis Straps  changed </t>
  </si>
  <si>
    <t>Hospet</t>
  </si>
  <si>
    <t>Kannur, Kerala</t>
  </si>
  <si>
    <t>Koppal, Koppal, 583231</t>
  </si>
  <si>
    <t>Rt Gloves changed</t>
  </si>
  <si>
    <t>Ramanagara dist</t>
  </si>
  <si>
    <t>Tirupur</t>
  </si>
  <si>
    <t>inner hand shell, gloves changed</t>
  </si>
  <si>
    <t>Inner hand shell, gloves changed</t>
  </si>
  <si>
    <t>#21, J R Gradeen Near to  Chanadapura, Bangalore, Bangalore</t>
  </si>
  <si>
    <t>Harness Strap Restitched   Extra piece  Axilla  pad  Required</t>
  </si>
  <si>
    <t>GUBBBI GATE, TUMKUR</t>
  </si>
  <si>
    <t>wrist unit relamination done</t>
  </si>
  <si>
    <t xml:space="preserve">Tippasandra, bangalore </t>
  </si>
  <si>
    <t xml:space="preserve">C.V.Ramangar, bangalore </t>
  </si>
  <si>
    <t>Harness straps changed</t>
  </si>
  <si>
    <t xml:space="preserve"> C Hosur, Srinivaspur, Kolar</t>
  </si>
  <si>
    <t>cosmetic laminated Gloves changed</t>
  </si>
  <si>
    <t>Shankurabundi(at),Raichur (distic)</t>
  </si>
  <si>
    <t>Andhrapradesh</t>
  </si>
  <si>
    <t>cosmetic (shoulder disarticulation)</t>
  </si>
  <si>
    <t>Gloves and suspension straps changed</t>
  </si>
  <si>
    <t>Elbow unit repair done</t>
  </si>
  <si>
    <t>Bangarpt, Kolar</t>
  </si>
  <si>
    <t>terminal device &amp; harness changed</t>
  </si>
  <si>
    <t>Major &amp; major</t>
  </si>
  <si>
    <t>Bangarapet, Kolar, 563162</t>
  </si>
  <si>
    <t>Rt BE Prosthesis O-ring changed, (axilla) padding done</t>
  </si>
  <si>
    <t xml:space="preserve">Rt BE Prosthesis  Harness fixation done </t>
  </si>
  <si>
    <t>Rt BE Prosthesis Flexible hing has been changed</t>
  </si>
  <si>
    <t xml:space="preserve">suspension Harness fixation done </t>
  </si>
  <si>
    <t>Strap &amp; Dring has to be change</t>
  </si>
  <si>
    <t>Gloves and straps changed</t>
  </si>
  <si>
    <t>#686,Sirinivas,3rd main road, Bangalore</t>
  </si>
  <si>
    <t>Body powered (shoulder disarticulation)</t>
  </si>
  <si>
    <t>wrist unit and gloves changed</t>
  </si>
  <si>
    <t>Benakanahalli Reddy Halli  Tumkur-572101</t>
  </si>
  <si>
    <t>Tricep pad and control cable changed</t>
  </si>
  <si>
    <t>Tricep pad changed</t>
  </si>
  <si>
    <t>1321/3   Begur Road Devanachikkanahalli, Bangalore, Bangalore, 560068</t>
  </si>
  <si>
    <t>Rt  BE prosthesis gloves changed -</t>
  </si>
  <si>
    <t>Filler and gloves replaced</t>
  </si>
  <si>
    <t>G.M. Street, Monnankanakeri, malavalli Town, Mandya</t>
  </si>
  <si>
    <t>Tippesandra, Bangalore</t>
  </si>
  <si>
    <t>No-452, Karnataka Staff Human Rights Trust, B.G Road, Bangalore</t>
  </si>
  <si>
    <t>socket &amp; gloves changed</t>
  </si>
  <si>
    <t>SD Sample</t>
  </si>
  <si>
    <t>SD Population</t>
  </si>
  <si>
    <t>Max</t>
  </si>
  <si>
    <t>Min</t>
  </si>
  <si>
    <t>Time since amputation</t>
  </si>
  <si>
    <t>Date of prosthetic fitting - date of amputation (yrs)</t>
  </si>
  <si>
    <t>Duration of maintenance recorded</t>
  </si>
  <si>
    <t>Average time between visits.</t>
  </si>
  <si>
    <t>Average time to first fitting</t>
  </si>
  <si>
    <t>#446, 1st Stage, 2nd  Cross Indiranagar, Bangalore, Bangalore, 560038</t>
  </si>
  <si>
    <t>passive</t>
  </si>
  <si>
    <t>0-5 years</t>
  </si>
  <si>
    <t>Patients with a first fitting before the recorded period</t>
  </si>
  <si>
    <t>5-10 years</t>
  </si>
  <si>
    <t>10-15 years</t>
  </si>
  <si>
    <t>15-20 years</t>
  </si>
  <si>
    <t>shoulder disarticulation</t>
  </si>
  <si>
    <t>20-25 years</t>
  </si>
  <si>
    <t>Ref No.</t>
  </si>
  <si>
    <t>Patient repair ID</t>
  </si>
  <si>
    <t>Name</t>
  </si>
  <si>
    <t>Age</t>
  </si>
  <si>
    <t>Address</t>
  </si>
  <si>
    <t>Side of amputation</t>
  </si>
  <si>
    <t>Level of amputation</t>
  </si>
  <si>
    <t>Date of first prosthesis</t>
  </si>
  <si>
    <t xml:space="preserve">Date of Measurement </t>
  </si>
  <si>
    <r>
      <rPr>
        <b/>
        <sz val="11"/>
        <rFont val="Cambria"/>
        <family val="2"/>
      </rPr>
      <t>Trial Date</t>
    </r>
  </si>
  <si>
    <r>
      <rPr>
        <b/>
        <sz val="11"/>
        <rFont val="Cambria"/>
        <family val="2"/>
      </rPr>
      <t>Date Of Delivery</t>
    </r>
  </si>
  <si>
    <t>Type of prosthesis</t>
  </si>
  <si>
    <t>Type of terminal device</t>
  </si>
  <si>
    <r>
      <rPr>
        <b/>
        <sz val="11"/>
        <rFont val="Cambria"/>
        <family val="2"/>
      </rPr>
      <t>Cost of Appliances</t>
    </r>
  </si>
  <si>
    <r>
      <rPr>
        <b/>
        <sz val="11"/>
        <rFont val="Cambria"/>
        <family val="2"/>
      </rPr>
      <t>Contribution Agreed</t>
    </r>
  </si>
  <si>
    <t>Percentage of contribution agreed vs cost of appliance</t>
  </si>
  <si>
    <r>
      <rPr>
        <b/>
        <sz val="11"/>
        <rFont val="Cambria"/>
        <family val="2"/>
      </rPr>
      <t>Contribution Paid</t>
    </r>
  </si>
  <si>
    <r>
      <rPr>
        <b/>
        <sz val="11"/>
        <rFont val="Cambria"/>
        <family val="2"/>
      </rPr>
      <t xml:space="preserve">Donor </t>
    </r>
  </si>
  <si>
    <r>
      <rPr>
        <b/>
        <sz val="11"/>
        <rFont val="Cambria"/>
        <family val="2"/>
      </rPr>
      <t>Nature of Service</t>
    </r>
  </si>
  <si>
    <t>Minimum Repair time (hrs)</t>
  </si>
  <si>
    <t>Minimum visit time (hrs)</t>
  </si>
  <si>
    <t>MIB040500043</t>
  </si>
  <si>
    <t>K B Nagaraja</t>
  </si>
  <si>
    <t>Srinivaspur, Kolar, 563135</t>
  </si>
  <si>
    <t>10/08/2017</t>
  </si>
  <si>
    <t>21/08/2017</t>
  </si>
  <si>
    <t>30/08/2017</t>
  </si>
  <si>
    <t>Passive</t>
  </si>
  <si>
    <t>FULL</t>
  </si>
  <si>
    <t>46</t>
  </si>
  <si>
    <t>Body-powered</t>
  </si>
  <si>
    <t>MIB101100004</t>
  </si>
  <si>
    <t>MD Sulaiman Irshad</t>
  </si>
  <si>
    <t>27/08/2019</t>
  </si>
  <si>
    <t>26/09/2019</t>
  </si>
  <si>
    <t>07/10/2019</t>
  </si>
  <si>
    <t>MIB111200049</t>
  </si>
  <si>
    <t>Anjineyalu R</t>
  </si>
  <si>
    <t>21/02/2017</t>
  </si>
  <si>
    <t>23/02/2017</t>
  </si>
  <si>
    <t>09/03/2017</t>
  </si>
  <si>
    <t>ICRC INDIA</t>
  </si>
  <si>
    <t>SUB</t>
  </si>
  <si>
    <t>MIB121300037</t>
  </si>
  <si>
    <t>Moulali</t>
  </si>
  <si>
    <t>16/09/2016</t>
  </si>
  <si>
    <t>23/09/2016</t>
  </si>
  <si>
    <t>CBM DS</t>
  </si>
  <si>
    <t>MIB121300178</t>
  </si>
  <si>
    <t>K Seshadri</t>
  </si>
  <si>
    <t>17/01/2019</t>
  </si>
  <si>
    <t>05/02/2019</t>
  </si>
  <si>
    <t>MIB121300189</t>
  </si>
  <si>
    <t>K A M Meeran</t>
  </si>
  <si>
    <t>17/07/2019</t>
  </si>
  <si>
    <t>18/07/2019</t>
  </si>
  <si>
    <t>19/07/2019</t>
  </si>
  <si>
    <t>MIB151600115</t>
  </si>
  <si>
    <t>Arun Kumar K K</t>
  </si>
  <si>
    <t>#263 Kadavina kottai Kempe gowda , Holenarsipur, Hassan</t>
  </si>
  <si>
    <t>07/09/2016</t>
  </si>
  <si>
    <t>20/09/2016</t>
  </si>
  <si>
    <t>47</t>
  </si>
  <si>
    <t>MIB161700079</t>
  </si>
  <si>
    <t>Syed soudh</t>
  </si>
  <si>
    <t>04/07/2016</t>
  </si>
  <si>
    <t>04/08/2016</t>
  </si>
  <si>
    <t>MIB161700165</t>
  </si>
  <si>
    <t>Shariff</t>
  </si>
  <si>
    <t>04/03/2021</t>
  </si>
  <si>
    <t>12/03/2021</t>
  </si>
  <si>
    <t>19/03/2021</t>
  </si>
  <si>
    <t>MIB161700206</t>
  </si>
  <si>
    <t>Chandra Shekar</t>
  </si>
  <si>
    <t>19/01/2021</t>
  </si>
  <si>
    <t>25/01/2021</t>
  </si>
  <si>
    <t>29/01/2021</t>
  </si>
  <si>
    <t>13-14/493</t>
  </si>
  <si>
    <t>Chandrashekar M</t>
  </si>
  <si>
    <t>#77Q,1st cross,Kamatagari, Mandimohalla,Mysore</t>
  </si>
  <si>
    <t>NA</t>
  </si>
  <si>
    <t>MIB161700888</t>
  </si>
  <si>
    <t>Murugesan Ananthan</t>
  </si>
  <si>
    <t>20/10/2016</t>
  </si>
  <si>
    <t>04/11/2016</t>
  </si>
  <si>
    <t>16/11/2016</t>
  </si>
  <si>
    <t>MIB161700965</t>
  </si>
  <si>
    <t>Prashanth B kalal</t>
  </si>
  <si>
    <t>25/11/2016</t>
  </si>
  <si>
    <t>21/06/2017</t>
  </si>
  <si>
    <t>07/11/2017</t>
  </si>
  <si>
    <t>P053 (check age &amp; date of file)</t>
  </si>
  <si>
    <t>Prashant B Kalal</t>
  </si>
  <si>
    <t>Vivekanandanagar Hangal Haveri dist</t>
  </si>
  <si>
    <t>MIB161701432</t>
  </si>
  <si>
    <t>K S Nanjegowda</t>
  </si>
  <si>
    <t>10/01/2018</t>
  </si>
  <si>
    <t>01/02/2018</t>
  </si>
  <si>
    <t>06/02/2018</t>
  </si>
  <si>
    <t>MIB161701893</t>
  </si>
  <si>
    <t>Jaideep Jonnadula</t>
  </si>
  <si>
    <t>28/11/2018</t>
  </si>
  <si>
    <t>19/02/2019</t>
  </si>
  <si>
    <t>20/02/2019</t>
  </si>
  <si>
    <t>Bosy powered</t>
  </si>
  <si>
    <t>MIB161702013</t>
  </si>
  <si>
    <t>S Murali Krishna</t>
  </si>
  <si>
    <t>07/09/2017</t>
  </si>
  <si>
    <t>18/09/2017</t>
  </si>
  <si>
    <t>09/11/2017</t>
  </si>
  <si>
    <t>MIB161702143</t>
  </si>
  <si>
    <t>Gopinath N</t>
  </si>
  <si>
    <t>03/03/2018</t>
  </si>
  <si>
    <t>20/03/2018</t>
  </si>
  <si>
    <t>06/06/2018</t>
  </si>
  <si>
    <t>MIB171800267</t>
  </si>
  <si>
    <t>Siddaraju</t>
  </si>
  <si>
    <t>07/09/2018</t>
  </si>
  <si>
    <t>11/10/2018</t>
  </si>
  <si>
    <t>21/03/2019</t>
  </si>
  <si>
    <t>MIB171800638</t>
  </si>
  <si>
    <t>G Sakthi Sanjeeva Kumar</t>
  </si>
  <si>
    <t>13/08/2018</t>
  </si>
  <si>
    <t>12/09/2018</t>
  </si>
  <si>
    <t>23/10/2018</t>
  </si>
  <si>
    <t>MIB171800885</t>
  </si>
  <si>
    <t>H L Surya Narayana</t>
  </si>
  <si>
    <t>19/07/2017</t>
  </si>
  <si>
    <t>06/09/2017</t>
  </si>
  <si>
    <t>MIB171801695</t>
  </si>
  <si>
    <t>Prathap</t>
  </si>
  <si>
    <t>21/11/2017</t>
  </si>
  <si>
    <t>MIB181901216</t>
  </si>
  <si>
    <t>Jeevan S</t>
  </si>
  <si>
    <t>14/09/2018</t>
  </si>
  <si>
    <t>22/09/2018</t>
  </si>
  <si>
    <t>10/10/2018</t>
  </si>
  <si>
    <t>1938/2006</t>
  </si>
  <si>
    <t>P062 (check age and date of file)</t>
  </si>
  <si>
    <t>C-B- Shridhar</t>
  </si>
  <si>
    <t>Chikkaballi villege &amp; post, Basaralu, Mandya</t>
  </si>
  <si>
    <t>P094 (check age &amp; date of file)</t>
  </si>
  <si>
    <t>Raj Gopal</t>
  </si>
  <si>
    <t>Benakanahalli Village, Reddy halli post, Tumkur dist</t>
  </si>
  <si>
    <t>P080 (check age &amp; date of file)</t>
  </si>
  <si>
    <t>Gopal Mohapatara</t>
  </si>
  <si>
    <t>Jublee Mansion, New Tippasandra, Bangalore</t>
  </si>
  <si>
    <t>1881/12-13</t>
  </si>
  <si>
    <t>P045 (check age and date of file)</t>
  </si>
  <si>
    <t>Vinay kumar</t>
  </si>
  <si>
    <t>Chikkamulagudm Anasale post Malavalli taluk Mandya Dist</t>
  </si>
  <si>
    <t>13-14/376</t>
  </si>
  <si>
    <t>P043 (check age and dates)</t>
  </si>
  <si>
    <t>B Vijaya Kumar</t>
  </si>
  <si>
    <t>Kurnool dist,Iskalavil,A-P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</si>
</sst>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₹&quot;\ * #,##0.00_ ;_ &quot;₹&quot;\ * \-#,##0.00_ ;_ &quot;₹&quot;\ * &quot;-&quot;??_ ;_ @_ "/>
    <numFmt numFmtId="165" formatCode="yyyy"/>
    <numFmt numFmtId="166" formatCode="mmmm"/>
    <numFmt numFmtId="167" formatCode="&quot;₹&quot;\ #,##0.00"/>
    <numFmt numFmtId="168" formatCode="_ [$₹-4009]\ * #,##0.00_ ;_ [$₹-4009]\ * \-#,##0.00_ ;_ [$₹-4009]\ * &quot;-&quot;??_ ;_ @_ "/>
    <numFmt numFmtId="169" formatCode="[$-14009]dd/mm/yyyy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sz val="10"/>
      <color indexed="8"/>
      <name val="SansSerif"/>
    </font>
    <font>
      <b/>
      <sz val="11"/>
      <name val="Cambria"/>
      <family val="2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ansSerif"/>
      <family val="2"/>
    </font>
    <font>
      <sz val="10"/>
      <color theme="1"/>
      <name val="Calibri"/>
      <family val="2"/>
    </font>
    <font>
      <sz val="10"/>
      <color theme="1"/>
      <name val="Arial Unicode MS"/>
    </font>
    <font>
      <b/>
      <sz val="11"/>
      <color rgb="FF000000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1"/>
      <name val="Cambria"/>
      <family val="2"/>
      <scheme val="maj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6" fillId="2" borderId="40" applyNumberFormat="0" applyAlignment="0" applyProtection="0"/>
    <xf numFmtId="0" fontId="1" fillId="0" borderId="0"/>
  </cellStyleXfs>
  <cellXfs count="417">
    <xf numFmtId="0" fontId="0" fillId="0" borderId="0" xfId="0"/>
    <xf numFmtId="14" fontId="7" fillId="0" borderId="1" xfId="0" applyNumberFormat="1" applyFont="1" applyBorder="1" applyAlignment="1">
      <alignment horizontal="left" vertical="top" wrapText="1"/>
    </xf>
    <xf numFmtId="14" fontId="7" fillId="0" borderId="2" xfId="0" applyNumberFormat="1" applyFont="1" applyBorder="1" applyAlignment="1">
      <alignment horizontal="left" vertical="top" wrapText="1"/>
    </xf>
    <xf numFmtId="14" fontId="7" fillId="0" borderId="3" xfId="0" applyNumberFormat="1" applyFont="1" applyBorder="1" applyAlignment="1">
      <alignment horizontal="left" vertical="top" wrapText="1"/>
    </xf>
    <xf numFmtId="14" fontId="7" fillId="0" borderId="4" xfId="0" applyNumberFormat="1" applyFont="1" applyBorder="1" applyAlignment="1">
      <alignment horizontal="left" vertical="top" wrapText="1"/>
    </xf>
    <xf numFmtId="14" fontId="7" fillId="0" borderId="5" xfId="0" applyNumberFormat="1" applyFont="1" applyBorder="1" applyAlignment="1">
      <alignment horizontal="left" vertical="top" wrapText="1"/>
    </xf>
    <xf numFmtId="14" fontId="7" fillId="0" borderId="6" xfId="0" applyNumberFormat="1" applyFont="1" applyBorder="1" applyAlignment="1">
      <alignment horizontal="left" vertical="top" wrapText="1"/>
    </xf>
    <xf numFmtId="14" fontId="7" fillId="0" borderId="7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7" fillId="0" borderId="8" xfId="0" applyNumberFormat="1" applyFont="1" applyBorder="1" applyAlignment="1">
      <alignment horizontal="left" vertical="top" wrapText="1"/>
    </xf>
    <xf numFmtId="14" fontId="8" fillId="0" borderId="1" xfId="0" applyNumberFormat="1" applyFont="1" applyBorder="1" applyAlignment="1">
      <alignment horizontal="left" vertical="top" wrapText="1"/>
    </xf>
    <xf numFmtId="1" fontId="9" fillId="2" borderId="9" xfId="1" applyNumberFormat="1" applyFont="1" applyBorder="1" applyAlignment="1">
      <alignment horizontal="left" vertical="top" wrapText="1"/>
    </xf>
    <xf numFmtId="0" fontId="9" fillId="2" borderId="9" xfId="1" applyFont="1" applyBorder="1" applyAlignment="1">
      <alignment horizontal="left" vertical="top" wrapText="1"/>
    </xf>
    <xf numFmtId="0" fontId="9" fillId="3" borderId="9" xfId="1" applyFont="1" applyFill="1" applyBorder="1" applyAlignment="1">
      <alignment horizontal="left" vertical="top" wrapText="1"/>
    </xf>
    <xf numFmtId="14" fontId="9" fillId="2" borderId="9" xfId="1" applyNumberFormat="1" applyFont="1" applyBorder="1" applyAlignment="1">
      <alignment horizontal="left" vertical="top" wrapText="1"/>
    </xf>
    <xf numFmtId="0" fontId="10" fillId="4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14" fontId="12" fillId="0" borderId="4" xfId="0" applyNumberFormat="1" applyFont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 wrapText="1"/>
    </xf>
    <xf numFmtId="14" fontId="12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3" fillId="0" borderId="42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14" fontId="7" fillId="0" borderId="43" xfId="0" applyNumberFormat="1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5" xfId="0" applyNumberFormat="1" applyFont="1" applyBorder="1" applyAlignment="1">
      <alignment horizontal="left" vertical="top" wrapText="1"/>
    </xf>
    <xf numFmtId="0" fontId="13" fillId="0" borderId="41" xfId="0" applyFont="1" applyBorder="1" applyAlignment="1">
      <alignment horizontal="left" vertical="top" wrapText="1"/>
    </xf>
    <xf numFmtId="14" fontId="7" fillId="0" borderId="16" xfId="0" applyNumberFormat="1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14" fontId="13" fillId="0" borderId="1" xfId="0" applyNumberFormat="1" applyFont="1" applyBorder="1" applyAlignment="1">
      <alignment horizontal="left" vertical="top" wrapText="1"/>
    </xf>
    <xf numFmtId="165" fontId="7" fillId="0" borderId="1" xfId="0" applyNumberFormat="1" applyFont="1" applyBorder="1" applyAlignment="1">
      <alignment horizontal="left" vertical="top" wrapText="1"/>
    </xf>
    <xf numFmtId="165" fontId="7" fillId="0" borderId="3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14" fontId="12" fillId="0" borderId="6" xfId="0" applyNumberFormat="1" applyFont="1" applyBorder="1" applyAlignment="1">
      <alignment horizontal="left" vertical="top" wrapText="1"/>
    </xf>
    <xf numFmtId="14" fontId="12" fillId="0" borderId="9" xfId="0" applyNumberFormat="1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14" fontId="8" fillId="0" borderId="6" xfId="2" applyNumberFormat="1" applyFont="1" applyBorder="1" applyAlignment="1">
      <alignment horizontal="left" vertical="top" wrapText="1"/>
    </xf>
    <xf numFmtId="14" fontId="12" fillId="0" borderId="5" xfId="0" applyNumberFormat="1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9" fillId="3" borderId="1" xfId="0" applyNumberFormat="1" applyFont="1" applyFill="1" applyBorder="1" applyAlignment="1">
      <alignment horizontal="left" vertical="top"/>
    </xf>
    <xf numFmtId="0" fontId="12" fillId="0" borderId="18" xfId="0" applyFont="1" applyBorder="1" applyAlignment="1">
      <alignment horizontal="left" vertical="top" wrapText="1"/>
    </xf>
    <xf numFmtId="166" fontId="12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 wrapText="1"/>
    </xf>
    <xf numFmtId="14" fontId="0" fillId="0" borderId="27" xfId="0" applyNumberFormat="1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14" fontId="0" fillId="0" borderId="23" xfId="0" applyNumberFormat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0" fillId="4" borderId="29" xfId="0" applyFont="1" applyFill="1" applyBorder="1" applyAlignment="1">
      <alignment horizontal="left" vertical="top"/>
    </xf>
    <xf numFmtId="0" fontId="10" fillId="4" borderId="30" xfId="0" applyFont="1" applyFill="1" applyBorder="1" applyAlignment="1">
      <alignment horizontal="left" vertical="top"/>
    </xf>
    <xf numFmtId="168" fontId="9" fillId="2" borderId="9" xfId="1" applyNumberFormat="1" applyFont="1" applyBorder="1" applyAlignment="1">
      <alignment horizontal="left" vertical="top" wrapText="1"/>
    </xf>
    <xf numFmtId="168" fontId="0" fillId="0" borderId="0" xfId="0" applyNumberFormat="1" applyAlignment="1">
      <alignment horizontal="left"/>
    </xf>
    <xf numFmtId="168" fontId="7" fillId="0" borderId="4" xfId="0" applyNumberFormat="1" applyFont="1" applyBorder="1" applyAlignment="1">
      <alignment horizontal="left" vertical="top" wrapText="1"/>
    </xf>
    <xf numFmtId="2" fontId="0" fillId="0" borderId="1" xfId="0" applyNumberForma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168" fontId="7" fillId="0" borderId="18" xfId="0" applyNumberFormat="1" applyFont="1" applyBorder="1" applyAlignment="1">
      <alignment horizontal="left" vertical="top" wrapText="1"/>
    </xf>
    <xf numFmtId="0" fontId="7" fillId="0" borderId="46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14" fontId="12" fillId="0" borderId="8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7" fillId="0" borderId="45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47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7" fillId="0" borderId="44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48" xfId="0" applyFont="1" applyBorder="1" applyAlignment="1">
      <alignment horizontal="left" vertical="top" wrapText="1"/>
    </xf>
    <xf numFmtId="0" fontId="7" fillId="0" borderId="49" xfId="0" applyFont="1" applyBorder="1" applyAlignment="1">
      <alignment horizontal="left" vertical="top" wrapText="1"/>
    </xf>
    <xf numFmtId="0" fontId="14" fillId="0" borderId="50" xfId="0" applyFont="1" applyBorder="1" applyAlignment="1">
      <alignment horizontal="left" wrapText="1"/>
    </xf>
    <xf numFmtId="0" fontId="14" fillId="0" borderId="13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2" fillId="0" borderId="7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5" fillId="0" borderId="6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1" fontId="12" fillId="0" borderId="6" xfId="0" applyNumberFormat="1" applyFont="1" applyBorder="1" applyAlignment="1">
      <alignment horizontal="left" vertical="top" wrapText="1"/>
    </xf>
    <xf numFmtId="1" fontId="12" fillId="0" borderId="6" xfId="0" applyNumberFormat="1" applyFont="1" applyBorder="1" applyAlignment="1">
      <alignment horizontal="left" vertical="top"/>
    </xf>
    <xf numFmtId="1" fontId="12" fillId="0" borderId="4" xfId="0" applyNumberFormat="1" applyFont="1" applyBorder="1" applyAlignment="1">
      <alignment horizontal="left" vertical="top" wrapText="1"/>
    </xf>
    <xf numFmtId="1" fontId="12" fillId="0" borderId="3" xfId="0" applyNumberFormat="1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" fontId="12" fillId="0" borderId="1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4" fontId="8" fillId="0" borderId="6" xfId="0" applyNumberFormat="1" applyFont="1" applyBorder="1" applyAlignment="1">
      <alignment horizontal="left" vertical="top" wrapText="1"/>
    </xf>
    <xf numFmtId="0" fontId="12" fillId="0" borderId="6" xfId="0" applyFont="1" applyBorder="1" applyAlignment="1">
      <alignment vertical="top" wrapText="1"/>
    </xf>
    <xf numFmtId="0" fontId="15" fillId="0" borderId="6" xfId="0" applyFont="1" applyBorder="1"/>
    <xf numFmtId="1" fontId="12" fillId="0" borderId="5" xfId="0" applyNumberFormat="1" applyFont="1" applyBorder="1" applyAlignment="1">
      <alignment horizontal="left" vertical="top" wrapText="1"/>
    </xf>
    <xf numFmtId="1" fontId="12" fillId="0" borderId="5" xfId="0" applyNumberFormat="1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2" fontId="14" fillId="0" borderId="0" xfId="0" applyNumberFormat="1" applyFont="1" applyAlignment="1">
      <alignment horizontal="left" wrapText="1"/>
    </xf>
    <xf numFmtId="168" fontId="7" fillId="0" borderId="1" xfId="0" applyNumberFormat="1" applyFont="1" applyBorder="1" applyAlignment="1">
      <alignment horizontal="left" vertical="top" wrapText="1"/>
    </xf>
    <xf numFmtId="168" fontId="7" fillId="0" borderId="11" xfId="0" applyNumberFormat="1" applyFont="1" applyBorder="1" applyAlignment="1">
      <alignment horizontal="left" vertical="top" wrapText="1"/>
    </xf>
    <xf numFmtId="168" fontId="7" fillId="0" borderId="12" xfId="0" applyNumberFormat="1" applyFont="1" applyBorder="1" applyAlignment="1">
      <alignment horizontal="left" vertical="top" wrapText="1"/>
    </xf>
    <xf numFmtId="168" fontId="7" fillId="0" borderId="13" xfId="0" applyNumberFormat="1" applyFont="1" applyBorder="1" applyAlignment="1">
      <alignment horizontal="left" vertical="top" wrapText="1"/>
    </xf>
    <xf numFmtId="168" fontId="14" fillId="0" borderId="0" xfId="0" applyNumberFormat="1" applyFont="1" applyAlignment="1">
      <alignment horizontal="left" wrapText="1"/>
    </xf>
    <xf numFmtId="168" fontId="7" fillId="0" borderId="0" xfId="0" applyNumberFormat="1" applyFont="1" applyAlignment="1">
      <alignment horizontal="left" vertical="top" wrapText="1"/>
    </xf>
    <xf numFmtId="168" fontId="14" fillId="0" borderId="31" xfId="0" applyNumberFormat="1" applyFont="1" applyBorder="1" applyAlignment="1">
      <alignment horizontal="left" wrapText="1"/>
    </xf>
    <xf numFmtId="168" fontId="14" fillId="0" borderId="4" xfId="0" applyNumberFormat="1" applyFont="1" applyBorder="1" applyAlignment="1">
      <alignment horizontal="left" wrapText="1"/>
    </xf>
    <xf numFmtId="168" fontId="7" fillId="0" borderId="6" xfId="0" applyNumberFormat="1" applyFont="1" applyBorder="1" applyAlignment="1">
      <alignment horizontal="left" vertical="top" wrapText="1"/>
    </xf>
    <xf numFmtId="168" fontId="7" fillId="0" borderId="5" xfId="0" applyNumberFormat="1" applyFont="1" applyBorder="1" applyAlignment="1">
      <alignment horizontal="left" vertical="top" wrapText="1"/>
    </xf>
    <xf numFmtId="168" fontId="14" fillId="0" borderId="6" xfId="0" applyNumberFormat="1" applyFont="1" applyBorder="1" applyAlignment="1">
      <alignment horizontal="left" wrapText="1"/>
    </xf>
    <xf numFmtId="168" fontId="12" fillId="0" borderId="6" xfId="0" applyNumberFormat="1" applyFont="1" applyBorder="1" applyAlignment="1">
      <alignment horizontal="left" vertical="top" wrapText="1"/>
    </xf>
    <xf numFmtId="168" fontId="15" fillId="0" borderId="6" xfId="0" applyNumberFormat="1" applyFont="1" applyBorder="1" applyAlignment="1">
      <alignment horizontal="left" vertical="top"/>
    </xf>
    <xf numFmtId="168" fontId="12" fillId="0" borderId="6" xfId="0" applyNumberFormat="1" applyFont="1" applyBorder="1" applyAlignment="1">
      <alignment horizontal="left" vertical="top"/>
    </xf>
    <xf numFmtId="168" fontId="1" fillId="0" borderId="4" xfId="0" applyNumberFormat="1" applyFont="1" applyBorder="1" applyAlignment="1">
      <alignment horizontal="left" vertical="top" wrapText="1"/>
    </xf>
    <xf numFmtId="168" fontId="1" fillId="0" borderId="6" xfId="0" applyNumberFormat="1" applyFont="1" applyBorder="1" applyAlignment="1">
      <alignment horizontal="left" vertical="top" wrapText="1"/>
    </xf>
    <xf numFmtId="168" fontId="15" fillId="0" borderId="6" xfId="0" applyNumberFormat="1" applyFont="1" applyBorder="1"/>
    <xf numFmtId="168" fontId="7" fillId="0" borderId="3" xfId="0" applyNumberFormat="1" applyFont="1" applyBorder="1" applyAlignment="1">
      <alignment horizontal="left" vertical="top" wrapText="1"/>
    </xf>
    <xf numFmtId="168" fontId="12" fillId="0" borderId="5" xfId="0" applyNumberFormat="1" applyFont="1" applyBorder="1" applyAlignment="1">
      <alignment horizontal="left" vertical="top"/>
    </xf>
    <xf numFmtId="168" fontId="12" fillId="0" borderId="4" xfId="0" applyNumberFormat="1" applyFont="1" applyBorder="1" applyAlignment="1">
      <alignment horizontal="left" vertical="top"/>
    </xf>
    <xf numFmtId="168" fontId="12" fillId="0" borderId="9" xfId="0" applyNumberFormat="1" applyFont="1" applyBorder="1" applyAlignment="1">
      <alignment horizontal="left" vertical="top"/>
    </xf>
    <xf numFmtId="168" fontId="12" fillId="0" borderId="1" xfId="0" applyNumberFormat="1" applyFont="1" applyBorder="1" applyAlignment="1">
      <alignment horizontal="left" vertical="top"/>
    </xf>
    <xf numFmtId="168" fontId="12" fillId="0" borderId="3" xfId="0" applyNumberFormat="1" applyFont="1" applyBorder="1" applyAlignment="1">
      <alignment horizontal="left" vertical="top"/>
    </xf>
    <xf numFmtId="168" fontId="8" fillId="0" borderId="6" xfId="0" applyNumberFormat="1" applyFont="1" applyBorder="1" applyAlignment="1">
      <alignment horizontal="left" vertical="top"/>
    </xf>
    <xf numFmtId="168" fontId="8" fillId="0" borderId="6" xfId="0" applyNumberFormat="1" applyFont="1" applyBorder="1" applyAlignment="1">
      <alignment horizontal="left" vertical="top" wrapText="1"/>
    </xf>
    <xf numFmtId="2" fontId="12" fillId="0" borderId="6" xfId="0" applyNumberFormat="1" applyFont="1" applyBorder="1" applyAlignment="1">
      <alignment horizontal="left" vertical="top"/>
    </xf>
    <xf numFmtId="2" fontId="9" fillId="3" borderId="1" xfId="0" applyNumberFormat="1" applyFont="1" applyFill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/>
    </xf>
    <xf numFmtId="0" fontId="7" fillId="0" borderId="51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top" wrapText="1"/>
    </xf>
    <xf numFmtId="14" fontId="9" fillId="3" borderId="9" xfId="1" applyNumberFormat="1" applyFont="1" applyFill="1" applyBorder="1" applyAlignment="1">
      <alignment horizontal="left" vertical="top" wrapText="1"/>
    </xf>
    <xf numFmtId="14" fontId="0" fillId="0" borderId="0" xfId="0" applyNumberFormat="1"/>
    <xf numFmtId="2" fontId="12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49" fontId="0" fillId="0" borderId="0" xfId="0" applyNumberFormat="1"/>
    <xf numFmtId="0" fontId="9" fillId="2" borderId="9" xfId="1" applyNumberFormat="1" applyFont="1" applyBorder="1" applyAlignment="1">
      <alignment horizontal="left" vertical="top" wrapText="1"/>
    </xf>
    <xf numFmtId="168" fontId="0" fillId="0" borderId="0" xfId="0" applyNumberFormat="1"/>
    <xf numFmtId="2" fontId="9" fillId="3" borderId="32" xfId="0" applyNumberFormat="1" applyFont="1" applyFill="1" applyBorder="1" applyAlignment="1">
      <alignment horizontal="left" vertical="top" wrapText="1"/>
    </xf>
    <xf numFmtId="49" fontId="9" fillId="3" borderId="32" xfId="0" applyNumberFormat="1" applyFont="1" applyFill="1" applyBorder="1" applyAlignment="1">
      <alignment horizontal="left" vertical="top" wrapText="1"/>
    </xf>
    <xf numFmtId="2" fontId="0" fillId="0" borderId="12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13" xfId="0" applyNumberFormat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14" fontId="0" fillId="0" borderId="13" xfId="0" applyNumberFormat="1" applyBorder="1" applyAlignment="1">
      <alignment horizontal="left" vertical="top"/>
    </xf>
    <xf numFmtId="2" fontId="10" fillId="4" borderId="0" xfId="0" applyNumberFormat="1" applyFont="1" applyFill="1" applyAlignment="1">
      <alignment horizontal="left" vertical="top" wrapText="1"/>
    </xf>
    <xf numFmtId="0" fontId="0" fillId="0" borderId="13" xfId="0" applyBorder="1"/>
    <xf numFmtId="0" fontId="7" fillId="0" borderId="18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168" fontId="10" fillId="0" borderId="0" xfId="0" applyNumberFormat="1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8" fontId="0" fillId="0" borderId="1" xfId="0" applyNumberFormat="1" applyBorder="1" applyAlignment="1">
      <alignment horizontal="left" vertical="top" wrapText="1"/>
    </xf>
    <xf numFmtId="168" fontId="0" fillId="0" borderId="10" xfId="0" applyNumberFormat="1" applyBorder="1" applyAlignment="1">
      <alignment horizontal="left" vertical="top" wrapText="1"/>
    </xf>
    <xf numFmtId="168" fontId="0" fillId="0" borderId="4" xfId="0" applyNumberFormat="1" applyBorder="1" applyAlignment="1">
      <alignment horizontal="left" vertical="top" wrapText="1"/>
    </xf>
    <xf numFmtId="168" fontId="0" fillId="0" borderId="11" xfId="0" applyNumberFormat="1" applyBorder="1" applyAlignment="1">
      <alignment horizontal="left" vertical="top" wrapText="1"/>
    </xf>
    <xf numFmtId="168" fontId="0" fillId="0" borderId="0" xfId="0" applyNumberFormat="1" applyAlignment="1">
      <alignment horizontal="left" vertical="top" wrapText="1"/>
    </xf>
    <xf numFmtId="168" fontId="0" fillId="0" borderId="12" xfId="0" applyNumberFormat="1" applyBorder="1" applyAlignment="1">
      <alignment horizontal="left" vertical="top" wrapText="1"/>
    </xf>
    <xf numFmtId="168" fontId="0" fillId="0" borderId="13" xfId="0" applyNumberFormat="1" applyBorder="1" applyAlignment="1">
      <alignment horizontal="left" vertical="top" wrapText="1"/>
    </xf>
    <xf numFmtId="168" fontId="0" fillId="0" borderId="14" xfId="0" applyNumberFormat="1" applyBorder="1" applyAlignment="1">
      <alignment horizontal="left" vertical="top" wrapText="1"/>
    </xf>
    <xf numFmtId="168" fontId="11" fillId="0" borderId="0" xfId="0" applyNumberFormat="1" applyFont="1" applyAlignment="1">
      <alignment horizontal="left" vertical="top" wrapText="1"/>
    </xf>
    <xf numFmtId="168" fontId="0" fillId="0" borderId="6" xfId="0" applyNumberFormat="1" applyBorder="1" applyAlignment="1">
      <alignment horizontal="left" vertical="top" wrapText="1"/>
    </xf>
    <xf numFmtId="168" fontId="0" fillId="0" borderId="3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12" xfId="0" applyNumberFormat="1" applyBorder="1" applyAlignment="1">
      <alignment horizontal="left" vertical="top"/>
    </xf>
    <xf numFmtId="164" fontId="0" fillId="0" borderId="13" xfId="0" applyNumberFormat="1" applyBorder="1" applyAlignment="1">
      <alignment horizontal="left" vertical="top"/>
    </xf>
    <xf numFmtId="168" fontId="0" fillId="0" borderId="1" xfId="0" applyNumberForma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168" fontId="0" fillId="0" borderId="12" xfId="0" applyNumberFormat="1" applyBorder="1" applyAlignment="1">
      <alignment horizontal="left" vertical="top"/>
    </xf>
    <xf numFmtId="168" fontId="0" fillId="0" borderId="13" xfId="0" applyNumberFormat="1" applyBorder="1" applyAlignment="1">
      <alignment horizontal="left" vertical="top"/>
    </xf>
    <xf numFmtId="164" fontId="10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vertical="center"/>
    </xf>
    <xf numFmtId="0" fontId="10" fillId="4" borderId="0" xfId="0" applyFont="1" applyFill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12" fillId="6" borderId="4" xfId="0" applyFont="1" applyFill="1" applyBorder="1" applyAlignment="1">
      <alignment horizontal="left" vertical="top" wrapText="1"/>
    </xf>
    <xf numFmtId="14" fontId="7" fillId="6" borderId="4" xfId="0" applyNumberFormat="1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14" fontId="7" fillId="6" borderId="1" xfId="0" applyNumberFormat="1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left" vertical="top" wrapText="1"/>
    </xf>
    <xf numFmtId="14" fontId="12" fillId="6" borderId="3" xfId="0" applyNumberFormat="1" applyFont="1" applyFill="1" applyBorder="1" applyAlignment="1">
      <alignment horizontal="left" vertical="top" wrapText="1"/>
    </xf>
    <xf numFmtId="0" fontId="17" fillId="0" borderId="44" xfId="0" applyFont="1" applyBorder="1" applyAlignment="1">
      <alignment horizontal="left" vertical="top" wrapText="1"/>
    </xf>
    <xf numFmtId="14" fontId="17" fillId="0" borderId="44" xfId="0" applyNumberFormat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0" borderId="44" xfId="0" applyFont="1" applyBorder="1" applyAlignment="1">
      <alignment horizontal="left" vertical="top" wrapText="1"/>
    </xf>
    <xf numFmtId="49" fontId="18" fillId="0" borderId="44" xfId="0" applyNumberFormat="1" applyFont="1" applyBorder="1" applyAlignment="1">
      <alignment horizontal="left" vertical="top" wrapText="1"/>
    </xf>
    <xf numFmtId="2" fontId="18" fillId="0" borderId="44" xfId="0" applyNumberFormat="1" applyFont="1" applyBorder="1" applyAlignment="1">
      <alignment horizontal="left" vertical="top" wrapText="1"/>
    </xf>
    <xf numFmtId="0" fontId="19" fillId="0" borderId="2" xfId="0" applyFont="1" applyBorder="1" applyAlignment="1">
      <alignment horizontal="left" wrapText="1"/>
    </xf>
    <xf numFmtId="14" fontId="18" fillId="0" borderId="44" xfId="0" applyNumberFormat="1" applyFont="1" applyBorder="1" applyAlignment="1">
      <alignment horizontal="left" vertical="top" wrapText="1"/>
    </xf>
    <xf numFmtId="0" fontId="19" fillId="0" borderId="1" xfId="0" applyFont="1" applyBorder="1" applyAlignment="1">
      <alignment horizontal="left" wrapText="1"/>
    </xf>
    <xf numFmtId="49" fontId="19" fillId="4" borderId="1" xfId="0" applyNumberFormat="1" applyFont="1" applyFill="1" applyBorder="1" applyAlignment="1">
      <alignment horizontal="left" wrapText="1"/>
    </xf>
    <xf numFmtId="2" fontId="19" fillId="0" borderId="1" xfId="0" applyNumberFormat="1" applyFont="1" applyBorder="1" applyAlignment="1">
      <alignment horizontal="left" wrapText="1"/>
    </xf>
    <xf numFmtId="49" fontId="19" fillId="0" borderId="1" xfId="0" applyNumberFormat="1" applyFont="1" applyBorder="1" applyAlignment="1">
      <alignment horizontal="left" vertical="top" wrapText="1"/>
    </xf>
    <xf numFmtId="169" fontId="19" fillId="0" borderId="1" xfId="0" applyNumberFormat="1" applyFont="1" applyBorder="1" applyAlignment="1">
      <alignment horizontal="left" wrapText="1"/>
    </xf>
    <xf numFmtId="1" fontId="19" fillId="4" borderId="1" xfId="0" applyNumberFormat="1" applyFont="1" applyFill="1" applyBorder="1" applyAlignment="1">
      <alignment horizontal="left" wrapText="1"/>
    </xf>
    <xf numFmtId="14" fontId="19" fillId="4" borderId="4" xfId="0" applyNumberFormat="1" applyFont="1" applyFill="1" applyBorder="1" applyAlignment="1">
      <alignment horizontal="left" wrapText="1"/>
    </xf>
    <xf numFmtId="49" fontId="19" fillId="4" borderId="4" xfId="0" applyNumberFormat="1" applyFont="1" applyFill="1" applyBorder="1" applyAlignment="1">
      <alignment horizontal="left" wrapText="1"/>
    </xf>
    <xf numFmtId="2" fontId="19" fillId="4" borderId="4" xfId="0" applyNumberFormat="1" applyFont="1" applyFill="1" applyBorder="1" applyAlignment="1">
      <alignment horizontal="left" wrapText="1"/>
    </xf>
    <xf numFmtId="49" fontId="19" fillId="4" borderId="4" xfId="0" applyNumberFormat="1" applyFont="1" applyFill="1" applyBorder="1" applyAlignment="1">
      <alignment horizontal="left" vertical="top" wrapText="1"/>
    </xf>
    <xf numFmtId="0" fontId="19" fillId="4" borderId="4" xfId="0" applyFont="1" applyFill="1" applyBorder="1" applyAlignment="1">
      <alignment horizontal="left" wrapText="1"/>
    </xf>
    <xf numFmtId="169" fontId="19" fillId="4" borderId="4" xfId="0" applyNumberFormat="1" applyFont="1" applyFill="1" applyBorder="1" applyAlignment="1">
      <alignment horizontal="left" wrapText="1"/>
    </xf>
    <xf numFmtId="0" fontId="20" fillId="0" borderId="1" xfId="0" applyFont="1" applyBorder="1" applyAlignment="1">
      <alignment horizontal="left" wrapText="1"/>
    </xf>
    <xf numFmtId="49" fontId="20" fillId="0" borderId="1" xfId="0" applyNumberFormat="1" applyFont="1" applyBorder="1" applyAlignment="1">
      <alignment horizontal="left" wrapText="1"/>
    </xf>
    <xf numFmtId="2" fontId="20" fillId="0" borderId="1" xfId="0" applyNumberFormat="1" applyFont="1" applyBorder="1" applyAlignment="1">
      <alignment horizontal="left" wrapText="1"/>
    </xf>
    <xf numFmtId="49" fontId="20" fillId="0" borderId="1" xfId="0" applyNumberFormat="1" applyFont="1" applyBorder="1" applyAlignment="1">
      <alignment horizontal="left" vertical="top" wrapText="1"/>
    </xf>
    <xf numFmtId="14" fontId="20" fillId="0" borderId="1" xfId="0" applyNumberFormat="1" applyFont="1" applyBorder="1" applyAlignment="1">
      <alignment horizontal="left" wrapText="1"/>
    </xf>
    <xf numFmtId="169" fontId="20" fillId="0" borderId="1" xfId="0" applyNumberFormat="1" applyFont="1" applyBorder="1" applyAlignment="1">
      <alignment horizontal="left" wrapText="1"/>
    </xf>
    <xf numFmtId="2" fontId="21" fillId="0" borderId="44" xfId="0" applyNumberFormat="1" applyFont="1" applyBorder="1" applyAlignment="1">
      <alignment horizontal="left" vertical="top" wrapText="1"/>
    </xf>
    <xf numFmtId="0" fontId="21" fillId="0" borderId="44" xfId="0" applyFont="1" applyBorder="1" applyAlignment="1">
      <alignment horizontal="left" vertical="top" wrapText="1"/>
    </xf>
    <xf numFmtId="49" fontId="17" fillId="0" borderId="44" xfId="0" applyNumberFormat="1" applyFont="1" applyBorder="1" applyAlignment="1">
      <alignment horizontal="left" vertical="top" wrapText="1"/>
    </xf>
    <xf numFmtId="2" fontId="17" fillId="0" borderId="44" xfId="0" applyNumberFormat="1" applyFont="1" applyBorder="1" applyAlignment="1">
      <alignment horizontal="left" vertical="top" wrapText="1"/>
    </xf>
    <xf numFmtId="0" fontId="22" fillId="0" borderId="34" xfId="0" applyFont="1" applyBorder="1" applyAlignment="1">
      <alignment horizontal="left" vertical="top" wrapText="1"/>
    </xf>
    <xf numFmtId="0" fontId="17" fillId="0" borderId="52" xfId="0" applyFont="1" applyBorder="1" applyAlignment="1">
      <alignment horizontal="left" vertical="top" wrapText="1"/>
    </xf>
    <xf numFmtId="0" fontId="19" fillId="0" borderId="0" xfId="0" applyFont="1" applyAlignment="1">
      <alignment horizontal="left" wrapText="1"/>
    </xf>
    <xf numFmtId="0" fontId="19" fillId="0" borderId="19" xfId="0" applyFont="1" applyBorder="1" applyAlignment="1">
      <alignment horizontal="left" wrapText="1"/>
    </xf>
    <xf numFmtId="1" fontId="19" fillId="0" borderId="1" xfId="0" applyNumberFormat="1" applyFont="1" applyBorder="1" applyAlignment="1">
      <alignment horizontal="left" wrapText="1"/>
    </xf>
    <xf numFmtId="14" fontId="19" fillId="0" borderId="4" xfId="0" applyNumberFormat="1" applyFont="1" applyBorder="1" applyAlignment="1">
      <alignment horizontal="left" wrapText="1"/>
    </xf>
    <xf numFmtId="49" fontId="19" fillId="0" borderId="4" xfId="0" applyNumberFormat="1" applyFont="1" applyBorder="1" applyAlignment="1">
      <alignment horizontal="left" vertical="top" wrapText="1"/>
    </xf>
    <xf numFmtId="0" fontId="19" fillId="0" borderId="4" xfId="0" applyFont="1" applyBorder="1" applyAlignment="1">
      <alignment horizontal="left" wrapText="1"/>
    </xf>
    <xf numFmtId="169" fontId="19" fillId="0" borderId="4" xfId="0" applyNumberFormat="1" applyFont="1" applyBorder="1" applyAlignment="1">
      <alignment horizontal="left" wrapText="1"/>
    </xf>
    <xf numFmtId="0" fontId="20" fillId="0" borderId="0" xfId="0" applyFont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49" fontId="0" fillId="0" borderId="0" xfId="0" applyNumberFormat="1" applyAlignment="1">
      <alignment vertical="top" wrapText="1"/>
    </xf>
    <xf numFmtId="0" fontId="20" fillId="0" borderId="18" xfId="0" applyFont="1" applyBorder="1" applyAlignment="1">
      <alignment horizontal="left" wrapText="1"/>
    </xf>
    <xf numFmtId="14" fontId="0" fillId="0" borderId="0" xfId="0" applyNumberFormat="1" applyAlignment="1">
      <alignment wrapText="1"/>
    </xf>
    <xf numFmtId="0" fontId="20" fillId="0" borderId="32" xfId="0" applyFont="1" applyBorder="1" applyAlignment="1">
      <alignment horizontal="left" wrapText="1"/>
    </xf>
    <xf numFmtId="0" fontId="20" fillId="0" borderId="35" xfId="0" applyFont="1" applyBorder="1" applyAlignment="1">
      <alignment horizontal="left" wrapText="1"/>
    </xf>
    <xf numFmtId="14" fontId="21" fillId="0" borderId="44" xfId="0" applyNumberFormat="1" applyFont="1" applyBorder="1" applyAlignment="1">
      <alignment horizontal="left" vertical="top" wrapText="1"/>
    </xf>
    <xf numFmtId="14" fontId="20" fillId="0" borderId="18" xfId="0" applyNumberFormat="1" applyFont="1" applyBorder="1" applyAlignment="1">
      <alignment horizontal="left" wrapText="1"/>
    </xf>
    <xf numFmtId="0" fontId="18" fillId="0" borderId="0" xfId="0" applyFont="1" applyAlignment="1">
      <alignment horizontal="left" vertical="top" wrapText="1"/>
    </xf>
    <xf numFmtId="167" fontId="10" fillId="0" borderId="0" xfId="0" applyNumberFormat="1" applyFont="1" applyAlignment="1">
      <alignment horizontal="left" vertical="top" wrapText="1"/>
    </xf>
    <xf numFmtId="167" fontId="0" fillId="0" borderId="1" xfId="0" applyNumberFormat="1" applyBorder="1" applyAlignment="1">
      <alignment horizontal="left" vertical="top"/>
    </xf>
    <xf numFmtId="167" fontId="0" fillId="0" borderId="0" xfId="0" applyNumberFormat="1"/>
    <xf numFmtId="167" fontId="0" fillId="0" borderId="13" xfId="0" applyNumberFormat="1" applyBorder="1" applyAlignment="1">
      <alignment horizontal="left" vertical="top"/>
    </xf>
    <xf numFmtId="167" fontId="0" fillId="0" borderId="12" xfId="0" applyNumberFormat="1" applyBorder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18" fillId="0" borderId="43" xfId="0" applyFont="1" applyBorder="1" applyAlignment="1">
      <alignment horizontal="left" vertical="top" wrapText="1"/>
    </xf>
    <xf numFmtId="49" fontId="18" fillId="0" borderId="43" xfId="0" applyNumberFormat="1" applyFont="1" applyBorder="1" applyAlignment="1">
      <alignment horizontal="left" vertical="top" wrapText="1"/>
    </xf>
    <xf numFmtId="2" fontId="18" fillId="0" borderId="43" xfId="0" applyNumberFormat="1" applyFont="1" applyBorder="1" applyAlignment="1">
      <alignment horizontal="left" vertical="top" wrapText="1"/>
    </xf>
    <xf numFmtId="14" fontId="18" fillId="0" borderId="43" xfId="0" applyNumberFormat="1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18" fillId="0" borderId="41" xfId="0" applyFont="1" applyBorder="1" applyAlignment="1">
      <alignment horizontal="left" vertical="top" wrapText="1"/>
    </xf>
    <xf numFmtId="49" fontId="18" fillId="0" borderId="41" xfId="0" applyNumberFormat="1" applyFont="1" applyBorder="1" applyAlignment="1">
      <alignment horizontal="left" vertical="top" wrapText="1"/>
    </xf>
    <xf numFmtId="2" fontId="18" fillId="0" borderId="41" xfId="0" applyNumberFormat="1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14" fontId="18" fillId="0" borderId="41" xfId="0" applyNumberFormat="1" applyFont="1" applyBorder="1" applyAlignment="1">
      <alignment horizontal="left" vertical="top" wrapText="1"/>
    </xf>
    <xf numFmtId="0" fontId="19" fillId="0" borderId="16" xfId="0" applyFont="1" applyBorder="1" applyAlignment="1">
      <alignment horizontal="left" wrapText="1"/>
    </xf>
    <xf numFmtId="164" fontId="0" fillId="0" borderId="3" xfId="0" applyNumberFormat="1" applyBorder="1" applyAlignment="1">
      <alignment horizontal="left" vertical="top"/>
    </xf>
    <xf numFmtId="168" fontId="0" fillId="0" borderId="3" xfId="0" applyNumberFormat="1" applyBorder="1" applyAlignment="1">
      <alignment horizontal="left" vertical="top"/>
    </xf>
    <xf numFmtId="168" fontId="9" fillId="2" borderId="0" xfId="1" applyNumberFormat="1" applyFont="1" applyBorder="1" applyAlignment="1">
      <alignment horizontal="left" vertical="top" wrapText="1"/>
    </xf>
    <xf numFmtId="164" fontId="9" fillId="2" borderId="9" xfId="1" applyNumberFormat="1" applyFont="1" applyBorder="1" applyAlignment="1">
      <alignment horizontal="left" vertical="top" wrapText="1"/>
    </xf>
    <xf numFmtId="164" fontId="18" fillId="0" borderId="44" xfId="0" applyNumberFormat="1" applyFont="1" applyBorder="1" applyAlignment="1">
      <alignment horizontal="left" vertical="top" wrapText="1"/>
    </xf>
    <xf numFmtId="164" fontId="7" fillId="0" borderId="4" xfId="0" applyNumberFormat="1" applyFont="1" applyBorder="1" applyAlignment="1">
      <alignment horizontal="left" vertical="top" wrapText="1"/>
    </xf>
    <xf numFmtId="164" fontId="7" fillId="0" borderId="5" xfId="0" applyNumberFormat="1" applyFont="1" applyBorder="1" applyAlignment="1">
      <alignment horizontal="left" vertical="top" wrapText="1"/>
    </xf>
    <xf numFmtId="164" fontId="18" fillId="0" borderId="4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wrapText="1"/>
    </xf>
    <xf numFmtId="164" fontId="20" fillId="0" borderId="0" xfId="0" applyNumberFormat="1" applyFont="1" applyAlignment="1">
      <alignment horizontal="left" wrapText="1"/>
    </xf>
    <xf numFmtId="164" fontId="20" fillId="0" borderId="18" xfId="0" applyNumberFormat="1" applyFont="1" applyBorder="1" applyAlignment="1">
      <alignment horizontal="left" wrapText="1"/>
    </xf>
    <xf numFmtId="164" fontId="0" fillId="0" borderId="0" xfId="0" applyNumberFormat="1"/>
    <xf numFmtId="0" fontId="18" fillId="0" borderId="47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left" wrapText="1"/>
    </xf>
    <xf numFmtId="168" fontId="14" fillId="0" borderId="5" xfId="0" applyNumberFormat="1" applyFont="1" applyBorder="1" applyAlignment="1">
      <alignment horizontal="left" wrapText="1"/>
    </xf>
    <xf numFmtId="0" fontId="20" fillId="0" borderId="4" xfId="0" applyFont="1" applyBorder="1" applyAlignment="1">
      <alignment horizontal="left" wrapText="1"/>
    </xf>
    <xf numFmtId="49" fontId="20" fillId="0" borderId="4" xfId="0" applyNumberFormat="1" applyFont="1" applyBorder="1" applyAlignment="1">
      <alignment horizontal="left" vertical="top" wrapText="1"/>
    </xf>
    <xf numFmtId="14" fontId="20" fillId="0" borderId="4" xfId="0" applyNumberFormat="1" applyFont="1" applyBorder="1" applyAlignment="1">
      <alignment horizontal="left" wrapText="1"/>
    </xf>
    <xf numFmtId="169" fontId="20" fillId="0" borderId="4" xfId="0" applyNumberFormat="1" applyFont="1" applyBorder="1" applyAlignment="1">
      <alignment horizontal="left" wrapText="1"/>
    </xf>
    <xf numFmtId="14" fontId="19" fillId="0" borderId="5" xfId="0" applyNumberFormat="1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3" xfId="0" applyFont="1" applyBorder="1" applyAlignment="1">
      <alignment horizontal="left" wrapText="1"/>
    </xf>
    <xf numFmtId="0" fontId="19" fillId="0" borderId="31" xfId="0" applyFont="1" applyBorder="1" applyAlignment="1">
      <alignment horizontal="left" wrapText="1"/>
    </xf>
    <xf numFmtId="0" fontId="20" fillId="0" borderId="3" xfId="0" applyFont="1" applyBorder="1" applyAlignment="1">
      <alignment horizontal="left" wrapText="1"/>
    </xf>
    <xf numFmtId="0" fontId="20" fillId="0" borderId="5" xfId="0" applyFont="1" applyBorder="1" applyAlignment="1">
      <alignment horizontal="left" wrapText="1"/>
    </xf>
    <xf numFmtId="0" fontId="20" fillId="0" borderId="36" xfId="0" applyFont="1" applyBorder="1" applyAlignment="1">
      <alignment horizontal="left" wrapText="1"/>
    </xf>
    <xf numFmtId="0" fontId="20" fillId="0" borderId="8" xfId="0" applyFont="1" applyBorder="1" applyAlignment="1">
      <alignment horizontal="left" wrapText="1"/>
    </xf>
    <xf numFmtId="0" fontId="20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31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9" fillId="4" borderId="4" xfId="0" applyFont="1" applyFill="1" applyBorder="1" applyAlignment="1">
      <alignment horizontal="left" vertical="top" wrapText="1"/>
    </xf>
    <xf numFmtId="2" fontId="0" fillId="0" borderId="4" xfId="0" applyNumberFormat="1" applyBorder="1" applyAlignment="1">
      <alignment horizontal="left"/>
    </xf>
    <xf numFmtId="166" fontId="12" fillId="0" borderId="4" xfId="0" applyNumberFormat="1" applyFont="1" applyBorder="1" applyAlignment="1">
      <alignment horizontal="left" vertical="top" wrapText="1"/>
    </xf>
    <xf numFmtId="164" fontId="0" fillId="0" borderId="4" xfId="0" applyNumberFormat="1" applyBorder="1" applyAlignment="1">
      <alignment horizontal="left" vertical="top"/>
    </xf>
    <xf numFmtId="167" fontId="0" fillId="0" borderId="4" xfId="0" applyNumberFormat="1" applyBorder="1" applyAlignment="1">
      <alignment horizontal="left" vertical="top"/>
    </xf>
    <xf numFmtId="168" fontId="0" fillId="0" borderId="4" xfId="0" applyNumberFormat="1" applyBorder="1" applyAlignment="1">
      <alignment horizontal="left" vertical="top"/>
    </xf>
    <xf numFmtId="2" fontId="0" fillId="0" borderId="3" xfId="0" applyNumberFormat="1" applyBorder="1" applyAlignment="1">
      <alignment horizontal="left"/>
    </xf>
    <xf numFmtId="166" fontId="12" fillId="0" borderId="3" xfId="0" applyNumberFormat="1" applyFont="1" applyBorder="1" applyAlignment="1">
      <alignment horizontal="left" vertical="top" wrapText="1"/>
    </xf>
    <xf numFmtId="167" fontId="0" fillId="0" borderId="3" xfId="0" applyNumberFormat="1" applyBorder="1" applyAlignment="1">
      <alignment horizontal="left" vertical="top"/>
    </xf>
    <xf numFmtId="0" fontId="0" fillId="6" borderId="13" xfId="0" applyFill="1" applyBorder="1"/>
    <xf numFmtId="0" fontId="19" fillId="0" borderId="3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168" fontId="0" fillId="0" borderId="5" xfId="0" applyNumberFormat="1" applyBorder="1" applyAlignment="1">
      <alignment horizontal="left" vertical="top"/>
    </xf>
    <xf numFmtId="0" fontId="0" fillId="0" borderId="14" xfId="0" applyBorder="1"/>
    <xf numFmtId="0" fontId="0" fillId="6" borderId="14" xfId="0" applyFill="1" applyBorder="1"/>
    <xf numFmtId="0" fontId="18" fillId="0" borderId="46" xfId="0" applyFont="1" applyBorder="1" applyAlignment="1">
      <alignment horizontal="left" vertical="top" wrapText="1"/>
    </xf>
    <xf numFmtId="49" fontId="18" fillId="0" borderId="46" xfId="0" applyNumberFormat="1" applyFont="1" applyBorder="1" applyAlignment="1">
      <alignment horizontal="left" vertical="top" wrapText="1"/>
    </xf>
    <xf numFmtId="2" fontId="18" fillId="0" borderId="46" xfId="0" applyNumberFormat="1" applyFont="1" applyBorder="1" applyAlignment="1">
      <alignment horizontal="left" vertical="top" wrapText="1"/>
    </xf>
    <xf numFmtId="0" fontId="0" fillId="0" borderId="11" xfId="0" applyBorder="1"/>
    <xf numFmtId="14" fontId="18" fillId="0" borderId="46" xfId="0" applyNumberFormat="1" applyFont="1" applyBorder="1" applyAlignment="1">
      <alignment horizontal="left" vertical="top" wrapText="1"/>
    </xf>
    <xf numFmtId="164" fontId="0" fillId="0" borderId="11" xfId="0" applyNumberFormat="1" applyBorder="1"/>
    <xf numFmtId="14" fontId="0" fillId="0" borderId="11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left" wrapText="1"/>
    </xf>
    <xf numFmtId="0" fontId="18" fillId="0" borderId="53" xfId="0" applyFont="1" applyBorder="1" applyAlignment="1">
      <alignment horizontal="left" vertical="top" wrapText="1"/>
    </xf>
    <xf numFmtId="49" fontId="18" fillId="0" borderId="53" xfId="0" applyNumberFormat="1" applyFont="1" applyBorder="1" applyAlignment="1">
      <alignment horizontal="left" vertical="top" wrapText="1"/>
    </xf>
    <xf numFmtId="2" fontId="18" fillId="0" borderId="53" xfId="0" applyNumberFormat="1" applyFont="1" applyBorder="1" applyAlignment="1">
      <alignment horizontal="left" vertical="top" wrapText="1"/>
    </xf>
    <xf numFmtId="0" fontId="0" fillId="0" borderId="37" xfId="0" applyBorder="1"/>
    <xf numFmtId="0" fontId="19" fillId="0" borderId="37" xfId="0" applyFont="1" applyBorder="1" applyAlignment="1">
      <alignment horizontal="left" wrapText="1"/>
    </xf>
    <xf numFmtId="14" fontId="18" fillId="0" borderId="53" xfId="0" applyNumberFormat="1" applyFont="1" applyBorder="1" applyAlignment="1">
      <alignment horizontal="left" vertical="top" wrapText="1"/>
    </xf>
    <xf numFmtId="164" fontId="0" fillId="0" borderId="37" xfId="0" applyNumberFormat="1" applyBorder="1"/>
    <xf numFmtId="14" fontId="0" fillId="0" borderId="37" xfId="0" applyNumberFormat="1" applyBorder="1"/>
    <xf numFmtId="49" fontId="18" fillId="0" borderId="48" xfId="0" applyNumberFormat="1" applyFont="1" applyBorder="1" applyAlignment="1">
      <alignment horizontal="left" vertical="top" wrapText="1"/>
    </xf>
    <xf numFmtId="0" fontId="14" fillId="0" borderId="14" xfId="0" applyFont="1" applyBorder="1" applyAlignment="1">
      <alignment horizontal="left" wrapText="1"/>
    </xf>
    <xf numFmtId="168" fontId="14" fillId="0" borderId="14" xfId="0" applyNumberFormat="1" applyFont="1" applyBorder="1" applyAlignment="1">
      <alignment horizontal="left" wrapText="1"/>
    </xf>
    <xf numFmtId="0" fontId="19" fillId="0" borderId="14" xfId="0" applyFont="1" applyBorder="1" applyAlignment="1">
      <alignment horizontal="left" wrapText="1"/>
    </xf>
    <xf numFmtId="0" fontId="7" fillId="5" borderId="3" xfId="0" applyFont="1" applyFill="1" applyBorder="1" applyAlignment="1">
      <alignment horizontal="left" vertical="top" wrapText="1"/>
    </xf>
    <xf numFmtId="49" fontId="18" fillId="0" borderId="42" xfId="0" applyNumberFormat="1" applyFont="1" applyBorder="1" applyAlignment="1">
      <alignment horizontal="left" vertical="top" wrapText="1"/>
    </xf>
    <xf numFmtId="0" fontId="14" fillId="0" borderId="10" xfId="0" applyFont="1" applyBorder="1" applyAlignment="1">
      <alignment horizontal="left" wrapText="1"/>
    </xf>
    <xf numFmtId="168" fontId="14" fillId="0" borderId="10" xfId="0" applyNumberFormat="1" applyFont="1" applyBorder="1" applyAlignment="1">
      <alignment horizontal="left" wrapText="1"/>
    </xf>
    <xf numFmtId="14" fontId="7" fillId="5" borderId="15" xfId="0" applyNumberFormat="1" applyFont="1" applyFill="1" applyBorder="1" applyAlignment="1">
      <alignment horizontal="left" vertical="top" wrapText="1"/>
    </xf>
    <xf numFmtId="14" fontId="7" fillId="5" borderId="2" xfId="0" applyNumberFormat="1" applyFont="1" applyFill="1" applyBorder="1" applyAlignment="1">
      <alignment horizontal="left" vertical="top" wrapText="1"/>
    </xf>
    <xf numFmtId="14" fontId="7" fillId="5" borderId="16" xfId="0" applyNumberFormat="1" applyFont="1" applyFill="1" applyBorder="1" applyAlignment="1">
      <alignment horizontal="left" vertical="top" wrapText="1"/>
    </xf>
    <xf numFmtId="168" fontId="14" fillId="0" borderId="13" xfId="0" applyNumberFormat="1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49" fontId="18" fillId="0" borderId="54" xfId="0" applyNumberFormat="1" applyFont="1" applyBorder="1" applyAlignment="1">
      <alignment horizontal="left" vertical="top" wrapText="1"/>
    </xf>
    <xf numFmtId="0" fontId="7" fillId="0" borderId="54" xfId="0" applyFont="1" applyBorder="1" applyAlignment="1">
      <alignment horizontal="left" vertical="top" wrapText="1"/>
    </xf>
    <xf numFmtId="0" fontId="13" fillId="0" borderId="54" xfId="0" applyFont="1" applyBorder="1" applyAlignment="1">
      <alignment horizontal="left" vertical="top" wrapText="1"/>
    </xf>
    <xf numFmtId="0" fontId="7" fillId="0" borderId="35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14" fontId="8" fillId="0" borderId="3" xfId="0" applyNumberFormat="1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0" fillId="0" borderId="38" xfId="0" applyBorder="1"/>
    <xf numFmtId="0" fontId="7" fillId="0" borderId="38" xfId="0" applyFont="1" applyBorder="1" applyAlignment="1">
      <alignment horizontal="left" vertical="top" wrapText="1"/>
    </xf>
    <xf numFmtId="0" fontId="7" fillId="0" borderId="55" xfId="0" applyFont="1" applyBorder="1" applyAlignment="1">
      <alignment horizontal="left" vertical="top" wrapText="1"/>
    </xf>
    <xf numFmtId="168" fontId="7" fillId="0" borderId="38" xfId="0" applyNumberFormat="1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168" fontId="7" fillId="0" borderId="10" xfId="0" applyNumberFormat="1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7" fillId="0" borderId="39" xfId="0" applyFont="1" applyBorder="1" applyAlignment="1">
      <alignment horizontal="left" vertical="top" wrapText="1"/>
    </xf>
    <xf numFmtId="2" fontId="14" fillId="0" borderId="13" xfId="0" applyNumberFormat="1" applyFont="1" applyBorder="1" applyAlignment="1">
      <alignment horizontal="left" wrapText="1"/>
    </xf>
    <xf numFmtId="49" fontId="18" fillId="0" borderId="56" xfId="0" applyNumberFormat="1" applyFont="1" applyBorder="1" applyAlignment="1">
      <alignment horizontal="left" vertical="top" wrapText="1"/>
    </xf>
    <xf numFmtId="49" fontId="18" fillId="0" borderId="0" xfId="0" applyNumberFormat="1" applyFont="1" applyAlignment="1">
      <alignment horizontal="left" vertical="top" wrapText="1"/>
    </xf>
    <xf numFmtId="0" fontId="19" fillId="0" borderId="8" xfId="0" applyFont="1" applyBorder="1" applyAlignment="1">
      <alignment horizontal="left" wrapText="1"/>
    </xf>
    <xf numFmtId="49" fontId="19" fillId="4" borderId="8" xfId="0" applyNumberFormat="1" applyFont="1" applyFill="1" applyBorder="1" applyAlignment="1">
      <alignment horizontal="left" wrapText="1"/>
    </xf>
    <xf numFmtId="2" fontId="19" fillId="0" borderId="8" xfId="0" applyNumberFormat="1" applyFont="1" applyBorder="1" applyAlignment="1">
      <alignment horizontal="left" wrapText="1"/>
    </xf>
    <xf numFmtId="49" fontId="19" fillId="0" borderId="8" xfId="0" applyNumberFormat="1" applyFont="1" applyBorder="1" applyAlignment="1">
      <alignment horizontal="left" vertical="top" wrapText="1"/>
    </xf>
    <xf numFmtId="169" fontId="19" fillId="0" borderId="8" xfId="0" applyNumberFormat="1" applyFont="1" applyBorder="1" applyAlignment="1">
      <alignment horizontal="left" wrapText="1"/>
    </xf>
    <xf numFmtId="0" fontId="19" fillId="4" borderId="8" xfId="0" applyFont="1" applyFill="1" applyBorder="1" applyAlignment="1">
      <alignment horizontal="left" wrapText="1"/>
    </xf>
    <xf numFmtId="49" fontId="18" fillId="0" borderId="10" xfId="0" applyNumberFormat="1" applyFont="1" applyBorder="1" applyAlignment="1">
      <alignment horizontal="left" vertical="top" wrapText="1"/>
    </xf>
    <xf numFmtId="49" fontId="19" fillId="0" borderId="32" xfId="0" applyNumberFormat="1" applyFont="1" applyBorder="1" applyAlignment="1">
      <alignment horizontal="left" vertical="top" wrapText="1"/>
    </xf>
    <xf numFmtId="49" fontId="18" fillId="0" borderId="1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8" fontId="1" fillId="0" borderId="3" xfId="0" applyNumberFormat="1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168" fontId="7" fillId="0" borderId="8" xfId="0" applyNumberFormat="1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20" fillId="0" borderId="8" xfId="0" applyNumberFormat="1" applyFont="1" applyBorder="1" applyAlignment="1">
      <alignment horizontal="left" wrapText="1"/>
    </xf>
    <xf numFmtId="2" fontId="20" fillId="0" borderId="8" xfId="0" applyNumberFormat="1" applyFont="1" applyBorder="1" applyAlignment="1">
      <alignment horizontal="left" wrapText="1"/>
    </xf>
    <xf numFmtId="49" fontId="20" fillId="0" borderId="8" xfId="0" applyNumberFormat="1" applyFont="1" applyBorder="1" applyAlignment="1">
      <alignment horizontal="left" vertical="top" wrapText="1"/>
    </xf>
    <xf numFmtId="169" fontId="20" fillId="0" borderId="8" xfId="0" applyNumberFormat="1" applyFont="1" applyBorder="1" applyAlignment="1">
      <alignment horizontal="left" wrapText="1"/>
    </xf>
    <xf numFmtId="0" fontId="0" fillId="5" borderId="14" xfId="0" applyFill="1" applyBorder="1"/>
    <xf numFmtId="0" fontId="0" fillId="5" borderId="10" xfId="0" applyFill="1" applyBorder="1"/>
    <xf numFmtId="1" fontId="12" fillId="0" borderId="8" xfId="0" applyNumberFormat="1" applyFont="1" applyBorder="1" applyAlignment="1">
      <alignment horizontal="left" vertical="top" wrapText="1"/>
    </xf>
    <xf numFmtId="1" fontId="0" fillId="0" borderId="0" xfId="0" applyNumberFormat="1"/>
    <xf numFmtId="0" fontId="0" fillId="0" borderId="0" xfId="0" applyAlignment="1">
      <alignment horizontal="center"/>
    </xf>
  </cellXfs>
  <cellStyles count="3">
    <cellStyle name="Check Cell" xfId="1" builtinId="23"/>
    <cellStyle name="Normal" xfId="0" builtinId="0"/>
    <cellStyle name="Normal 5" xfId="2" xr:uid="{1F8B6CBA-082D-40A5-887B-E0C0042D47FC}"/>
  </cellStyles>
  <dxfs count="2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Frequency of visits to the centre by month of the year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Sheet1!$X$2:$X$13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Sheet1!$Y$2:$Y$13</c:f>
              <c:numCache>
                <c:formatCode>General</c:formatCode>
                <c:ptCount val="12"/>
                <c:pt idx="0">
                  <c:v>11</c:v>
                </c:pt>
                <c:pt idx="1">
                  <c:v>14</c:v>
                </c:pt>
                <c:pt idx="2">
                  <c:v>13</c:v>
                </c:pt>
                <c:pt idx="3">
                  <c:v>11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7</c:v>
                </c:pt>
                <c:pt idx="8">
                  <c:v>10</c:v>
                </c:pt>
                <c:pt idx="9">
                  <c:v>19</c:v>
                </c:pt>
                <c:pt idx="10">
                  <c:v>20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4-4434-A7B4-48FC0063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664959"/>
        <c:axId val="1"/>
      </c:barChart>
      <c:catAx>
        <c:axId val="465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5664959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Frequency of repairs over days of the week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Sheet1!$AA$2:$AA$8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</c:v>
                </c:pt>
                <c:pt idx="4">
                  <c:v>Friday</c:v>
                </c:pt>
                <c:pt idx="5">
                  <c:v>Saturday</c:v>
                </c:pt>
                <c:pt idx="6">
                  <c:v>Sunday</c:v>
                </c:pt>
              </c:strCache>
            </c:strRef>
          </c:cat>
          <c:val>
            <c:numRef>
              <c:f>Sheet1!$AB$2:$AB$8</c:f>
              <c:numCache>
                <c:formatCode>General</c:formatCode>
                <c:ptCount val="7"/>
                <c:pt idx="0">
                  <c:v>31</c:v>
                </c:pt>
                <c:pt idx="1">
                  <c:v>30</c:v>
                </c:pt>
                <c:pt idx="2">
                  <c:v>37</c:v>
                </c:pt>
                <c:pt idx="3">
                  <c:v>28</c:v>
                </c:pt>
                <c:pt idx="4">
                  <c:v>25</c:v>
                </c:pt>
                <c:pt idx="5">
                  <c:v>19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7A-4CAD-83FC-6001C3C78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90223"/>
        <c:axId val="1"/>
      </c:barChart>
      <c:catAx>
        <c:axId val="46639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6390223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Frequency of visits to the centre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Sheet1!$AN$2:$AN$12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Sheet1!$AO$2:$AO$12</c:f>
              <c:numCache>
                <c:formatCode>General</c:formatCode>
                <c:ptCount val="11"/>
                <c:pt idx="0">
                  <c:v>63</c:v>
                </c:pt>
                <c:pt idx="1">
                  <c:v>20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2-4E93-B9F9-A64AF5F9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383983"/>
        <c:axId val="1"/>
      </c:barChart>
      <c:catAx>
        <c:axId val="4663839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Number of visits to limb-fitting centre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Number of patients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6383983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Frequency of repair events per year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rgbClr val="4F81BD"/>
            </a:solidFill>
            <a:ln w="25400">
              <a:noFill/>
            </a:ln>
          </c:spPr>
          <c:cat>
            <c:numRef>
              <c:f>Sheet1!$BI$2:$BI$20</c:f>
              <c:numCache>
                <c:formatCode>General</c:formatCode>
                <c:ptCount val="19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  <c:pt idx="18">
                  <c:v>2021</c:v>
                </c:pt>
              </c:numCache>
            </c:numRef>
          </c:cat>
          <c:val>
            <c:numRef>
              <c:f>Sheet1!$BJ$2:$BJ$20</c:f>
              <c:numCache>
                <c:formatCode>General</c:formatCode>
                <c:ptCount val="19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  <c:pt idx="7">
                  <c:v>4</c:v>
                </c:pt>
                <c:pt idx="8">
                  <c:v>8</c:v>
                </c:pt>
                <c:pt idx="9">
                  <c:v>12</c:v>
                </c:pt>
                <c:pt idx="10">
                  <c:v>8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17</c:v>
                </c:pt>
                <c:pt idx="15">
                  <c:v>17</c:v>
                </c:pt>
                <c:pt idx="16">
                  <c:v>23</c:v>
                </c:pt>
                <c:pt idx="17">
                  <c:v>14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C9-4AA4-8150-F805F5D53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386383"/>
        <c:axId val="1"/>
      </c:areaChart>
      <c:catAx>
        <c:axId val="466386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No. of repair visits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6386383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Frequency of repair events by type of device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38A-4337-8EFA-26C071D0C56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338A-4337-8EFA-26C071D0C566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338A-4337-8EFA-26C071D0C566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38A-4337-8EFA-26C071D0C566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338A-4337-8EFA-26C071D0C56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333333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/>
                      <a:t>Transradial passive (n=35)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338A-4337-8EFA-26C071D0C5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333333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/>
                      <a:t>Transradial body powered (n=90)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38A-4337-8EFA-26C071D0C5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333333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/>
                      <a:t>Trasnhumeral passive (n=16)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38A-4337-8EFA-26C071D0C5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333333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/>
                      <a:t>Transhumeral body powered (n=37)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38A-4337-8EFA-26C071D0C56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333333"/>
                        </a:solidFill>
                        <a:latin typeface="Calibri"/>
                        <a:ea typeface="Calibri"/>
                        <a:cs typeface="Calibri"/>
                      </a:defRPr>
                    </a:pPr>
                    <a:r>
                      <a:rPr lang="en-US"/>
                      <a:t>Transradial myoelectric (n=1)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38A-4337-8EFA-26C071D0C566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Sheet1!$BU$2:$BU$6</c:f>
              <c:numCache>
                <c:formatCode>General</c:formatCode>
                <c:ptCount val="5"/>
                <c:pt idx="0">
                  <c:v>35</c:v>
                </c:pt>
                <c:pt idx="1">
                  <c:v>90</c:v>
                </c:pt>
                <c:pt idx="2">
                  <c:v>16</c:v>
                </c:pt>
                <c:pt idx="3">
                  <c:v>37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A-4337-8EFA-26C071D0C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Sample age distribution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'Demography 2'!$A$8</c:f>
              <c:strCache>
                <c:ptCount val="1"/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2'!$A$9:$A$16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BBE4-40D2-A427-7D08B670A2D2}"/>
            </c:ext>
          </c:extLst>
        </c:ser>
        <c:ser>
          <c:idx val="1"/>
          <c:order val="1"/>
          <c:tx>
            <c:strRef>
              <c:f>'Demography 2'!$B$8</c:f>
              <c:strCache>
                <c:ptCount val="1"/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2'!$B$9:$B$16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BBE4-40D2-A427-7D08B670A2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071391"/>
        <c:axId val="1"/>
      </c:barChart>
      <c:catAx>
        <c:axId val="465071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Age group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Number of patients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507139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725753518862026"/>
          <c:y val="0.88808950058357339"/>
          <c:w val="0.23952859377055255"/>
          <c:h val="8.209230677663283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2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Year of amputation vs. year of first prosthetic fitting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8452374848208348E-2"/>
                  <c:y val="-5.9506501299127691E-2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'Demography 2'!$H$2:$H$6</c:f>
              <c:numCache>
                <c:formatCode>0</c:formatCode>
                <c:ptCount val="5"/>
                <c:pt idx="0">
                  <c:v>1987</c:v>
                </c:pt>
                <c:pt idx="1">
                  <c:v>1979</c:v>
                </c:pt>
                <c:pt idx="2">
                  <c:v>1988</c:v>
                </c:pt>
                <c:pt idx="3">
                  <c:v>2018</c:v>
                </c:pt>
                <c:pt idx="4">
                  <c:v>2018</c:v>
                </c:pt>
              </c:numCache>
            </c:numRef>
          </c:xVal>
          <c:yVal>
            <c:numRef>
              <c:f>'Demography 2'!$K$2:$K$6</c:f>
              <c:numCache>
                <c:formatCode>General</c:formatCode>
                <c:ptCount val="5"/>
                <c:pt idx="0">
                  <c:v>1987</c:v>
                </c:pt>
                <c:pt idx="1">
                  <c:v>1986</c:v>
                </c:pt>
                <c:pt idx="2">
                  <c:v>1989</c:v>
                </c:pt>
                <c:pt idx="3">
                  <c:v>2019</c:v>
                </c:pt>
                <c:pt idx="4">
                  <c:v>2019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B7-489E-8165-4BA712ABF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73791"/>
        <c:axId val="1"/>
      </c:scatterChart>
      <c:valAx>
        <c:axId val="46507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1000" b="0" i="0" u="none" strike="noStrike" baseline="0"/>
                  <a:t>Year of amputation (or birth for congenital cases)</a:t>
                </a:r>
                <a:endParaRPr lang="en-GB"/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10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Year of first prosthetic fitting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65073791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Age distribution</a:t>
            </a:r>
            <a:r>
              <a:rPr lang="en-GB" baseline="0"/>
              <a:t> across the repair and procurement dataets</a:t>
            </a:r>
            <a:endParaRPr lang="en-GB"/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580927384076985E-2"/>
          <c:y val="0.16924002477218439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'Demography 2'!$A$7:$A$8</c:f>
              <c:strCache>
                <c:ptCount val="2"/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2'!$A$9:$A$17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8EFA-45AA-8DC8-00382407EDF3}"/>
            </c:ext>
          </c:extLst>
        </c:ser>
        <c:ser>
          <c:idx val="1"/>
          <c:order val="1"/>
          <c:tx>
            <c:strRef>
              <c:f>'Demography 2'!$B$7:$B$8</c:f>
              <c:strCache>
                <c:ptCount val="2"/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2'!$B$9:$B$17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8EFA-45AA-8DC8-00382407EDF3}"/>
            </c:ext>
          </c:extLst>
        </c:ser>
        <c:ser>
          <c:idx val="2"/>
          <c:order val="2"/>
          <c:tx>
            <c:strRef>
              <c:f>'Demography 2'!$C$7:$C$8</c:f>
              <c:strCache>
                <c:ptCount val="2"/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2'!$C$9:$C$17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8EFA-45AA-8DC8-00382407EDF3}"/>
            </c:ext>
          </c:extLst>
        </c:ser>
        <c:ser>
          <c:idx val="3"/>
          <c:order val="3"/>
          <c:tx>
            <c:strRef>
              <c:f>'Demography 2'!$D$7:$D$8</c:f>
              <c:strCache>
                <c:ptCount val="2"/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2'!$D$9:$D$17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8EFA-45AA-8DC8-00382407E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560479"/>
        <c:axId val="1"/>
      </c:barChart>
      <c:catAx>
        <c:axId val="4655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60479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0105916437130082E-2"/>
          <c:y val="0.91343803311624783"/>
          <c:w val="0.90190649586834148"/>
          <c:h val="6.1454546570512088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'Demography 2'!$A$7:$A$8</c:f>
              <c:strCache>
                <c:ptCount val="2"/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2'!$A$9:$A$17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0-5762-4198-982F-13ED8A739A94}"/>
            </c:ext>
          </c:extLst>
        </c:ser>
        <c:ser>
          <c:idx val="1"/>
          <c:order val="1"/>
          <c:tx>
            <c:strRef>
              <c:f>'Demography 2'!$B$7:$B$8</c:f>
              <c:strCache>
                <c:ptCount val="2"/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2'!$B$9:$B$17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1-5762-4198-982F-13ED8A739A94}"/>
            </c:ext>
          </c:extLst>
        </c:ser>
        <c:ser>
          <c:idx val="2"/>
          <c:order val="2"/>
          <c:tx>
            <c:strRef>
              <c:f>'Demography 2'!$C$7:$C$8</c:f>
              <c:strCache>
                <c:ptCount val="2"/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2'!$C$9:$C$17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2-5762-4198-982F-13ED8A739A94}"/>
            </c:ext>
          </c:extLst>
        </c:ser>
        <c:ser>
          <c:idx val="3"/>
          <c:order val="3"/>
          <c:tx>
            <c:strRef>
              <c:f>'Demography 2'!$D$7:$D$8</c:f>
              <c:strCache>
                <c:ptCount val="2"/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strRef>
              <c:f>'Demography 2'!#REF!</c:f>
            </c:strRef>
          </c:cat>
          <c:val>
            <c:numRef>
              <c:f>'Demography 2'!$D$9:$D$17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3-5762-4198-982F-13ED8A739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563839"/>
        <c:axId val="1"/>
      </c:barChart>
      <c:catAx>
        <c:axId val="46556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63839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6026562115325874E-2"/>
          <c:y val="0.90418133007455748"/>
          <c:w val="0.90379431062821725"/>
          <c:h val="7.0289714705442638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135</xdr:row>
      <xdr:rowOff>322580</xdr:rowOff>
    </xdr:from>
    <xdr:ext cx="65" cy="18091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DAADBD-53B0-C596-DD6D-EE51BF348DEA}"/>
            </a:ext>
          </a:extLst>
        </xdr:cNvPr>
        <xdr:cNvSpPr txBox="1"/>
      </xdr:nvSpPr>
      <xdr:spPr>
        <a:xfrm>
          <a:off x="0" y="5686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135</xdr:row>
      <xdr:rowOff>322580</xdr:rowOff>
    </xdr:from>
    <xdr:ext cx="65" cy="18091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541280-C60E-25AD-F224-4103463F9DA7}"/>
            </a:ext>
          </a:extLst>
        </xdr:cNvPr>
        <xdr:cNvSpPr txBox="1"/>
      </xdr:nvSpPr>
      <xdr:spPr>
        <a:xfrm>
          <a:off x="0" y="56864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</xdr:row>
      <xdr:rowOff>13769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DDD1CA6-328B-3177-08A4-D8E6D6251C22}"/>
            </a:ext>
          </a:extLst>
        </xdr:cNvPr>
        <xdr:cNvSpPr txBox="1"/>
      </xdr:nvSpPr>
      <xdr:spPr>
        <a:xfrm>
          <a:off x="0" y="284121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85</xdr:row>
      <xdr:rowOff>356870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AD6A08-8AA1-4133-4CDC-3D8060C345BB}"/>
            </a:ext>
          </a:extLst>
        </xdr:cNvPr>
        <xdr:cNvSpPr txBox="1"/>
      </xdr:nvSpPr>
      <xdr:spPr>
        <a:xfrm>
          <a:off x="0" y="38616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60</xdr:row>
      <xdr:rowOff>13769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D6FCEF-8211-FAC8-E2AA-B4052FAB9C1B}"/>
            </a:ext>
          </a:extLst>
        </xdr:cNvPr>
        <xdr:cNvSpPr txBox="1"/>
      </xdr:nvSpPr>
      <xdr:spPr>
        <a:xfrm>
          <a:off x="0" y="284121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64</xdr:row>
      <xdr:rowOff>4245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B697EAC-9884-510E-E4F6-51C35ACEB3B4}"/>
            </a:ext>
          </a:extLst>
        </xdr:cNvPr>
        <xdr:cNvSpPr txBox="1"/>
      </xdr:nvSpPr>
      <xdr:spPr>
        <a:xfrm>
          <a:off x="0" y="2991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177</xdr:row>
      <xdr:rowOff>435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2ABE348-3703-3C4A-3A13-63DC382A3DCA}"/>
            </a:ext>
          </a:extLst>
        </xdr:cNvPr>
        <xdr:cNvSpPr txBox="1"/>
      </xdr:nvSpPr>
      <xdr:spPr>
        <a:xfrm>
          <a:off x="0" y="729418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139</xdr:row>
      <xdr:rowOff>13769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A3C876-A8FB-35F4-7B71-C2D4D22E7010}"/>
            </a:ext>
          </a:extLst>
        </xdr:cNvPr>
        <xdr:cNvSpPr txBox="1"/>
      </xdr:nvSpPr>
      <xdr:spPr>
        <a:xfrm>
          <a:off x="0" y="594324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109</xdr:row>
      <xdr:rowOff>1070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7C2376-CC9B-A9BF-D169-06399A166539}"/>
            </a:ext>
          </a:extLst>
        </xdr:cNvPr>
        <xdr:cNvSpPr txBox="1"/>
      </xdr:nvSpPr>
      <xdr:spPr>
        <a:xfrm>
          <a:off x="0" y="474144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109</xdr:row>
      <xdr:rowOff>1070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BF5C064-1DF5-680F-9C60-D9F4BDC2EB6D}"/>
            </a:ext>
          </a:extLst>
        </xdr:cNvPr>
        <xdr:cNvSpPr txBox="1"/>
      </xdr:nvSpPr>
      <xdr:spPr>
        <a:xfrm>
          <a:off x="0" y="474144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57</xdr:row>
      <xdr:rowOff>4245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01487F4-DF49-3309-36F2-5F7175C3600D}"/>
            </a:ext>
          </a:extLst>
        </xdr:cNvPr>
        <xdr:cNvSpPr txBox="1"/>
      </xdr:nvSpPr>
      <xdr:spPr>
        <a:xfrm>
          <a:off x="0" y="274095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1327150</xdr:colOff>
      <xdr:row>95</xdr:row>
      <xdr:rowOff>112395</xdr:rowOff>
    </xdr:from>
    <xdr:ext cx="65" cy="25502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60E56C5-CEE3-8271-7CBD-8F9E21EA9AD3}"/>
            </a:ext>
          </a:extLst>
        </xdr:cNvPr>
        <xdr:cNvSpPr txBox="1"/>
      </xdr:nvSpPr>
      <xdr:spPr>
        <a:xfrm>
          <a:off x="3234690" y="22768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7076</xdr:colOff>
      <xdr:row>95</xdr:row>
      <xdr:rowOff>112395</xdr:rowOff>
    </xdr:from>
    <xdr:ext cx="65" cy="248772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6B85A93-8A28-F2E4-1D07-0EF7F8B8F168}"/>
            </a:ext>
          </a:extLst>
        </xdr:cNvPr>
        <xdr:cNvSpPr txBox="1"/>
      </xdr:nvSpPr>
      <xdr:spPr>
        <a:xfrm>
          <a:off x="11034462" y="4265271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1323975</xdr:colOff>
      <xdr:row>57</xdr:row>
      <xdr:rowOff>7420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D35D90E-C8C1-31A5-4062-8434635F462D}"/>
            </a:ext>
          </a:extLst>
        </xdr:cNvPr>
        <xdr:cNvSpPr txBox="1"/>
      </xdr:nvSpPr>
      <xdr:spPr>
        <a:xfrm>
          <a:off x="3180236" y="274095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61</xdr:row>
      <xdr:rowOff>10595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70384CC-9C88-F053-258D-62B3B0BC4F51}"/>
            </a:ext>
          </a:extLst>
        </xdr:cNvPr>
        <xdr:cNvSpPr txBox="1"/>
      </xdr:nvSpPr>
      <xdr:spPr>
        <a:xfrm>
          <a:off x="3180236" y="28746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1323975</xdr:colOff>
      <xdr:row>57</xdr:row>
      <xdr:rowOff>7420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A75EB36-C92E-C6F9-0B04-EE01E464F4F8}"/>
            </a:ext>
          </a:extLst>
        </xdr:cNvPr>
        <xdr:cNvSpPr txBox="1"/>
      </xdr:nvSpPr>
      <xdr:spPr>
        <a:xfrm>
          <a:off x="3180236" y="274095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161</xdr:row>
      <xdr:rowOff>10594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78B8D22-36EB-9D7F-A095-569F7CF847EE}"/>
            </a:ext>
          </a:extLst>
        </xdr:cNvPr>
        <xdr:cNvSpPr txBox="1"/>
      </xdr:nvSpPr>
      <xdr:spPr>
        <a:xfrm>
          <a:off x="3180236" y="671137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162</xdr:row>
      <xdr:rowOff>20120</xdr:rowOff>
    </xdr:from>
    <xdr:ext cx="65" cy="248772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AD67EFF-006F-C1C8-EF3D-62B361860CDC}"/>
            </a:ext>
          </a:extLst>
        </xdr:cNvPr>
        <xdr:cNvSpPr txBox="1"/>
      </xdr:nvSpPr>
      <xdr:spPr>
        <a:xfrm>
          <a:off x="3180236" y="674479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56</xdr:row>
      <xdr:rowOff>10594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67CD14A-876F-0B7E-C9D7-4C58E6D84C80}"/>
            </a:ext>
          </a:extLst>
        </xdr:cNvPr>
        <xdr:cNvSpPr txBox="1"/>
      </xdr:nvSpPr>
      <xdr:spPr>
        <a:xfrm>
          <a:off x="3180236" y="2707529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1323975</xdr:colOff>
      <xdr:row>142</xdr:row>
      <xdr:rowOff>7420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9718C02-EB60-1D92-BBBA-820931C6773A}"/>
            </a:ext>
          </a:extLst>
        </xdr:cNvPr>
        <xdr:cNvSpPr txBox="1"/>
      </xdr:nvSpPr>
      <xdr:spPr>
        <a:xfrm>
          <a:off x="3180236" y="6043507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1323975</xdr:colOff>
      <xdr:row>142</xdr:row>
      <xdr:rowOff>7420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D382B5-7AA9-1602-2BB6-DC45BED4407B}"/>
            </a:ext>
          </a:extLst>
        </xdr:cNvPr>
        <xdr:cNvSpPr txBox="1"/>
      </xdr:nvSpPr>
      <xdr:spPr>
        <a:xfrm>
          <a:off x="3180236" y="6043507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1327150</xdr:colOff>
      <xdr:row>82</xdr:row>
      <xdr:rowOff>184785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15953A2-B576-E687-87CA-172F4902F0F2}"/>
            </a:ext>
          </a:extLst>
        </xdr:cNvPr>
        <xdr:cNvSpPr txBox="1"/>
      </xdr:nvSpPr>
      <xdr:spPr>
        <a:xfrm>
          <a:off x="3180236" y="372654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1327150</xdr:colOff>
      <xdr:row>95</xdr:row>
      <xdr:rowOff>112395</xdr:rowOff>
    </xdr:from>
    <xdr:ext cx="65" cy="25502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886D992-9842-A375-90E0-90F2C8F5E99C}"/>
            </a:ext>
          </a:extLst>
        </xdr:cNvPr>
        <xdr:cNvSpPr txBox="1"/>
      </xdr:nvSpPr>
      <xdr:spPr>
        <a:xfrm>
          <a:off x="3234690" y="227685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1327150</xdr:colOff>
      <xdr:row>117</xdr:row>
      <xdr:rowOff>0</xdr:rowOff>
    </xdr:from>
    <xdr:ext cx="65" cy="338075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FD2E192-7836-D009-CB30-8689DBD3C91B}"/>
            </a:ext>
          </a:extLst>
        </xdr:cNvPr>
        <xdr:cNvSpPr txBox="1"/>
      </xdr:nvSpPr>
      <xdr:spPr>
        <a:xfrm>
          <a:off x="2400300" y="5173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1327150</xdr:colOff>
      <xdr:row>82</xdr:row>
      <xdr:rowOff>184785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95B9BDC-25C9-DE55-D44E-0877028CFF3C}"/>
            </a:ext>
          </a:extLst>
        </xdr:cNvPr>
        <xdr:cNvSpPr txBox="1"/>
      </xdr:nvSpPr>
      <xdr:spPr>
        <a:xfrm>
          <a:off x="3180236" y="3726544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28</xdr:col>
      <xdr:colOff>114300</xdr:colOff>
      <xdr:row>10</xdr:row>
      <xdr:rowOff>76200</xdr:rowOff>
    </xdr:from>
    <xdr:to>
      <xdr:col>35</xdr:col>
      <xdr:colOff>733425</xdr:colOff>
      <xdr:row>15</xdr:row>
      <xdr:rowOff>180975</xdr:rowOff>
    </xdr:to>
    <xdr:graphicFrame macro="">
      <xdr:nvGraphicFramePr>
        <xdr:cNvPr id="2164155" name="Chart 12">
          <a:extLst>
            <a:ext uri="{FF2B5EF4-FFF2-40B4-BE49-F238E27FC236}">
              <a16:creationId xmlns:a16="http://schemas.microsoft.com/office/drawing/2014/main" id="{B04EDAA2-DF06-5258-794B-763A7C392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657225</xdr:colOff>
      <xdr:row>2</xdr:row>
      <xdr:rowOff>114300</xdr:rowOff>
    </xdr:from>
    <xdr:to>
      <xdr:col>35</xdr:col>
      <xdr:colOff>1076325</xdr:colOff>
      <xdr:row>7</xdr:row>
      <xdr:rowOff>333375</xdr:rowOff>
    </xdr:to>
    <xdr:graphicFrame macro="">
      <xdr:nvGraphicFramePr>
        <xdr:cNvPr id="2164156" name="Chart 12">
          <a:extLst>
            <a:ext uri="{FF2B5EF4-FFF2-40B4-BE49-F238E27FC236}">
              <a16:creationId xmlns:a16="http://schemas.microsoft.com/office/drawing/2014/main" id="{546A1027-23AB-7A33-5D62-D92ED7C83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276225</xdr:colOff>
      <xdr:row>1</xdr:row>
      <xdr:rowOff>609600</xdr:rowOff>
    </xdr:from>
    <xdr:to>
      <xdr:col>48</xdr:col>
      <xdr:colOff>295275</xdr:colOff>
      <xdr:row>6</xdr:row>
      <xdr:rowOff>409575</xdr:rowOff>
    </xdr:to>
    <xdr:graphicFrame macro="">
      <xdr:nvGraphicFramePr>
        <xdr:cNvPr id="2164157" name="Chart 13">
          <a:extLst>
            <a:ext uri="{FF2B5EF4-FFF2-40B4-BE49-F238E27FC236}">
              <a16:creationId xmlns:a16="http://schemas.microsoft.com/office/drawing/2014/main" id="{1E9754DD-7FB7-173C-2016-59417FAA8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0</xdr:colOff>
      <xdr:row>147</xdr:row>
      <xdr:rowOff>322580</xdr:rowOff>
    </xdr:from>
    <xdr:ext cx="65" cy="18114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B617E1-DE93-0E53-8B4D-7306CBE38080}"/>
            </a:ext>
          </a:extLst>
        </xdr:cNvPr>
        <xdr:cNvSpPr txBox="1"/>
      </xdr:nvSpPr>
      <xdr:spPr>
        <a:xfrm>
          <a:off x="0" y="3108960"/>
          <a:ext cx="65" cy="187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322580</xdr:rowOff>
    </xdr:from>
    <xdr:ext cx="65" cy="18114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B1B1BA2-B0FC-7556-B798-73B244856B21}"/>
            </a:ext>
          </a:extLst>
        </xdr:cNvPr>
        <xdr:cNvSpPr txBox="1"/>
      </xdr:nvSpPr>
      <xdr:spPr>
        <a:xfrm>
          <a:off x="0" y="3108960"/>
          <a:ext cx="65" cy="187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177</xdr:row>
      <xdr:rowOff>435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22FAB06-C122-8286-47AE-DC03E03DA29D}"/>
            </a:ext>
          </a:extLst>
        </xdr:cNvPr>
        <xdr:cNvSpPr txBox="1"/>
      </xdr:nvSpPr>
      <xdr:spPr>
        <a:xfrm>
          <a:off x="0" y="7294188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13770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3CB206D-A9EA-97EC-1CD2-15A8B52C345F}"/>
            </a:ext>
          </a:extLst>
        </xdr:cNvPr>
        <xdr:cNvSpPr txBox="1"/>
      </xdr:nvSpPr>
      <xdr:spPr>
        <a:xfrm>
          <a:off x="0" y="636045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62</xdr:col>
      <xdr:colOff>533400</xdr:colOff>
      <xdr:row>1</xdr:row>
      <xdr:rowOff>95250</xdr:rowOff>
    </xdr:from>
    <xdr:to>
      <xdr:col>69</xdr:col>
      <xdr:colOff>800100</xdr:colOff>
      <xdr:row>6</xdr:row>
      <xdr:rowOff>19050</xdr:rowOff>
    </xdr:to>
    <xdr:graphicFrame macro="">
      <xdr:nvGraphicFramePr>
        <xdr:cNvPr id="2164162" name="Chart 12">
          <a:extLst>
            <a:ext uri="{FF2B5EF4-FFF2-40B4-BE49-F238E27FC236}">
              <a16:creationId xmlns:a16="http://schemas.microsoft.com/office/drawing/2014/main" id="{466E5604-3034-E103-68F7-5E14E79CE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73</xdr:col>
      <xdr:colOff>352425</xdr:colOff>
      <xdr:row>1</xdr:row>
      <xdr:rowOff>304800</xdr:rowOff>
    </xdr:from>
    <xdr:to>
      <xdr:col>80</xdr:col>
      <xdr:colOff>628650</xdr:colOff>
      <xdr:row>9</xdr:row>
      <xdr:rowOff>38100</xdr:rowOff>
    </xdr:to>
    <xdr:graphicFrame macro="">
      <xdr:nvGraphicFramePr>
        <xdr:cNvPr id="2164163" name="Chart 15">
          <a:extLst>
            <a:ext uri="{FF2B5EF4-FFF2-40B4-BE49-F238E27FC236}">
              <a16:creationId xmlns:a16="http://schemas.microsoft.com/office/drawing/2014/main" id="{74767EF3-217F-8460-36BA-643741B30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69</xdr:row>
      <xdr:rowOff>5080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FE84FF-F694-6A4E-5069-E0CECB248B8C}"/>
            </a:ext>
          </a:extLst>
        </xdr:cNvPr>
        <xdr:cNvSpPr txBox="1"/>
      </xdr:nvSpPr>
      <xdr:spPr>
        <a:xfrm>
          <a:off x="0" y="32263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69</xdr:row>
      <xdr:rowOff>5080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9AEF9C3-037B-A508-9A07-61BC6F4FD148}"/>
            </a:ext>
          </a:extLst>
        </xdr:cNvPr>
        <xdr:cNvSpPr txBox="1"/>
      </xdr:nvSpPr>
      <xdr:spPr>
        <a:xfrm>
          <a:off x="0" y="32263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33</xdr:row>
      <xdr:rowOff>5080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29CC9DB-E149-08C2-B38E-03EFB739060F}"/>
            </a:ext>
          </a:extLst>
        </xdr:cNvPr>
        <xdr:cNvSpPr txBox="1"/>
      </xdr:nvSpPr>
      <xdr:spPr>
        <a:xfrm>
          <a:off x="0" y="172929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182245</xdr:rowOff>
    </xdr:from>
    <xdr:ext cx="65" cy="17837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21B4B4-8793-8938-0D25-DF83E98C4A1F}"/>
            </a:ext>
          </a:extLst>
        </xdr:cNvPr>
        <xdr:cNvSpPr txBox="1"/>
      </xdr:nvSpPr>
      <xdr:spPr>
        <a:xfrm>
          <a:off x="0" y="5353321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33</xdr:row>
      <xdr:rowOff>5080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41DF300-BDCB-8048-AED8-058C24E285B8}"/>
            </a:ext>
          </a:extLst>
        </xdr:cNvPr>
        <xdr:cNvSpPr txBox="1"/>
      </xdr:nvSpPr>
      <xdr:spPr>
        <a:xfrm>
          <a:off x="0" y="172929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36</xdr:row>
      <xdr:rowOff>316230</xdr:rowOff>
    </xdr:from>
    <xdr:ext cx="65" cy="1823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0FAB4C0-0100-8714-C2AA-0FB70DCCBC62}"/>
            </a:ext>
          </a:extLst>
        </xdr:cNvPr>
        <xdr:cNvSpPr txBox="1"/>
      </xdr:nvSpPr>
      <xdr:spPr>
        <a:xfrm>
          <a:off x="0" y="187725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97</xdr:row>
      <xdr:rowOff>328295</xdr:rowOff>
    </xdr:from>
    <xdr:ext cx="65" cy="17492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659D84A-6AC7-B569-C5CA-7F8626CEA88D}"/>
            </a:ext>
          </a:extLst>
        </xdr:cNvPr>
        <xdr:cNvSpPr txBox="1"/>
      </xdr:nvSpPr>
      <xdr:spPr>
        <a:xfrm>
          <a:off x="0" y="82271235"/>
          <a:ext cx="65" cy="1878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72</xdr:row>
      <xdr:rowOff>5080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7A67323-CFFA-D93C-6659-233196F32EC5}"/>
            </a:ext>
          </a:extLst>
        </xdr:cNvPr>
        <xdr:cNvSpPr txBox="1"/>
      </xdr:nvSpPr>
      <xdr:spPr>
        <a:xfrm>
          <a:off x="0" y="3376326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</xdr:row>
      <xdr:rowOff>316230</xdr:rowOff>
    </xdr:from>
    <xdr:ext cx="65" cy="182358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60C21F-0B54-BC1A-0B68-71AA7C9D2269}"/>
            </a:ext>
          </a:extLst>
        </xdr:cNvPr>
        <xdr:cNvSpPr txBox="1"/>
      </xdr:nvSpPr>
      <xdr:spPr>
        <a:xfrm>
          <a:off x="0" y="28059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58</xdr:row>
      <xdr:rowOff>316230</xdr:rowOff>
    </xdr:from>
    <xdr:ext cx="65" cy="1823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A67270-75AD-9EE7-A1D6-D51FF2A4A5B8}"/>
            </a:ext>
          </a:extLst>
        </xdr:cNvPr>
        <xdr:cNvSpPr txBox="1"/>
      </xdr:nvSpPr>
      <xdr:spPr>
        <a:xfrm>
          <a:off x="0" y="28059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316230</xdr:rowOff>
    </xdr:from>
    <xdr:ext cx="65" cy="182358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EF8097-8A10-D399-954C-6C12F28702CE}"/>
            </a:ext>
          </a:extLst>
        </xdr:cNvPr>
        <xdr:cNvSpPr txBox="1"/>
      </xdr:nvSpPr>
      <xdr:spPr>
        <a:xfrm>
          <a:off x="0" y="16280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1336675</xdr:colOff>
      <xdr:row>153</xdr:row>
      <xdr:rowOff>109220</xdr:rowOff>
    </xdr:from>
    <xdr:ext cx="65" cy="25457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E980103-BBCA-ECAA-9F25-79845A01AB93}"/>
            </a:ext>
          </a:extLst>
        </xdr:cNvPr>
        <xdr:cNvSpPr txBox="1"/>
      </xdr:nvSpPr>
      <xdr:spPr>
        <a:xfrm>
          <a:off x="2354580" y="50756820"/>
          <a:ext cx="65" cy="249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1587</xdr:colOff>
      <xdr:row>153</xdr:row>
      <xdr:rowOff>109220</xdr:rowOff>
    </xdr:from>
    <xdr:ext cx="65" cy="25457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3B609D4-0B87-EA0B-D934-6A8E40A7EA93}"/>
            </a:ext>
          </a:extLst>
        </xdr:cNvPr>
        <xdr:cNvSpPr txBox="1"/>
      </xdr:nvSpPr>
      <xdr:spPr>
        <a:xfrm>
          <a:off x="8290560" y="50756820"/>
          <a:ext cx="65" cy="249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316230</xdr:rowOff>
    </xdr:from>
    <xdr:ext cx="65" cy="182358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94704C0-5A90-FB6B-E8D0-F682E7D94B18}"/>
            </a:ext>
          </a:extLst>
        </xdr:cNvPr>
        <xdr:cNvSpPr txBox="1"/>
      </xdr:nvSpPr>
      <xdr:spPr>
        <a:xfrm>
          <a:off x="2625725" y="16280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34</xdr:row>
      <xdr:rowOff>1905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DE8A8F2-B3DA-CCF3-1BA2-A2632EF5CA0E}"/>
            </a:ext>
          </a:extLst>
        </xdr:cNvPr>
        <xdr:cNvSpPr txBox="1"/>
      </xdr:nvSpPr>
      <xdr:spPr>
        <a:xfrm>
          <a:off x="2625725" y="176263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29</xdr:row>
      <xdr:rowOff>316230</xdr:rowOff>
    </xdr:from>
    <xdr:ext cx="65" cy="182358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F2299D4-18DF-B5A1-8E6D-27D0CF039539}"/>
            </a:ext>
          </a:extLst>
        </xdr:cNvPr>
        <xdr:cNvSpPr txBox="1"/>
      </xdr:nvSpPr>
      <xdr:spPr>
        <a:xfrm>
          <a:off x="2625725" y="16280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89</xdr:row>
      <xdr:rowOff>316230</xdr:rowOff>
    </xdr:from>
    <xdr:ext cx="65" cy="182358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805D45D-694A-DFE6-2139-CABF6656F871}"/>
            </a:ext>
          </a:extLst>
        </xdr:cNvPr>
        <xdr:cNvSpPr txBox="1"/>
      </xdr:nvSpPr>
      <xdr:spPr>
        <a:xfrm>
          <a:off x="2625725" y="399180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182</xdr:row>
      <xdr:rowOff>317</xdr:rowOff>
    </xdr:from>
    <xdr:ext cx="65" cy="18372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43FC3C7-3212-1888-746F-874477C7FE83}"/>
            </a:ext>
          </a:extLst>
        </xdr:cNvPr>
        <xdr:cNvSpPr txBox="1"/>
      </xdr:nvSpPr>
      <xdr:spPr>
        <a:xfrm>
          <a:off x="2354580" y="76773405"/>
          <a:ext cx="65" cy="1800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28</xdr:row>
      <xdr:rowOff>316230</xdr:rowOff>
    </xdr:from>
    <xdr:ext cx="65" cy="18235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E56ADD6-9798-4B96-A153-28B0C13009E4}"/>
            </a:ext>
          </a:extLst>
        </xdr:cNvPr>
        <xdr:cNvSpPr txBox="1"/>
      </xdr:nvSpPr>
      <xdr:spPr>
        <a:xfrm>
          <a:off x="2625725" y="159467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75</xdr:row>
      <xdr:rowOff>1905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AB6AB08-3ABA-5AA3-1275-C207A24E1AF5}"/>
            </a:ext>
          </a:extLst>
        </xdr:cNvPr>
        <xdr:cNvSpPr txBox="1"/>
      </xdr:nvSpPr>
      <xdr:spPr>
        <a:xfrm>
          <a:off x="2625725" y="3476339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75</xdr:row>
      <xdr:rowOff>1905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FCAF75D-99B3-6680-1667-C04A061B60F9}"/>
            </a:ext>
          </a:extLst>
        </xdr:cNvPr>
        <xdr:cNvSpPr txBox="1"/>
      </xdr:nvSpPr>
      <xdr:spPr>
        <a:xfrm>
          <a:off x="2625725" y="3476339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149</xdr:row>
      <xdr:rowOff>2223</xdr:rowOff>
    </xdr:from>
    <xdr:ext cx="65" cy="17971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35D5D77-084F-0037-8FF9-702E280E5FB0}"/>
            </a:ext>
          </a:extLst>
        </xdr:cNvPr>
        <xdr:cNvSpPr txBox="1"/>
      </xdr:nvSpPr>
      <xdr:spPr>
        <a:xfrm>
          <a:off x="2354580" y="44765595"/>
          <a:ext cx="65" cy="1797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1336675</xdr:colOff>
      <xdr:row>153</xdr:row>
      <xdr:rowOff>109220</xdr:rowOff>
    </xdr:from>
    <xdr:ext cx="65" cy="25457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D11F619-7AAA-C61A-3E8F-1B7857D5F49D}"/>
            </a:ext>
          </a:extLst>
        </xdr:cNvPr>
        <xdr:cNvSpPr txBox="1"/>
      </xdr:nvSpPr>
      <xdr:spPr>
        <a:xfrm>
          <a:off x="2354580" y="50756820"/>
          <a:ext cx="65" cy="2491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166</xdr:row>
      <xdr:rowOff>0</xdr:rowOff>
    </xdr:from>
    <xdr:ext cx="65" cy="189699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94DB8CE-57E6-08FF-8ED5-1C13D7CB5BFF}"/>
            </a:ext>
          </a:extLst>
        </xdr:cNvPr>
        <xdr:cNvSpPr txBox="1"/>
      </xdr:nvSpPr>
      <xdr:spPr>
        <a:xfrm>
          <a:off x="2354580" y="59207400"/>
          <a:ext cx="65" cy="1797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2</xdr:col>
      <xdr:colOff>1330325</xdr:colOff>
      <xdr:row>149</xdr:row>
      <xdr:rowOff>2223</xdr:rowOff>
    </xdr:from>
    <xdr:ext cx="65" cy="17971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4E99F1F-DF20-08DE-013E-92D50F8C0DBA}"/>
            </a:ext>
          </a:extLst>
        </xdr:cNvPr>
        <xdr:cNvSpPr txBox="1"/>
      </xdr:nvSpPr>
      <xdr:spPr>
        <a:xfrm>
          <a:off x="2354580" y="44765595"/>
          <a:ext cx="65" cy="1797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4</xdr:col>
      <xdr:colOff>104775</xdr:colOff>
      <xdr:row>9</xdr:row>
      <xdr:rowOff>0</xdr:rowOff>
    </xdr:from>
    <xdr:to>
      <xdr:col>11</xdr:col>
      <xdr:colOff>790575</xdr:colOff>
      <xdr:row>14</xdr:row>
      <xdr:rowOff>95250</xdr:rowOff>
    </xdr:to>
    <xdr:graphicFrame macro="">
      <xdr:nvGraphicFramePr>
        <xdr:cNvPr id="2033429" name="Chart 26">
          <a:extLst>
            <a:ext uri="{FF2B5EF4-FFF2-40B4-BE49-F238E27FC236}">
              <a16:creationId xmlns:a16="http://schemas.microsoft.com/office/drawing/2014/main" id="{C25689DC-7E4A-40AB-3786-60CD113DD0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17</xdr:row>
      <xdr:rowOff>295275</xdr:rowOff>
    </xdr:from>
    <xdr:to>
      <xdr:col>11</xdr:col>
      <xdr:colOff>600075</xdr:colOff>
      <xdr:row>24</xdr:row>
      <xdr:rowOff>619125</xdr:rowOff>
    </xdr:to>
    <xdr:graphicFrame macro="">
      <xdr:nvGraphicFramePr>
        <xdr:cNvPr id="2033430" name="Chart 26">
          <a:extLst>
            <a:ext uri="{FF2B5EF4-FFF2-40B4-BE49-F238E27FC236}">
              <a16:creationId xmlns:a16="http://schemas.microsoft.com/office/drawing/2014/main" id="{FDC1A8F3-734C-8494-4CCC-98E1C00E8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9525</xdr:colOff>
      <xdr:row>8</xdr:row>
      <xdr:rowOff>114300</xdr:rowOff>
    </xdr:from>
    <xdr:to>
      <xdr:col>20</xdr:col>
      <xdr:colOff>304800</xdr:colOff>
      <xdr:row>14</xdr:row>
      <xdr:rowOff>409575</xdr:rowOff>
    </xdr:to>
    <xdr:graphicFrame macro="">
      <xdr:nvGraphicFramePr>
        <xdr:cNvPr id="2033431" name="Chart 31">
          <a:extLst>
            <a:ext uri="{FF2B5EF4-FFF2-40B4-BE49-F238E27FC236}">
              <a16:creationId xmlns:a16="http://schemas.microsoft.com/office/drawing/2014/main" id="{59577CC9-84C1-F5F9-0BF8-A0C28901B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9525</xdr:colOff>
      <xdr:row>15</xdr:row>
      <xdr:rowOff>238125</xdr:rowOff>
    </xdr:from>
    <xdr:to>
      <xdr:col>20</xdr:col>
      <xdr:colOff>295275</xdr:colOff>
      <xdr:row>20</xdr:row>
      <xdr:rowOff>104775</xdr:rowOff>
    </xdr:to>
    <xdr:graphicFrame macro="">
      <xdr:nvGraphicFramePr>
        <xdr:cNvPr id="2033432" name="Chart 27">
          <a:extLst>
            <a:ext uri="{FF2B5EF4-FFF2-40B4-BE49-F238E27FC236}">
              <a16:creationId xmlns:a16="http://schemas.microsoft.com/office/drawing/2014/main" id="{615D15EA-8FA9-01B9-0EF1-8B401D7355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1330325</xdr:colOff>
      <xdr:row>24</xdr:row>
      <xdr:rowOff>1905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40895D-94B0-8C9F-03EB-6B79D7FA1895}"/>
            </a:ext>
          </a:extLst>
        </xdr:cNvPr>
        <xdr:cNvSpPr txBox="1"/>
      </xdr:nvSpPr>
      <xdr:spPr>
        <a:xfrm>
          <a:off x="5048250" y="1216215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1346200</xdr:colOff>
      <xdr:row>38</xdr:row>
      <xdr:rowOff>184785</xdr:rowOff>
    </xdr:from>
    <xdr:ext cx="65" cy="1817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53DB74-BB24-968A-0CFC-17BE1EEB6FBC}"/>
            </a:ext>
          </a:extLst>
        </xdr:cNvPr>
        <xdr:cNvSpPr txBox="1"/>
      </xdr:nvSpPr>
      <xdr:spPr>
        <a:xfrm>
          <a:off x="5048250" y="193363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1346200</xdr:colOff>
      <xdr:row>38</xdr:row>
      <xdr:rowOff>184785</xdr:rowOff>
    </xdr:from>
    <xdr:ext cx="65" cy="18179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5F6CC7-00ED-405F-A46E-B3EB98A80518}"/>
            </a:ext>
          </a:extLst>
        </xdr:cNvPr>
        <xdr:cNvSpPr txBox="1"/>
      </xdr:nvSpPr>
      <xdr:spPr>
        <a:xfrm>
          <a:off x="5048250" y="193363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41B7-D1A9-4136-A953-1C8030FD3835}">
  <dimension ref="A1:CE189"/>
  <sheetViews>
    <sheetView zoomScale="83" zoomScaleNormal="85"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S180" sqref="S180"/>
    </sheetView>
  </sheetViews>
  <sheetFormatPr defaultRowHeight="15" x14ac:dyDescent="0.25"/>
  <cols>
    <col min="1" max="1" width="16.42578125" style="21" bestFit="1" customWidth="1"/>
    <col min="2" max="2" width="9.140625" style="21"/>
    <col min="3" max="3" width="28.5703125" style="21" bestFit="1" customWidth="1"/>
    <col min="4" max="4" width="16.140625" style="65" bestFit="1" customWidth="1"/>
    <col min="5" max="5" width="29.5703125" style="65" bestFit="1" customWidth="1"/>
    <col min="6" max="6" width="22.7109375" style="87" bestFit="1" customWidth="1"/>
    <col min="7" max="7" width="10.42578125" style="21" customWidth="1"/>
    <col min="8" max="8" width="11" style="21" bestFit="1" customWidth="1"/>
    <col min="9" max="9" width="14" style="21" bestFit="1" customWidth="1"/>
    <col min="10" max="10" width="14.140625" style="21" bestFit="1" customWidth="1"/>
    <col min="11" max="11" width="16.5703125" style="21" bestFit="1" customWidth="1"/>
    <col min="12" max="12" width="13.85546875" style="21" customWidth="1"/>
    <col min="13" max="13" width="7.5703125" style="21" bestFit="1" customWidth="1"/>
    <col min="14" max="14" width="19.140625" style="21" bestFit="1" customWidth="1"/>
    <col min="15" max="15" width="22.5703125" style="21" bestFit="1" customWidth="1"/>
    <col min="16" max="16" width="24.5703125" style="21" customWidth="1"/>
    <col min="17" max="17" width="13.5703125" style="65" customWidth="1"/>
    <col min="18" max="18" width="10" style="65" customWidth="1"/>
    <col min="19" max="19" width="15.85546875" style="87" customWidth="1"/>
    <col min="20" max="20" width="16.42578125" style="30" bestFit="1" customWidth="1"/>
    <col min="21" max="21" width="9.85546875" style="66" customWidth="1"/>
    <col min="22" max="22" width="11" style="21" customWidth="1"/>
    <col min="23" max="24" width="9.140625" style="21"/>
    <col min="25" max="25" width="10.42578125" style="21" bestFit="1" customWidth="1"/>
    <col min="26" max="27" width="9.140625" style="21"/>
    <col min="28" max="28" width="10.42578125" style="21" bestFit="1" customWidth="1"/>
    <col min="29" max="37" width="9.140625" style="21"/>
    <col min="38" max="38" width="11" style="178" bestFit="1" customWidth="1"/>
    <col min="39" max="49" width="9.140625" style="21"/>
    <col min="50" max="50" width="13.140625" style="181" bestFit="1" customWidth="1"/>
    <col min="51" max="51" width="12.85546875" style="202" customWidth="1"/>
    <col min="52" max="52" width="12.140625" style="202" customWidth="1"/>
    <col min="53" max="53" width="11.5703125" style="21" customWidth="1"/>
    <col min="54" max="54" width="12" style="21" customWidth="1"/>
    <col min="55" max="55" width="11.42578125" style="210" bestFit="1" customWidth="1"/>
    <col min="56" max="56" width="9.140625" style="281"/>
    <col min="57" max="57" width="9.140625" style="21"/>
    <col min="58" max="58" width="11.42578125" style="214" bestFit="1" customWidth="1"/>
    <col min="59" max="59" width="11.140625" style="210" bestFit="1" customWidth="1"/>
    <col min="60" max="70" width="9.140625" style="21"/>
    <col min="71" max="72" width="12.28515625" style="181" customWidth="1"/>
    <col min="73" max="73" width="12.42578125" style="21" customWidth="1"/>
    <col min="74" max="16384" width="9.140625" style="21"/>
  </cols>
  <sheetData>
    <row r="1" spans="1:83" s="16" customFormat="1" ht="57.6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86" t="s">
        <v>5</v>
      </c>
      <c r="G1" s="12" t="s">
        <v>6</v>
      </c>
      <c r="H1" s="11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86" t="s">
        <v>18</v>
      </c>
      <c r="T1" s="14" t="s">
        <v>19</v>
      </c>
      <c r="U1" s="67" t="s">
        <v>20</v>
      </c>
      <c r="V1" s="67" t="s">
        <v>21</v>
      </c>
      <c r="W1" s="15"/>
      <c r="X1" s="84" t="s">
        <v>22</v>
      </c>
      <c r="Y1" s="85" t="s">
        <v>23</v>
      </c>
      <c r="Z1" s="15"/>
      <c r="AA1" s="15" t="s">
        <v>24</v>
      </c>
      <c r="AB1" s="15" t="s">
        <v>23</v>
      </c>
      <c r="AC1" s="15"/>
      <c r="AD1" s="15"/>
      <c r="AE1" s="15"/>
      <c r="AF1" s="15"/>
      <c r="AG1" s="15"/>
      <c r="AH1" s="15"/>
      <c r="AI1" s="15"/>
      <c r="AJ1" s="15"/>
      <c r="AK1" s="15" t="s">
        <v>0</v>
      </c>
      <c r="AL1" s="184" t="s">
        <v>25</v>
      </c>
      <c r="AM1" s="219" t="s">
        <v>26</v>
      </c>
      <c r="AN1" s="15"/>
      <c r="AO1" s="15"/>
      <c r="AX1" s="188" t="s">
        <v>27</v>
      </c>
      <c r="AY1" s="189" t="s">
        <v>28</v>
      </c>
      <c r="AZ1" s="189" t="s">
        <v>29</v>
      </c>
      <c r="BA1" s="188" t="s">
        <v>30</v>
      </c>
      <c r="BB1" s="188" t="s">
        <v>31</v>
      </c>
      <c r="BC1" s="217" t="s">
        <v>32</v>
      </c>
      <c r="BD1" s="276" t="s">
        <v>33</v>
      </c>
      <c r="BE1" s="188" t="s">
        <v>34</v>
      </c>
      <c r="BF1" s="189" t="s">
        <v>35</v>
      </c>
      <c r="BG1" s="217" t="s">
        <v>36</v>
      </c>
      <c r="BI1" s="16" t="s">
        <v>37</v>
      </c>
      <c r="BJ1" s="16" t="s">
        <v>23</v>
      </c>
      <c r="BS1" s="188" t="s">
        <v>38</v>
      </c>
      <c r="BT1" s="188" t="s">
        <v>39</v>
      </c>
      <c r="BU1" s="188" t="s">
        <v>40</v>
      </c>
    </row>
    <row r="2" spans="1:83" s="17" customFormat="1" ht="45" x14ac:dyDescent="0.25">
      <c r="A2" s="31" t="s">
        <v>41</v>
      </c>
      <c r="B2" s="31">
        <v>55</v>
      </c>
      <c r="C2" s="31" t="s">
        <v>42</v>
      </c>
      <c r="D2" s="31">
        <v>13</v>
      </c>
      <c r="E2" s="31">
        <v>1</v>
      </c>
      <c r="F2" s="138">
        <v>20</v>
      </c>
      <c r="G2" s="31" t="s">
        <v>43</v>
      </c>
      <c r="H2" s="54">
        <v>1987</v>
      </c>
      <c r="I2" s="1">
        <v>43763</v>
      </c>
      <c r="J2" s="54">
        <v>1987</v>
      </c>
      <c r="K2" s="31" t="s">
        <v>44</v>
      </c>
      <c r="L2" s="31" t="s">
        <v>45</v>
      </c>
      <c r="M2" s="54" t="s">
        <v>46</v>
      </c>
      <c r="N2" s="31" t="s">
        <v>47</v>
      </c>
      <c r="O2" s="31" t="s">
        <v>48</v>
      </c>
      <c r="P2" s="31" t="s">
        <v>49</v>
      </c>
      <c r="Q2" s="31" t="s">
        <v>50</v>
      </c>
      <c r="R2" s="32" t="str">
        <f>IF(OR(ISNUMBER(SEARCH("&amp;", Q2)), ISNUMBER(SEARCH(",", Q2))), "Multiple", "Single")</f>
        <v>Multiple</v>
      </c>
      <c r="S2" s="88">
        <v>350</v>
      </c>
      <c r="T2" s="27">
        <v>44048</v>
      </c>
      <c r="U2" s="89">
        <f>WEEKDAY(T2)</f>
        <v>4</v>
      </c>
      <c r="V2" s="69" t="str">
        <f>TEXT(T2,"mmmm")</f>
        <v>August</v>
      </c>
      <c r="W2" s="70"/>
      <c r="X2" s="75" t="s">
        <v>51</v>
      </c>
      <c r="Y2" s="83">
        <f>COUNTIF(V2:V179,"January")</f>
        <v>11</v>
      </c>
      <c r="Z2" s="72"/>
      <c r="AA2" s="17" t="s">
        <v>52</v>
      </c>
      <c r="AB2" s="83">
        <f>COUNTIF(U2:U179,"2")</f>
        <v>31</v>
      </c>
      <c r="AK2" s="17" t="s">
        <v>41</v>
      </c>
      <c r="AL2" s="165">
        <f t="shared" ref="AL2:AL33" si="0">COUNTIF(A$2:A$179,AK2)*1</f>
        <v>2</v>
      </c>
      <c r="AM2" s="17">
        <f>SUMIF($A$2:$A$179, AK2, $S$2:$S$179)</f>
        <v>1450</v>
      </c>
      <c r="AN2" s="17">
        <v>1</v>
      </c>
      <c r="AO2" s="17">
        <f>COUNTIF(AL$2:AL$100, AN2)</f>
        <v>63</v>
      </c>
      <c r="AX2" s="190" t="s">
        <v>53</v>
      </c>
      <c r="AY2" s="198">
        <v>362.09</v>
      </c>
      <c r="AZ2" s="198">
        <v>260.23</v>
      </c>
      <c r="BA2" s="17">
        <f>IF(OR(ISNUMBER(SEARCH("major", Q2))), 8, 1)</f>
        <v>8</v>
      </c>
      <c r="BB2" s="17">
        <f>(E2*2)+BA2</f>
        <v>10</v>
      </c>
      <c r="BC2" s="209">
        <f>IF(B2&lt;18, 4*F2, 2*F2)</f>
        <v>40</v>
      </c>
      <c r="BD2" s="277">
        <f>IF(B2&gt;=18, IF(G2="Male", IF(BB2&gt;24, 2*366.77, IF(BB2&gt;=4, 366.77, 0.5*366.77)), IF(BB2&gt;24, 2*252.79, IF(BB2&gt;=4, 252.79, 0.5*252.79))), IF(BB2&gt;24, 2*309.89, IF(BB2&gt;=4, 309.89, 0.5*309.89)))</f>
        <v>366.77</v>
      </c>
      <c r="BE2" s="17">
        <f>IF(B2&gt;=18, IF(G2="Male", IF(BB2&gt;24, 366.77, 0), IF(BB2&gt;24, 252.79, 0)), 2*309.89)</f>
        <v>0</v>
      </c>
      <c r="BF2" s="213">
        <f>S2+BC2+BD2+BE2</f>
        <v>756.77</v>
      </c>
      <c r="BG2" s="209">
        <f>BC2+BD2+BE2</f>
        <v>406.77</v>
      </c>
      <c r="BI2" s="17">
        <v>2003</v>
      </c>
      <c r="BJ2" s="218">
        <f t="array" ref="BJ2">SUMPRODUCT(--(YEAR($T$2:$T$179)=BI2))</f>
        <v>1</v>
      </c>
      <c r="BS2" s="190" t="s">
        <v>54</v>
      </c>
      <c r="BT2" s="190" t="s">
        <v>48</v>
      </c>
      <c r="BU2" s="17">
        <f>COUNTIFS(L2:L179,"*transradial*", N2:N179, "*cosmetic*")</f>
        <v>35</v>
      </c>
    </row>
    <row r="3" spans="1:83" s="18" customFormat="1" ht="39" thickBot="1" x14ac:dyDescent="0.3">
      <c r="A3" s="34" t="s">
        <v>41</v>
      </c>
      <c r="B3" s="34">
        <v>55</v>
      </c>
      <c r="C3" s="38" t="s">
        <v>42</v>
      </c>
      <c r="D3" s="31">
        <v>13</v>
      </c>
      <c r="E3" s="31">
        <v>1</v>
      </c>
      <c r="F3" s="138">
        <v>20</v>
      </c>
      <c r="G3" s="34" t="s">
        <v>43</v>
      </c>
      <c r="H3" s="34">
        <v>1987</v>
      </c>
      <c r="I3" s="3">
        <v>43763</v>
      </c>
      <c r="J3" s="34">
        <v>1987</v>
      </c>
      <c r="K3" s="34" t="s">
        <v>44</v>
      </c>
      <c r="L3" s="34" t="s">
        <v>45</v>
      </c>
      <c r="M3" s="34" t="s">
        <v>46</v>
      </c>
      <c r="N3" s="34" t="s">
        <v>47</v>
      </c>
      <c r="O3" s="34" t="s">
        <v>48</v>
      </c>
      <c r="P3" s="34" t="s">
        <v>55</v>
      </c>
      <c r="Q3" s="90" t="s">
        <v>50</v>
      </c>
      <c r="R3" s="32" t="str">
        <f t="shared" ref="R3:R60" si="1">IF(OR(ISNUMBER(SEARCH("&amp;", Q3)), ISNUMBER(SEARCH(",", Q3))), "Multiple", "Single")</f>
        <v>Multiple</v>
      </c>
      <c r="S3" s="91">
        <f>350+750</f>
        <v>1100</v>
      </c>
      <c r="T3" s="3">
        <v>43763</v>
      </c>
      <c r="U3" s="89">
        <f t="shared" ref="U3:U60" si="2">WEEKDAY(T3)</f>
        <v>6</v>
      </c>
      <c r="V3" s="69" t="str">
        <f t="shared" ref="V3:V60" si="3">TEXT(T3,"mmmm")</f>
        <v>October</v>
      </c>
      <c r="X3" s="77" t="s">
        <v>56</v>
      </c>
      <c r="Y3" s="74">
        <f>COUNTIF(V2:V179,"February")</f>
        <v>14</v>
      </c>
      <c r="AA3" s="18" t="s">
        <v>57</v>
      </c>
      <c r="AB3" s="83">
        <f>COUNTIF(U2:U179,"3")</f>
        <v>30</v>
      </c>
      <c r="AK3" s="18" t="s">
        <v>58</v>
      </c>
      <c r="AL3" s="165">
        <f t="shared" si="0"/>
        <v>2</v>
      </c>
      <c r="AM3" s="17">
        <f>SUMIF($A$2:$A$179, AK3, $S$2:$S$179)</f>
        <v>1250</v>
      </c>
      <c r="AN3" s="18">
        <v>2</v>
      </c>
      <c r="AO3" s="17">
        <f t="shared" ref="AO3:AO11" si="4">COUNTIF(AL$2:AL$100, AN3)</f>
        <v>20</v>
      </c>
      <c r="AX3" s="191" t="s">
        <v>59</v>
      </c>
      <c r="AY3" s="199">
        <v>337.75</v>
      </c>
      <c r="AZ3" s="199">
        <v>274.92</v>
      </c>
      <c r="BA3" s="17">
        <f t="shared" ref="BA3:BA66" si="5">IF(OR(ISNUMBER(SEARCH("major", Q3))), 8, 1)</f>
        <v>8</v>
      </c>
      <c r="BB3" s="17">
        <f t="shared" ref="BB3:BB66" si="6">(E3*2)+BA3</f>
        <v>10</v>
      </c>
      <c r="BC3" s="209">
        <f t="shared" ref="BC3:BC66" si="7">IF(B3&lt;18, 4*F3, 2*F3)</f>
        <v>40</v>
      </c>
      <c r="BD3" s="277">
        <f t="shared" ref="BD3:BD66" si="8">IF(B3&gt;=18, IF(G3="Male", IF(BB3&gt;24, 2*366.77, IF(BB3&gt;=4, 366.77, 0.5*366.77)), IF(BB3&gt;24, 2*252.79, IF(BB3&gt;=4, 252.79, 0.5*252.79))), IF(BB3&gt;24, 2*309.89, IF(BB3&gt;=4, 309.89, 0.5*309.89)))</f>
        <v>366.77</v>
      </c>
      <c r="BE3" s="17">
        <f t="shared" ref="BE3:BE66" si="9">IF(B3&gt;=18, IF(G3="Male", IF(BB3&gt;24, 366.77, 0), IF(BB3&gt;24, 252.79, 0)), 2*309.89)</f>
        <v>0</v>
      </c>
      <c r="BF3" s="213">
        <f t="shared" ref="BF3:BF66" si="10">S3+BC3+BD3+BE3</f>
        <v>1506.77</v>
      </c>
      <c r="BG3" s="209">
        <f t="shared" ref="BG3:BG66" si="11">BC3+BD3+BE3</f>
        <v>406.77</v>
      </c>
      <c r="BI3" s="18">
        <v>2004</v>
      </c>
      <c r="BJ3" s="218">
        <f t="array" ref="BJ3">SUMPRODUCT(--(YEAR($T$2:$T$179)=BI3))</f>
        <v>0</v>
      </c>
      <c r="BS3" s="191" t="s">
        <v>54</v>
      </c>
      <c r="BT3" s="191" t="s">
        <v>60</v>
      </c>
      <c r="BU3" s="17">
        <f>COUNTIFS(L2:L179,"*transradial*", N2:N179, "*body powered*")</f>
        <v>90</v>
      </c>
      <c r="CD3" s="17"/>
      <c r="CE3" s="17"/>
    </row>
    <row r="4" spans="1:83" s="19" customFormat="1" ht="60" x14ac:dyDescent="0.25">
      <c r="A4" s="32" t="s">
        <v>58</v>
      </c>
      <c r="B4" s="32">
        <v>57</v>
      </c>
      <c r="C4" s="32" t="s">
        <v>61</v>
      </c>
      <c r="D4" s="32" t="s">
        <v>62</v>
      </c>
      <c r="E4" s="32">
        <v>0.67</v>
      </c>
      <c r="F4" s="88">
        <v>25</v>
      </c>
      <c r="G4" s="32" t="s">
        <v>43</v>
      </c>
      <c r="H4" s="37">
        <v>1979</v>
      </c>
      <c r="I4" s="4">
        <v>43637</v>
      </c>
      <c r="J4" s="37">
        <v>1986</v>
      </c>
      <c r="K4" s="39" t="s">
        <v>63</v>
      </c>
      <c r="L4" s="32" t="s">
        <v>45</v>
      </c>
      <c r="M4" s="37" t="s">
        <v>64</v>
      </c>
      <c r="N4" s="32" t="s">
        <v>60</v>
      </c>
      <c r="O4" s="39" t="s">
        <v>65</v>
      </c>
      <c r="P4" s="32" t="s">
        <v>66</v>
      </c>
      <c r="Q4" s="32" t="s">
        <v>67</v>
      </c>
      <c r="R4" s="32" t="str">
        <f t="shared" si="1"/>
        <v>Single</v>
      </c>
      <c r="S4" s="88">
        <v>500</v>
      </c>
      <c r="T4" s="26">
        <v>43729</v>
      </c>
      <c r="U4" s="89">
        <f t="shared" si="2"/>
        <v>7</v>
      </c>
      <c r="V4" s="69" t="str">
        <f t="shared" si="3"/>
        <v>September</v>
      </c>
      <c r="W4" s="71"/>
      <c r="X4" s="77" t="s">
        <v>68</v>
      </c>
      <c r="Y4" s="74">
        <f>COUNTIF(V2:V179,X4)</f>
        <v>13</v>
      </c>
      <c r="Z4" s="73"/>
      <c r="AA4" s="19" t="s">
        <v>69</v>
      </c>
      <c r="AB4" s="83">
        <f>COUNTIF(U2:U179,"4")</f>
        <v>37</v>
      </c>
      <c r="AK4" s="17" t="s">
        <v>70</v>
      </c>
      <c r="AL4" s="165">
        <f t="shared" si="0"/>
        <v>2</v>
      </c>
      <c r="AM4" s="17">
        <f t="shared" ref="AM4:AM67" si="12">SUMIF($A$2:$A$179, AK4, $S$2:$S$179)</f>
        <v>1500</v>
      </c>
      <c r="AN4" s="17">
        <v>3</v>
      </c>
      <c r="AO4" s="17">
        <f t="shared" si="4"/>
        <v>6</v>
      </c>
      <c r="AX4" s="192" t="s">
        <v>71</v>
      </c>
      <c r="AY4" s="200">
        <v>327.18</v>
      </c>
      <c r="AZ4" s="200">
        <v>270.83999999999997</v>
      </c>
      <c r="BA4" s="17">
        <f t="shared" si="5"/>
        <v>1</v>
      </c>
      <c r="BB4" s="17">
        <f t="shared" si="6"/>
        <v>2.34</v>
      </c>
      <c r="BC4" s="209">
        <f t="shared" si="7"/>
        <v>50</v>
      </c>
      <c r="BD4" s="277">
        <f t="shared" si="8"/>
        <v>183.38499999999999</v>
      </c>
      <c r="BE4" s="17">
        <f t="shared" si="9"/>
        <v>0</v>
      </c>
      <c r="BF4" s="213">
        <f t="shared" si="10"/>
        <v>733.38499999999999</v>
      </c>
      <c r="BG4" s="209">
        <f t="shared" si="11"/>
        <v>233.38499999999999</v>
      </c>
      <c r="BI4" s="17">
        <v>2005</v>
      </c>
      <c r="BJ4" s="218">
        <f t="array" ref="BJ4">SUMPRODUCT(--(YEAR($T$2:$T$179)=BI4))</f>
        <v>3</v>
      </c>
      <c r="BS4" s="192" t="s">
        <v>45</v>
      </c>
      <c r="BT4" s="192" t="s">
        <v>48</v>
      </c>
      <c r="BU4" s="17">
        <f>COUNTIFS(L2:L179,"*transhumeral*", N2:N179, "*cosmetic*")</f>
        <v>16</v>
      </c>
      <c r="CD4" s="17"/>
    </row>
    <row r="5" spans="1:83" s="18" customFormat="1" ht="51.75" thickBot="1" x14ac:dyDescent="0.3">
      <c r="A5" s="34" t="s">
        <v>58</v>
      </c>
      <c r="B5" s="32">
        <v>57</v>
      </c>
      <c r="C5" s="38" t="s">
        <v>61</v>
      </c>
      <c r="D5" s="32">
        <v>7</v>
      </c>
      <c r="E5" s="32">
        <v>0.67</v>
      </c>
      <c r="F5" s="88">
        <v>25</v>
      </c>
      <c r="G5" s="34" t="s">
        <v>43</v>
      </c>
      <c r="H5" s="34">
        <v>1979</v>
      </c>
      <c r="I5" s="3">
        <v>43637</v>
      </c>
      <c r="J5" s="34">
        <v>1986</v>
      </c>
      <c r="K5" s="36" t="s">
        <v>63</v>
      </c>
      <c r="L5" s="34" t="s">
        <v>45</v>
      </c>
      <c r="M5" s="34" t="s">
        <v>64</v>
      </c>
      <c r="N5" s="34" t="s">
        <v>60</v>
      </c>
      <c r="O5" s="36" t="s">
        <v>65</v>
      </c>
      <c r="P5" s="34" t="s">
        <v>72</v>
      </c>
      <c r="Q5" s="90" t="s">
        <v>67</v>
      </c>
      <c r="R5" s="32" t="str">
        <f t="shared" si="1"/>
        <v>Single</v>
      </c>
      <c r="S5" s="91">
        <v>750</v>
      </c>
      <c r="T5" s="3">
        <v>44383</v>
      </c>
      <c r="U5" s="89">
        <f t="shared" si="2"/>
        <v>3</v>
      </c>
      <c r="V5" s="69" t="str">
        <f t="shared" si="3"/>
        <v>July</v>
      </c>
      <c r="X5" s="77" t="s">
        <v>73</v>
      </c>
      <c r="Y5" s="74">
        <f>COUNTIF(V2:V179,X5)</f>
        <v>11</v>
      </c>
      <c r="AA5" s="18" t="s">
        <v>74</v>
      </c>
      <c r="AB5" s="83">
        <f>COUNTIF(U2:U179,"5")</f>
        <v>28</v>
      </c>
      <c r="AK5" s="17" t="s">
        <v>75</v>
      </c>
      <c r="AL5" s="165">
        <f t="shared" si="0"/>
        <v>1</v>
      </c>
      <c r="AM5" s="17">
        <f t="shared" si="12"/>
        <v>1000</v>
      </c>
      <c r="AN5" s="18">
        <v>4</v>
      </c>
      <c r="AO5" s="17">
        <f t="shared" si="4"/>
        <v>4</v>
      </c>
      <c r="AX5" s="191" t="s">
        <v>76</v>
      </c>
      <c r="AY5" s="199">
        <v>301.58</v>
      </c>
      <c r="AZ5" s="199">
        <v>264.83</v>
      </c>
      <c r="BA5" s="17">
        <f t="shared" si="5"/>
        <v>1</v>
      </c>
      <c r="BB5" s="17">
        <f t="shared" si="6"/>
        <v>2.34</v>
      </c>
      <c r="BC5" s="209">
        <f t="shared" si="7"/>
        <v>50</v>
      </c>
      <c r="BD5" s="277">
        <f t="shared" si="8"/>
        <v>183.38499999999999</v>
      </c>
      <c r="BE5" s="17">
        <f t="shared" si="9"/>
        <v>0</v>
      </c>
      <c r="BF5" s="213">
        <f t="shared" si="10"/>
        <v>983.38499999999999</v>
      </c>
      <c r="BG5" s="209">
        <f t="shared" si="11"/>
        <v>233.38499999999999</v>
      </c>
      <c r="BI5" s="17">
        <v>2006</v>
      </c>
      <c r="BJ5" s="218">
        <f t="array" ref="BJ5">SUMPRODUCT(--(YEAR($T$2:$T$179)=BI5))</f>
        <v>4</v>
      </c>
      <c r="BS5" s="191" t="s">
        <v>45</v>
      </c>
      <c r="BT5" s="191" t="s">
        <v>60</v>
      </c>
      <c r="BU5" s="17">
        <f>COUNTIFS(L2:L179,"*transhumeral*", N2:N179, "*body powered*")</f>
        <v>37</v>
      </c>
      <c r="CD5" s="17"/>
    </row>
    <row r="6" spans="1:83" s="20" customFormat="1" ht="30.75" thickBot="1" x14ac:dyDescent="0.3">
      <c r="A6" s="39" t="s">
        <v>70</v>
      </c>
      <c r="B6" s="39">
        <v>59</v>
      </c>
      <c r="C6" s="92" t="s">
        <v>77</v>
      </c>
      <c r="D6" s="93">
        <v>12</v>
      </c>
      <c r="E6" s="93">
        <v>1</v>
      </c>
      <c r="F6" s="139">
        <v>22</v>
      </c>
      <c r="G6" s="39" t="s">
        <v>43</v>
      </c>
      <c r="H6" s="55">
        <v>1988</v>
      </c>
      <c r="I6" s="9">
        <v>43570</v>
      </c>
      <c r="J6" s="55">
        <v>1989</v>
      </c>
      <c r="K6" s="32" t="s">
        <v>63</v>
      </c>
      <c r="L6" s="39" t="s">
        <v>54</v>
      </c>
      <c r="M6" s="55" t="s">
        <v>46</v>
      </c>
      <c r="N6" s="32" t="s">
        <v>60</v>
      </c>
      <c r="O6" s="39" t="s">
        <v>65</v>
      </c>
      <c r="P6" s="39" t="s">
        <v>78</v>
      </c>
      <c r="Q6" s="39" t="s">
        <v>67</v>
      </c>
      <c r="R6" s="32" t="str">
        <f t="shared" si="1"/>
        <v>Single</v>
      </c>
      <c r="S6" s="88">
        <v>750</v>
      </c>
      <c r="T6" s="94">
        <v>44062</v>
      </c>
      <c r="U6" s="89">
        <f t="shared" si="2"/>
        <v>4</v>
      </c>
      <c r="V6" s="69" t="str">
        <f t="shared" si="3"/>
        <v>August</v>
      </c>
      <c r="X6" s="77" t="s">
        <v>79</v>
      </c>
      <c r="Y6" s="74">
        <f>COUNTIF(V2:V179,X6)</f>
        <v>16</v>
      </c>
      <c r="AA6" s="20" t="s">
        <v>80</v>
      </c>
      <c r="AB6" s="83">
        <f>COUNTIF(U2:U179,"6")</f>
        <v>25</v>
      </c>
      <c r="AK6" s="18" t="s">
        <v>81</v>
      </c>
      <c r="AL6" s="165">
        <f t="shared" si="0"/>
        <v>1</v>
      </c>
      <c r="AM6" s="17">
        <f t="shared" si="12"/>
        <v>7000</v>
      </c>
      <c r="AN6" s="17">
        <v>5</v>
      </c>
      <c r="AO6" s="17">
        <f t="shared" si="4"/>
        <v>1</v>
      </c>
      <c r="AX6" s="193" t="s">
        <v>82</v>
      </c>
      <c r="AY6" s="201">
        <v>331.27</v>
      </c>
      <c r="AZ6" s="201">
        <v>253.01</v>
      </c>
      <c r="BA6" s="17">
        <f t="shared" si="5"/>
        <v>1</v>
      </c>
      <c r="BB6" s="17">
        <f t="shared" si="6"/>
        <v>3</v>
      </c>
      <c r="BC6" s="209">
        <f t="shared" si="7"/>
        <v>44</v>
      </c>
      <c r="BD6" s="277">
        <f t="shared" si="8"/>
        <v>183.38499999999999</v>
      </c>
      <c r="BE6" s="17">
        <f t="shared" si="9"/>
        <v>0</v>
      </c>
      <c r="BF6" s="213">
        <f t="shared" si="10"/>
        <v>977.38499999999999</v>
      </c>
      <c r="BG6" s="209">
        <f t="shared" si="11"/>
        <v>227.38499999999999</v>
      </c>
      <c r="BI6" s="18">
        <v>2007</v>
      </c>
      <c r="BJ6" s="218">
        <f t="array" ref="BJ6">SUMPRODUCT(--(YEAR($T$2:$T$179)=BI6))</f>
        <v>2</v>
      </c>
      <c r="BS6" s="20" t="s">
        <v>54</v>
      </c>
      <c r="BT6" s="193" t="s">
        <v>83</v>
      </c>
      <c r="BU6" s="17">
        <f>COUNTIF(N2:N179, "*myoelectric*")</f>
        <v>1</v>
      </c>
      <c r="CD6" s="17"/>
    </row>
    <row r="7" spans="1:83" ht="30.75" thickBot="1" x14ac:dyDescent="0.3">
      <c r="A7" s="32" t="s">
        <v>70</v>
      </c>
      <c r="B7" s="39">
        <v>59</v>
      </c>
      <c r="C7" s="40" t="s">
        <v>77</v>
      </c>
      <c r="D7" s="93">
        <v>12</v>
      </c>
      <c r="E7" s="93">
        <v>1</v>
      </c>
      <c r="F7" s="139">
        <v>22</v>
      </c>
      <c r="G7" s="32" t="s">
        <v>43</v>
      </c>
      <c r="H7" s="32">
        <v>1988</v>
      </c>
      <c r="I7" s="4">
        <v>43570</v>
      </c>
      <c r="J7" s="32">
        <v>1989</v>
      </c>
      <c r="K7" s="32" t="s">
        <v>63</v>
      </c>
      <c r="L7" s="32" t="s">
        <v>54</v>
      </c>
      <c r="M7" s="37" t="s">
        <v>46</v>
      </c>
      <c r="N7" s="32" t="s">
        <v>60</v>
      </c>
      <c r="O7" s="37" t="s">
        <v>65</v>
      </c>
      <c r="P7" s="32" t="s">
        <v>78</v>
      </c>
      <c r="Q7" s="95" t="s">
        <v>67</v>
      </c>
      <c r="R7" s="32" t="str">
        <f t="shared" si="1"/>
        <v>Single</v>
      </c>
      <c r="S7" s="88">
        <v>750</v>
      </c>
      <c r="T7" s="4">
        <v>43570</v>
      </c>
      <c r="U7" s="89">
        <f t="shared" si="2"/>
        <v>2</v>
      </c>
      <c r="V7" s="69" t="str">
        <f t="shared" si="3"/>
        <v>April</v>
      </c>
      <c r="X7" s="77" t="s">
        <v>84</v>
      </c>
      <c r="Y7" s="74">
        <f>COUNTIF(V2:V179,X7)</f>
        <v>19</v>
      </c>
      <c r="AA7" s="21" t="s">
        <v>85</v>
      </c>
      <c r="AB7" s="83">
        <f>COUNTIF(U2:U179,"7")</f>
        <v>19</v>
      </c>
      <c r="AK7" s="17" t="s">
        <v>86</v>
      </c>
      <c r="AL7" s="165">
        <f t="shared" si="0"/>
        <v>2</v>
      </c>
      <c r="AM7" s="17">
        <f t="shared" si="12"/>
        <v>4000</v>
      </c>
      <c r="AN7" s="18">
        <v>6</v>
      </c>
      <c r="AO7" s="17">
        <f t="shared" si="4"/>
        <v>3</v>
      </c>
      <c r="AX7" s="181" t="s">
        <v>87</v>
      </c>
      <c r="AY7" s="202">
        <v>383.89</v>
      </c>
      <c r="BA7" s="17">
        <f t="shared" si="5"/>
        <v>1</v>
      </c>
      <c r="BB7" s="17">
        <f t="shared" si="6"/>
        <v>3</v>
      </c>
      <c r="BC7" s="209">
        <f t="shared" si="7"/>
        <v>44</v>
      </c>
      <c r="BD7" s="277">
        <f t="shared" si="8"/>
        <v>183.38499999999999</v>
      </c>
      <c r="BE7" s="17">
        <f t="shared" si="9"/>
        <v>0</v>
      </c>
      <c r="BF7" s="213">
        <f t="shared" si="10"/>
        <v>977.38499999999999</v>
      </c>
      <c r="BG7" s="209">
        <f t="shared" si="11"/>
        <v>227.38499999999999</v>
      </c>
      <c r="BI7" s="17">
        <v>2008</v>
      </c>
      <c r="BJ7" s="218">
        <f t="array" ref="BJ7">SUMPRODUCT(--(YEAR($T$2:$T$179)=BI7))</f>
        <v>6</v>
      </c>
      <c r="CD7" s="17"/>
    </row>
    <row r="8" spans="1:83" s="22" customFormat="1" ht="45.75" thickBot="1" x14ac:dyDescent="0.3">
      <c r="A8" s="49" t="s">
        <v>75</v>
      </c>
      <c r="B8" s="49">
        <v>45</v>
      </c>
      <c r="C8" s="96" t="s">
        <v>88</v>
      </c>
      <c r="D8" s="97">
        <v>32</v>
      </c>
      <c r="E8" s="97">
        <v>2</v>
      </c>
      <c r="F8" s="140">
        <v>90</v>
      </c>
      <c r="G8" s="49" t="s">
        <v>89</v>
      </c>
      <c r="H8" s="64">
        <v>2018</v>
      </c>
      <c r="I8" s="6">
        <v>43454</v>
      </c>
      <c r="J8" s="64">
        <v>2019</v>
      </c>
      <c r="K8" s="49" t="s">
        <v>63</v>
      </c>
      <c r="L8" s="49" t="s">
        <v>54</v>
      </c>
      <c r="M8" s="64" t="s">
        <v>64</v>
      </c>
      <c r="N8" s="49" t="s">
        <v>60</v>
      </c>
      <c r="O8" s="49" t="s">
        <v>65</v>
      </c>
      <c r="P8" s="49" t="s">
        <v>90</v>
      </c>
      <c r="Q8" s="49" t="s">
        <v>91</v>
      </c>
      <c r="R8" s="32" t="str">
        <f t="shared" si="1"/>
        <v>Single</v>
      </c>
      <c r="S8" s="91">
        <v>1000</v>
      </c>
      <c r="T8" s="58">
        <v>43819</v>
      </c>
      <c r="U8" s="89">
        <f t="shared" si="2"/>
        <v>6</v>
      </c>
      <c r="V8" s="69" t="str">
        <f t="shared" si="3"/>
        <v>December</v>
      </c>
      <c r="X8" s="77" t="s">
        <v>92</v>
      </c>
      <c r="Y8" s="74">
        <f>COUNTIF(V2:V179,X8)</f>
        <v>20</v>
      </c>
      <c r="AA8" s="22" t="s">
        <v>93</v>
      </c>
      <c r="AB8" s="83">
        <f>COUNTIF(U2:U179,"1")</f>
        <v>8</v>
      </c>
      <c r="AK8" s="17" t="s">
        <v>94</v>
      </c>
      <c r="AL8" s="165">
        <f t="shared" si="0"/>
        <v>2</v>
      </c>
      <c r="AM8" s="17">
        <f t="shared" si="12"/>
        <v>1500</v>
      </c>
      <c r="AN8" s="17">
        <v>7</v>
      </c>
      <c r="AO8" s="17">
        <f t="shared" si="4"/>
        <v>0</v>
      </c>
      <c r="AX8" s="187" t="s">
        <v>95</v>
      </c>
      <c r="AY8" s="203"/>
      <c r="AZ8" s="203"/>
      <c r="BA8" s="17">
        <f t="shared" si="5"/>
        <v>8</v>
      </c>
      <c r="BB8" s="17">
        <f t="shared" si="6"/>
        <v>12</v>
      </c>
      <c r="BC8" s="209">
        <f t="shared" si="7"/>
        <v>180</v>
      </c>
      <c r="BD8" s="277">
        <f t="shared" si="8"/>
        <v>252.79</v>
      </c>
      <c r="BE8" s="17">
        <f t="shared" si="9"/>
        <v>0</v>
      </c>
      <c r="BF8" s="213">
        <f t="shared" si="10"/>
        <v>1432.79</v>
      </c>
      <c r="BG8" s="209">
        <f t="shared" si="11"/>
        <v>432.78999999999996</v>
      </c>
      <c r="BI8" s="17">
        <v>2009</v>
      </c>
      <c r="BJ8" s="218">
        <f t="array" ref="BJ8">SUMPRODUCT(--(YEAR($T$2:$T$179)=BI8))</f>
        <v>1</v>
      </c>
      <c r="BS8" s="187"/>
      <c r="BT8" s="187"/>
      <c r="CD8" s="17"/>
    </row>
    <row r="9" spans="1:83" s="23" customFormat="1" ht="39" thickBot="1" x14ac:dyDescent="0.3">
      <c r="A9" s="36" t="s">
        <v>81</v>
      </c>
      <c r="B9" s="36">
        <v>46</v>
      </c>
      <c r="C9" s="98" t="s">
        <v>96</v>
      </c>
      <c r="D9" s="99">
        <v>12</v>
      </c>
      <c r="E9" s="99">
        <v>1</v>
      </c>
      <c r="F9" s="141">
        <v>22</v>
      </c>
      <c r="G9" s="36" t="s">
        <v>43</v>
      </c>
      <c r="H9" s="61">
        <v>2018</v>
      </c>
      <c r="I9" s="5">
        <v>43365</v>
      </c>
      <c r="J9" s="61">
        <v>2019</v>
      </c>
      <c r="K9" s="36" t="s">
        <v>63</v>
      </c>
      <c r="L9" s="36" t="s">
        <v>97</v>
      </c>
      <c r="M9" s="61" t="s">
        <v>46</v>
      </c>
      <c r="N9" s="36" t="s">
        <v>47</v>
      </c>
      <c r="O9" s="36" t="s">
        <v>48</v>
      </c>
      <c r="P9" s="36" t="s">
        <v>98</v>
      </c>
      <c r="Q9" s="36" t="s">
        <v>67</v>
      </c>
      <c r="R9" s="32" t="str">
        <f t="shared" si="1"/>
        <v>Single</v>
      </c>
      <c r="S9" s="91">
        <v>7000</v>
      </c>
      <c r="T9" s="63">
        <v>43730</v>
      </c>
      <c r="U9" s="89">
        <f t="shared" si="2"/>
        <v>1</v>
      </c>
      <c r="V9" s="69" t="str">
        <f t="shared" si="3"/>
        <v>September</v>
      </c>
      <c r="X9" s="77" t="s">
        <v>99</v>
      </c>
      <c r="Y9" s="74">
        <f>COUNTIF(V2:V179,X9)</f>
        <v>7</v>
      </c>
      <c r="AK9" s="18" t="s">
        <v>100</v>
      </c>
      <c r="AL9" s="165">
        <f t="shared" si="0"/>
        <v>4</v>
      </c>
      <c r="AM9" s="17">
        <f t="shared" si="12"/>
        <v>4900</v>
      </c>
      <c r="AN9" s="18">
        <v>8</v>
      </c>
      <c r="AO9" s="17">
        <f t="shared" si="4"/>
        <v>1</v>
      </c>
      <c r="AX9" s="182" t="s">
        <v>101</v>
      </c>
      <c r="AY9" s="204">
        <v>423.93</v>
      </c>
      <c r="AZ9" s="204">
        <v>229.39</v>
      </c>
      <c r="BA9" s="17">
        <f t="shared" si="5"/>
        <v>1</v>
      </c>
      <c r="BB9" s="17">
        <f t="shared" si="6"/>
        <v>3</v>
      </c>
      <c r="BC9" s="209">
        <f t="shared" si="7"/>
        <v>44</v>
      </c>
      <c r="BD9" s="277">
        <f t="shared" si="8"/>
        <v>183.38499999999999</v>
      </c>
      <c r="BE9" s="17">
        <f t="shared" si="9"/>
        <v>0</v>
      </c>
      <c r="BF9" s="213">
        <f t="shared" si="10"/>
        <v>7227.3850000000002</v>
      </c>
      <c r="BG9" s="209">
        <f t="shared" si="11"/>
        <v>227.38499999999999</v>
      </c>
      <c r="BI9" s="18">
        <v>2010</v>
      </c>
      <c r="BJ9" s="218">
        <f t="array" ref="BJ9">SUMPRODUCT(--(YEAR($T$2:$T$179)=BI9))</f>
        <v>4</v>
      </c>
      <c r="BS9" s="182"/>
      <c r="BT9" s="182"/>
      <c r="CD9" s="17"/>
    </row>
    <row r="10" spans="1:83" ht="45" x14ac:dyDescent="0.25">
      <c r="A10" s="32" t="s">
        <v>86</v>
      </c>
      <c r="B10" s="32">
        <v>16</v>
      </c>
      <c r="C10" s="40" t="s">
        <v>102</v>
      </c>
      <c r="D10" s="100">
        <v>200</v>
      </c>
      <c r="E10" s="137">
        <v>10</v>
      </c>
      <c r="F10" s="142">
        <v>700</v>
      </c>
      <c r="G10" s="32" t="s">
        <v>43</v>
      </c>
      <c r="H10" s="32">
        <v>2014</v>
      </c>
      <c r="I10" s="4">
        <v>43357</v>
      </c>
      <c r="J10" s="41">
        <v>2018</v>
      </c>
      <c r="K10" s="32" t="s">
        <v>63</v>
      </c>
      <c r="L10" s="39" t="s">
        <v>45</v>
      </c>
      <c r="M10" s="32" t="s">
        <v>64</v>
      </c>
      <c r="N10" s="32" t="s">
        <v>60</v>
      </c>
      <c r="O10" s="32" t="s">
        <v>65</v>
      </c>
      <c r="P10" s="32" t="s">
        <v>103</v>
      </c>
      <c r="Q10" s="95" t="s">
        <v>104</v>
      </c>
      <c r="R10" s="32" t="str">
        <f t="shared" si="1"/>
        <v>Multiple</v>
      </c>
      <c r="S10" s="88">
        <f>2500+750</f>
        <v>3250</v>
      </c>
      <c r="T10" s="4">
        <v>44055</v>
      </c>
      <c r="U10" s="89">
        <f t="shared" si="2"/>
        <v>4</v>
      </c>
      <c r="V10" s="69" t="str">
        <f t="shared" si="3"/>
        <v>August</v>
      </c>
      <c r="X10" s="77" t="s">
        <v>105</v>
      </c>
      <c r="Y10" s="74">
        <f>COUNTIF(V2:V179,X10)</f>
        <v>10</v>
      </c>
      <c r="AA10" s="181" t="s">
        <v>106</v>
      </c>
      <c r="AB10" s="30">
        <f>MIN(T2:T179)</f>
        <v>37758</v>
      </c>
      <c r="AK10" s="17" t="s">
        <v>107</v>
      </c>
      <c r="AL10" s="165">
        <f t="shared" si="0"/>
        <v>1</v>
      </c>
      <c r="AM10" s="17">
        <f t="shared" si="12"/>
        <v>2500</v>
      </c>
      <c r="AN10" s="17">
        <v>9</v>
      </c>
      <c r="AO10" s="17">
        <f t="shared" si="4"/>
        <v>0</v>
      </c>
      <c r="AX10" s="181" t="s">
        <v>108</v>
      </c>
      <c r="AY10" s="202">
        <v>272.77</v>
      </c>
      <c r="AZ10" s="202">
        <v>203.25</v>
      </c>
      <c r="BA10" s="17">
        <f t="shared" si="5"/>
        <v>1</v>
      </c>
      <c r="BB10" s="17">
        <f t="shared" si="6"/>
        <v>21</v>
      </c>
      <c r="BC10" s="209">
        <f t="shared" si="7"/>
        <v>2800</v>
      </c>
      <c r="BD10" s="277">
        <f t="shared" si="8"/>
        <v>309.89</v>
      </c>
      <c r="BE10" s="17">
        <f t="shared" si="9"/>
        <v>619.78</v>
      </c>
      <c r="BF10" s="213">
        <f t="shared" si="10"/>
        <v>6979.67</v>
      </c>
      <c r="BG10" s="209">
        <f t="shared" si="11"/>
        <v>3729.67</v>
      </c>
      <c r="BI10" s="17">
        <v>2011</v>
      </c>
      <c r="BJ10" s="218">
        <f t="array" ref="BJ10">SUMPRODUCT(--(YEAR($T$2:$T$179)=BI10))</f>
        <v>8</v>
      </c>
      <c r="CD10" s="17"/>
    </row>
    <row r="11" spans="1:83" s="23" customFormat="1" ht="45.75" thickBot="1" x14ac:dyDescent="0.3">
      <c r="A11" s="34" t="s">
        <v>86</v>
      </c>
      <c r="B11" s="32">
        <v>16</v>
      </c>
      <c r="C11" s="35" t="s">
        <v>102</v>
      </c>
      <c r="D11" s="99">
        <v>200</v>
      </c>
      <c r="E11" s="137">
        <v>10</v>
      </c>
      <c r="F11" s="142">
        <v>700</v>
      </c>
      <c r="G11" s="34" t="s">
        <v>43</v>
      </c>
      <c r="H11" s="33">
        <v>2014</v>
      </c>
      <c r="I11" s="3">
        <v>43357</v>
      </c>
      <c r="J11" s="33">
        <v>2018</v>
      </c>
      <c r="K11" s="34" t="s">
        <v>63</v>
      </c>
      <c r="L11" s="36" t="s">
        <v>45</v>
      </c>
      <c r="M11" s="33" t="s">
        <v>64</v>
      </c>
      <c r="N11" s="34" t="s">
        <v>60</v>
      </c>
      <c r="O11" s="34" t="s">
        <v>65</v>
      </c>
      <c r="P11" s="34" t="s">
        <v>109</v>
      </c>
      <c r="Q11" s="34" t="s">
        <v>67</v>
      </c>
      <c r="R11" s="32" t="str">
        <f t="shared" si="1"/>
        <v>Single</v>
      </c>
      <c r="S11" s="91">
        <v>750</v>
      </c>
      <c r="T11" s="28">
        <v>43745</v>
      </c>
      <c r="U11" s="89">
        <f t="shared" si="2"/>
        <v>2</v>
      </c>
      <c r="V11" s="69" t="str">
        <f t="shared" si="3"/>
        <v>October</v>
      </c>
      <c r="X11" s="77" t="s">
        <v>110</v>
      </c>
      <c r="Y11" s="74">
        <f>COUNTIF(V2:V179,X11)</f>
        <v>19</v>
      </c>
      <c r="AA11" s="182" t="s">
        <v>111</v>
      </c>
      <c r="AB11" s="183">
        <f>MAX(T2:T179)</f>
        <v>44470</v>
      </c>
      <c r="AK11" s="17" t="s">
        <v>112</v>
      </c>
      <c r="AL11" s="165">
        <f t="shared" si="0"/>
        <v>1</v>
      </c>
      <c r="AM11" s="17">
        <f t="shared" si="12"/>
        <v>5000</v>
      </c>
      <c r="AN11" s="18">
        <v>10</v>
      </c>
      <c r="AO11" s="17">
        <f t="shared" si="4"/>
        <v>1</v>
      </c>
      <c r="AX11" s="182" t="s">
        <v>113</v>
      </c>
      <c r="AY11" s="204">
        <v>306.55</v>
      </c>
      <c r="AZ11" s="204">
        <v>256.57</v>
      </c>
      <c r="BA11" s="17">
        <f t="shared" si="5"/>
        <v>1</v>
      </c>
      <c r="BB11" s="17">
        <f t="shared" si="6"/>
        <v>21</v>
      </c>
      <c r="BC11" s="209">
        <f t="shared" si="7"/>
        <v>2800</v>
      </c>
      <c r="BD11" s="277">
        <f t="shared" si="8"/>
        <v>309.89</v>
      </c>
      <c r="BE11" s="17">
        <f t="shared" si="9"/>
        <v>619.78</v>
      </c>
      <c r="BF11" s="213">
        <f t="shared" si="10"/>
        <v>4479.67</v>
      </c>
      <c r="BG11" s="209">
        <f t="shared" si="11"/>
        <v>3729.67</v>
      </c>
      <c r="BI11" s="17">
        <v>2012</v>
      </c>
      <c r="BJ11" s="218">
        <f t="array" ref="BJ11">SUMPRODUCT(--(YEAR($T$2:$T$179)=BI11))</f>
        <v>12</v>
      </c>
      <c r="BS11" s="182"/>
      <c r="BT11" s="182"/>
      <c r="CD11" s="17"/>
    </row>
    <row r="12" spans="1:83" s="20" customFormat="1" ht="45.75" thickBot="1" x14ac:dyDescent="0.3">
      <c r="A12" s="39" t="s">
        <v>94</v>
      </c>
      <c r="B12" s="39">
        <v>22</v>
      </c>
      <c r="C12" s="92" t="s">
        <v>114</v>
      </c>
      <c r="D12" s="93">
        <v>17</v>
      </c>
      <c r="E12" s="93">
        <v>1</v>
      </c>
      <c r="F12" s="139">
        <v>50</v>
      </c>
      <c r="G12" s="39" t="s">
        <v>43</v>
      </c>
      <c r="H12" s="55">
        <v>2006</v>
      </c>
      <c r="I12" s="9">
        <v>43299</v>
      </c>
      <c r="J12" s="55">
        <v>2011</v>
      </c>
      <c r="K12" s="54" t="s">
        <v>115</v>
      </c>
      <c r="L12" s="39" t="s">
        <v>45</v>
      </c>
      <c r="M12" s="55" t="s">
        <v>46</v>
      </c>
      <c r="N12" s="32" t="s">
        <v>60</v>
      </c>
      <c r="O12" s="39" t="s">
        <v>65</v>
      </c>
      <c r="P12" s="39" t="s">
        <v>116</v>
      </c>
      <c r="Q12" s="39" t="s">
        <v>67</v>
      </c>
      <c r="R12" s="32" t="str">
        <f t="shared" si="1"/>
        <v>Single</v>
      </c>
      <c r="S12" s="88">
        <v>750</v>
      </c>
      <c r="T12" s="94">
        <v>43299</v>
      </c>
      <c r="U12" s="89">
        <f t="shared" si="2"/>
        <v>4</v>
      </c>
      <c r="V12" s="69" t="str">
        <f t="shared" si="3"/>
        <v>July</v>
      </c>
      <c r="X12" s="77" t="s">
        <v>117</v>
      </c>
      <c r="Y12" s="74">
        <f>COUNTIF(V2:V179,X12)</f>
        <v>20</v>
      </c>
      <c r="AA12" s="20" t="s">
        <v>118</v>
      </c>
      <c r="AB12" s="20">
        <f>AB11-AB10</f>
        <v>6712</v>
      </c>
      <c r="AK12" s="18" t="s">
        <v>119</v>
      </c>
      <c r="AL12" s="165">
        <f t="shared" si="0"/>
        <v>1</v>
      </c>
      <c r="AM12" s="17">
        <f t="shared" si="12"/>
        <v>750</v>
      </c>
      <c r="AN12" s="17"/>
      <c r="AO12" s="17"/>
      <c r="AX12" s="193" t="s">
        <v>120</v>
      </c>
      <c r="AY12" s="201">
        <v>324.87</v>
      </c>
      <c r="AZ12" s="201">
        <v>254.54</v>
      </c>
      <c r="BA12" s="17">
        <f t="shared" si="5"/>
        <v>1</v>
      </c>
      <c r="BB12" s="17">
        <f t="shared" si="6"/>
        <v>3</v>
      </c>
      <c r="BC12" s="209">
        <f t="shared" si="7"/>
        <v>100</v>
      </c>
      <c r="BD12" s="277">
        <f t="shared" si="8"/>
        <v>183.38499999999999</v>
      </c>
      <c r="BE12" s="17">
        <f t="shared" si="9"/>
        <v>0</v>
      </c>
      <c r="BF12" s="213">
        <f t="shared" si="10"/>
        <v>1033.385</v>
      </c>
      <c r="BG12" s="209">
        <f t="shared" si="11"/>
        <v>283.38499999999999</v>
      </c>
      <c r="BI12" s="18">
        <v>2013</v>
      </c>
      <c r="BJ12" s="218">
        <f t="array" ref="BJ12">SUMPRODUCT(--(YEAR($T$2:$T$179)=BI12))</f>
        <v>8</v>
      </c>
      <c r="BS12" s="193"/>
      <c r="BT12" s="193"/>
      <c r="CD12" s="17"/>
    </row>
    <row r="13" spans="1:83" s="18" customFormat="1" ht="45.75" thickBot="1" x14ac:dyDescent="0.3">
      <c r="A13" s="34" t="s">
        <v>94</v>
      </c>
      <c r="B13" s="39">
        <v>22</v>
      </c>
      <c r="C13" s="38" t="s">
        <v>114</v>
      </c>
      <c r="D13" s="93">
        <v>17</v>
      </c>
      <c r="E13" s="93">
        <v>1</v>
      </c>
      <c r="F13" s="139">
        <v>50</v>
      </c>
      <c r="G13" s="34" t="s">
        <v>43</v>
      </c>
      <c r="H13" s="34">
        <v>2006</v>
      </c>
      <c r="I13" s="3">
        <v>43299</v>
      </c>
      <c r="J13" s="34">
        <v>2011</v>
      </c>
      <c r="K13" s="61" t="s">
        <v>115</v>
      </c>
      <c r="L13" s="34" t="s">
        <v>45</v>
      </c>
      <c r="M13" s="61" t="s">
        <v>46</v>
      </c>
      <c r="N13" s="36" t="s">
        <v>60</v>
      </c>
      <c r="O13" s="33" t="s">
        <v>65</v>
      </c>
      <c r="P13" s="34" t="s">
        <v>121</v>
      </c>
      <c r="Q13" s="90" t="s">
        <v>67</v>
      </c>
      <c r="R13" s="32" t="str">
        <f t="shared" si="1"/>
        <v>Single</v>
      </c>
      <c r="S13" s="91">
        <v>750</v>
      </c>
      <c r="T13" s="3">
        <v>43557</v>
      </c>
      <c r="U13" s="89">
        <f t="shared" si="2"/>
        <v>3</v>
      </c>
      <c r="V13" s="69" t="str">
        <f t="shared" si="3"/>
        <v>April</v>
      </c>
      <c r="X13" s="78" t="s">
        <v>122</v>
      </c>
      <c r="Y13" s="76">
        <f>COUNTIF(V2:V179,X13)</f>
        <v>18</v>
      </c>
      <c r="AK13" s="17" t="s">
        <v>123</v>
      </c>
      <c r="AL13" s="165">
        <f t="shared" si="0"/>
        <v>2</v>
      </c>
      <c r="AM13" s="17">
        <f t="shared" si="12"/>
        <v>7150</v>
      </c>
      <c r="AX13" s="191" t="s">
        <v>124</v>
      </c>
      <c r="AY13" s="199">
        <v>385.47</v>
      </c>
      <c r="AZ13" s="199">
        <v>252.95</v>
      </c>
      <c r="BA13" s="17">
        <f t="shared" si="5"/>
        <v>1</v>
      </c>
      <c r="BB13" s="17">
        <f t="shared" si="6"/>
        <v>3</v>
      </c>
      <c r="BC13" s="209">
        <f t="shared" si="7"/>
        <v>100</v>
      </c>
      <c r="BD13" s="277">
        <f t="shared" si="8"/>
        <v>183.38499999999999</v>
      </c>
      <c r="BE13" s="17">
        <f t="shared" si="9"/>
        <v>0</v>
      </c>
      <c r="BF13" s="213">
        <f t="shared" si="10"/>
        <v>1033.385</v>
      </c>
      <c r="BG13" s="209">
        <f t="shared" si="11"/>
        <v>283.38499999999999</v>
      </c>
      <c r="BI13" s="17">
        <v>2014</v>
      </c>
      <c r="BJ13" s="218">
        <f t="array" ref="BJ13">SUMPRODUCT(--(YEAR($T$2:$T$179)=BI13))</f>
        <v>17</v>
      </c>
      <c r="BS13" s="191"/>
      <c r="BT13" s="191"/>
      <c r="CD13" s="17"/>
    </row>
    <row r="14" spans="1:83" ht="39" thickBot="1" x14ac:dyDescent="0.3">
      <c r="A14" s="31" t="s">
        <v>100</v>
      </c>
      <c r="B14" s="31">
        <v>38</v>
      </c>
      <c r="C14" s="101" t="s">
        <v>125</v>
      </c>
      <c r="D14" s="102">
        <v>5</v>
      </c>
      <c r="E14" s="102">
        <v>0.5</v>
      </c>
      <c r="F14" s="143">
        <v>10</v>
      </c>
      <c r="G14" s="31" t="s">
        <v>43</v>
      </c>
      <c r="H14" s="54">
        <v>1996</v>
      </c>
      <c r="I14" s="1">
        <v>43283</v>
      </c>
      <c r="J14" s="54">
        <v>1997</v>
      </c>
      <c r="K14" s="32" t="s">
        <v>115</v>
      </c>
      <c r="L14" s="32" t="s">
        <v>54</v>
      </c>
      <c r="M14" s="54" t="s">
        <v>46</v>
      </c>
      <c r="N14" s="32" t="s">
        <v>60</v>
      </c>
      <c r="O14" s="32" t="s">
        <v>65</v>
      </c>
      <c r="P14" s="31" t="s">
        <v>126</v>
      </c>
      <c r="Q14" s="31" t="s">
        <v>67</v>
      </c>
      <c r="R14" s="32" t="str">
        <f t="shared" si="1"/>
        <v>Single</v>
      </c>
      <c r="S14" s="88">
        <v>750</v>
      </c>
      <c r="T14" s="27">
        <v>43748</v>
      </c>
      <c r="U14" s="89">
        <f t="shared" si="2"/>
        <v>5</v>
      </c>
      <c r="V14" s="69" t="str">
        <f t="shared" si="3"/>
        <v>October</v>
      </c>
      <c r="AK14" s="17" t="s">
        <v>127</v>
      </c>
      <c r="AL14" s="165">
        <f t="shared" si="0"/>
        <v>2</v>
      </c>
      <c r="AM14" s="17">
        <f t="shared" si="12"/>
        <v>4250</v>
      </c>
      <c r="AN14" s="17"/>
      <c r="AX14" s="181" t="s">
        <v>128</v>
      </c>
      <c r="AY14" s="202">
        <v>486.46</v>
      </c>
      <c r="BA14" s="17">
        <f t="shared" si="5"/>
        <v>1</v>
      </c>
      <c r="BB14" s="17">
        <f t="shared" si="6"/>
        <v>2</v>
      </c>
      <c r="BC14" s="209">
        <f t="shared" si="7"/>
        <v>20</v>
      </c>
      <c r="BD14" s="277">
        <f t="shared" si="8"/>
        <v>183.38499999999999</v>
      </c>
      <c r="BE14" s="17">
        <f t="shared" si="9"/>
        <v>0</v>
      </c>
      <c r="BF14" s="213">
        <f t="shared" si="10"/>
        <v>953.38499999999999</v>
      </c>
      <c r="BG14" s="209">
        <f t="shared" si="11"/>
        <v>203.38499999999999</v>
      </c>
      <c r="BI14" s="17">
        <v>2015</v>
      </c>
      <c r="BJ14" s="218">
        <f t="array" ref="BJ14">SUMPRODUCT(--(YEAR($T$2:$T$179)=BI14))</f>
        <v>18</v>
      </c>
      <c r="CD14" s="17"/>
    </row>
    <row r="15" spans="1:83" s="24" customFormat="1" ht="45.75" thickBot="1" x14ac:dyDescent="0.3">
      <c r="A15" s="31" t="s">
        <v>100</v>
      </c>
      <c r="B15" s="31">
        <v>38</v>
      </c>
      <c r="C15" s="103" t="s">
        <v>125</v>
      </c>
      <c r="D15" s="102">
        <v>5</v>
      </c>
      <c r="E15" s="102">
        <v>0.5</v>
      </c>
      <c r="F15" s="143">
        <v>10</v>
      </c>
      <c r="G15" s="31" t="s">
        <v>43</v>
      </c>
      <c r="H15" s="54">
        <v>1996</v>
      </c>
      <c r="I15" s="1">
        <v>43283</v>
      </c>
      <c r="J15" s="54">
        <v>1997</v>
      </c>
      <c r="K15" s="32" t="s">
        <v>115</v>
      </c>
      <c r="L15" s="31" t="s">
        <v>54</v>
      </c>
      <c r="M15" s="54" t="s">
        <v>46</v>
      </c>
      <c r="N15" s="32" t="s">
        <v>60</v>
      </c>
      <c r="O15" s="32" t="s">
        <v>65</v>
      </c>
      <c r="P15" s="31" t="s">
        <v>129</v>
      </c>
      <c r="Q15" s="31" t="s">
        <v>67</v>
      </c>
      <c r="R15" s="32" t="str">
        <f t="shared" si="1"/>
        <v>Single</v>
      </c>
      <c r="S15" s="88">
        <v>150</v>
      </c>
      <c r="T15" s="27">
        <v>43898</v>
      </c>
      <c r="U15" s="89">
        <f t="shared" si="2"/>
        <v>1</v>
      </c>
      <c r="V15" s="69" t="str">
        <f t="shared" si="3"/>
        <v>March</v>
      </c>
      <c r="X15" s="79" t="s">
        <v>130</v>
      </c>
      <c r="Y15" s="80">
        <f>MIN(T2:T179)</f>
        <v>37758</v>
      </c>
      <c r="AK15" s="18" t="s">
        <v>131</v>
      </c>
      <c r="AL15" s="165">
        <f t="shared" si="0"/>
        <v>6</v>
      </c>
      <c r="AM15" s="17">
        <f t="shared" si="12"/>
        <v>13050</v>
      </c>
      <c r="AX15" s="194" t="s">
        <v>132</v>
      </c>
      <c r="AY15" s="205">
        <v>396.09</v>
      </c>
      <c r="AZ15" s="205">
        <v>208</v>
      </c>
      <c r="BA15" s="17">
        <f t="shared" si="5"/>
        <v>1</v>
      </c>
      <c r="BB15" s="17">
        <f t="shared" si="6"/>
        <v>2</v>
      </c>
      <c r="BC15" s="209">
        <f t="shared" si="7"/>
        <v>20</v>
      </c>
      <c r="BD15" s="277">
        <f t="shared" si="8"/>
        <v>183.38499999999999</v>
      </c>
      <c r="BE15" s="17">
        <f t="shared" si="9"/>
        <v>0</v>
      </c>
      <c r="BF15" s="213">
        <f t="shared" si="10"/>
        <v>353.38499999999999</v>
      </c>
      <c r="BG15" s="209">
        <f t="shared" si="11"/>
        <v>203.38499999999999</v>
      </c>
      <c r="BI15" s="18">
        <v>2016</v>
      </c>
      <c r="BJ15" s="218">
        <f t="array" ref="BJ15">SUMPRODUCT(--(YEAR($T$2:$T$179)=BI15))</f>
        <v>20</v>
      </c>
      <c r="BS15" s="194"/>
      <c r="BT15" s="194"/>
      <c r="CD15" s="17"/>
    </row>
    <row r="16" spans="1:83" ht="45.75" thickBot="1" x14ac:dyDescent="0.3">
      <c r="A16" s="32" t="s">
        <v>100</v>
      </c>
      <c r="B16" s="31">
        <v>38</v>
      </c>
      <c r="C16" s="40" t="s">
        <v>125</v>
      </c>
      <c r="D16" s="102">
        <v>5</v>
      </c>
      <c r="E16" s="102">
        <v>0.5</v>
      </c>
      <c r="F16" s="143">
        <v>10</v>
      </c>
      <c r="G16" s="31" t="s">
        <v>43</v>
      </c>
      <c r="H16" s="32">
        <v>1996</v>
      </c>
      <c r="I16" s="42">
        <v>43283</v>
      </c>
      <c r="J16" s="32">
        <v>1997</v>
      </c>
      <c r="K16" s="32" t="s">
        <v>115</v>
      </c>
      <c r="L16" s="31" t="s">
        <v>54</v>
      </c>
      <c r="M16" s="37" t="s">
        <v>46</v>
      </c>
      <c r="N16" s="32" t="s">
        <v>60</v>
      </c>
      <c r="O16" s="32" t="s">
        <v>65</v>
      </c>
      <c r="P16" s="32" t="s">
        <v>133</v>
      </c>
      <c r="Q16" s="95" t="s">
        <v>67</v>
      </c>
      <c r="R16" s="32" t="str">
        <f t="shared" si="1"/>
        <v>Single</v>
      </c>
      <c r="S16" s="88">
        <v>750</v>
      </c>
      <c r="T16" s="4">
        <v>43926</v>
      </c>
      <c r="U16" s="89">
        <f t="shared" si="2"/>
        <v>1</v>
      </c>
      <c r="V16" s="69" t="str">
        <f t="shared" si="3"/>
        <v>April</v>
      </c>
      <c r="X16" s="81" t="s">
        <v>134</v>
      </c>
      <c r="Y16" s="82">
        <f>MAX(T2:T179)</f>
        <v>44470</v>
      </c>
      <c r="AK16" s="17" t="s">
        <v>135</v>
      </c>
      <c r="AL16" s="165">
        <f t="shared" si="0"/>
        <v>1</v>
      </c>
      <c r="AM16" s="17">
        <f t="shared" si="12"/>
        <v>5000</v>
      </c>
      <c r="AX16" s="181" t="s">
        <v>136</v>
      </c>
      <c r="AY16" s="202">
        <v>537.17999999999995</v>
      </c>
      <c r="AZ16" s="202">
        <v>369.55</v>
      </c>
      <c r="BA16" s="17">
        <f t="shared" si="5"/>
        <v>1</v>
      </c>
      <c r="BB16" s="17">
        <f t="shared" si="6"/>
        <v>2</v>
      </c>
      <c r="BC16" s="209">
        <f t="shared" si="7"/>
        <v>20</v>
      </c>
      <c r="BD16" s="277">
        <f t="shared" si="8"/>
        <v>183.38499999999999</v>
      </c>
      <c r="BE16" s="17">
        <f t="shared" si="9"/>
        <v>0</v>
      </c>
      <c r="BF16" s="213">
        <f t="shared" si="10"/>
        <v>953.38499999999999</v>
      </c>
      <c r="BG16" s="209">
        <f t="shared" si="11"/>
        <v>203.38499999999999</v>
      </c>
      <c r="BI16" s="17">
        <v>2017</v>
      </c>
      <c r="BJ16" s="218">
        <f t="array" ref="BJ16">SUMPRODUCT(--(YEAR($T$2:$T$179)=BI16))</f>
        <v>17</v>
      </c>
      <c r="CD16" s="17"/>
    </row>
    <row r="17" spans="1:82" ht="39" thickBot="1" x14ac:dyDescent="0.3">
      <c r="A17" s="32" t="s">
        <v>100</v>
      </c>
      <c r="B17" s="31">
        <v>38</v>
      </c>
      <c r="C17" s="40" t="s">
        <v>125</v>
      </c>
      <c r="D17" s="102">
        <v>5</v>
      </c>
      <c r="E17" s="102">
        <v>0.5</v>
      </c>
      <c r="F17" s="143">
        <v>10</v>
      </c>
      <c r="G17" s="32" t="s">
        <v>43</v>
      </c>
      <c r="H17" s="32">
        <v>1996</v>
      </c>
      <c r="I17" s="4">
        <v>43283</v>
      </c>
      <c r="J17" s="32">
        <v>1997</v>
      </c>
      <c r="K17" s="32" t="s">
        <v>115</v>
      </c>
      <c r="L17" s="31" t="s">
        <v>54</v>
      </c>
      <c r="M17" s="32" t="s">
        <v>46</v>
      </c>
      <c r="N17" s="32" t="s">
        <v>60</v>
      </c>
      <c r="O17" s="32" t="s">
        <v>65</v>
      </c>
      <c r="P17" s="32" t="s">
        <v>137</v>
      </c>
      <c r="Q17" s="95" t="s">
        <v>104</v>
      </c>
      <c r="R17" s="32" t="str">
        <f t="shared" si="1"/>
        <v>Multiple</v>
      </c>
      <c r="S17" s="88">
        <f>2500+750</f>
        <v>3250</v>
      </c>
      <c r="T17" s="4">
        <v>43283</v>
      </c>
      <c r="U17" s="89">
        <f t="shared" si="2"/>
        <v>2</v>
      </c>
      <c r="V17" s="69" t="str">
        <f t="shared" si="3"/>
        <v>July</v>
      </c>
      <c r="AA17" s="21">
        <f>SUBTOTAL(5,$S$2:$S$179)</f>
        <v>150</v>
      </c>
      <c r="AK17" s="17" t="s">
        <v>138</v>
      </c>
      <c r="AL17" s="165">
        <f t="shared" si="0"/>
        <v>1</v>
      </c>
      <c r="AM17" s="17">
        <f t="shared" si="12"/>
        <v>7000</v>
      </c>
      <c r="AX17" s="181" t="s">
        <v>139</v>
      </c>
      <c r="AY17" s="202">
        <v>351.89</v>
      </c>
      <c r="AZ17" s="202">
        <v>268.72000000000003</v>
      </c>
      <c r="BA17" s="17">
        <f t="shared" si="5"/>
        <v>1</v>
      </c>
      <c r="BB17" s="17">
        <f t="shared" si="6"/>
        <v>2</v>
      </c>
      <c r="BC17" s="209">
        <f t="shared" si="7"/>
        <v>20</v>
      </c>
      <c r="BD17" s="277">
        <f t="shared" si="8"/>
        <v>183.38499999999999</v>
      </c>
      <c r="BE17" s="17">
        <f t="shared" si="9"/>
        <v>0</v>
      </c>
      <c r="BF17" s="213">
        <f t="shared" si="10"/>
        <v>3453.3850000000002</v>
      </c>
      <c r="BG17" s="209">
        <f t="shared" si="11"/>
        <v>203.38499999999999</v>
      </c>
      <c r="BI17" s="17">
        <v>2018</v>
      </c>
      <c r="BJ17" s="218">
        <f t="array" ref="BJ17">SUMPRODUCT(--(YEAR($T$2:$T$179)=BI17))</f>
        <v>17</v>
      </c>
      <c r="CD17" s="17"/>
    </row>
    <row r="18" spans="1:82" s="22" customFormat="1" ht="30.75" thickBot="1" x14ac:dyDescent="0.3">
      <c r="A18" s="49" t="s">
        <v>107</v>
      </c>
      <c r="B18" s="49">
        <v>60</v>
      </c>
      <c r="C18" s="96" t="s">
        <v>140</v>
      </c>
      <c r="D18" s="97">
        <v>80</v>
      </c>
      <c r="E18" s="97">
        <v>3.25</v>
      </c>
      <c r="F18" s="140">
        <v>84</v>
      </c>
      <c r="G18" s="49" t="s">
        <v>43</v>
      </c>
      <c r="H18" s="64">
        <v>2017</v>
      </c>
      <c r="I18" s="6">
        <v>43048</v>
      </c>
      <c r="J18" s="64">
        <v>2017</v>
      </c>
      <c r="K18" s="49" t="s">
        <v>63</v>
      </c>
      <c r="L18" s="49" t="s">
        <v>45</v>
      </c>
      <c r="M18" s="64" t="s">
        <v>64</v>
      </c>
      <c r="N18" s="49" t="s">
        <v>60</v>
      </c>
      <c r="O18" s="49" t="s">
        <v>65</v>
      </c>
      <c r="P18" s="49" t="s">
        <v>141</v>
      </c>
      <c r="Q18" s="49" t="s">
        <v>67</v>
      </c>
      <c r="R18" s="32" t="str">
        <f t="shared" si="1"/>
        <v>Single</v>
      </c>
      <c r="S18" s="91">
        <v>2500</v>
      </c>
      <c r="T18" s="58">
        <v>43413</v>
      </c>
      <c r="U18" s="89">
        <f t="shared" si="2"/>
        <v>6</v>
      </c>
      <c r="V18" s="69" t="str">
        <f t="shared" si="3"/>
        <v>November</v>
      </c>
      <c r="Y18" s="187" t="s">
        <v>142</v>
      </c>
      <c r="Z18" s="187" t="s">
        <v>143</v>
      </c>
      <c r="AK18" s="18" t="s">
        <v>144</v>
      </c>
      <c r="AL18" s="165">
        <f t="shared" si="0"/>
        <v>3</v>
      </c>
      <c r="AM18" s="17">
        <f t="shared" si="12"/>
        <v>2450</v>
      </c>
      <c r="AX18" s="187" t="s">
        <v>145</v>
      </c>
      <c r="AY18" s="203">
        <v>226.48</v>
      </c>
      <c r="AZ18" s="203">
        <v>168.58</v>
      </c>
      <c r="BA18" s="17">
        <f t="shared" si="5"/>
        <v>1</v>
      </c>
      <c r="BB18" s="17">
        <f t="shared" si="6"/>
        <v>7.5</v>
      </c>
      <c r="BC18" s="209">
        <f t="shared" si="7"/>
        <v>168</v>
      </c>
      <c r="BD18" s="277">
        <f t="shared" si="8"/>
        <v>366.77</v>
      </c>
      <c r="BE18" s="17">
        <f t="shared" si="9"/>
        <v>0</v>
      </c>
      <c r="BF18" s="213">
        <f t="shared" si="10"/>
        <v>3034.77</v>
      </c>
      <c r="BG18" s="209">
        <f t="shared" si="11"/>
        <v>534.77</v>
      </c>
      <c r="BI18" s="17">
        <v>2019</v>
      </c>
      <c r="BJ18" s="218">
        <f t="array" ref="BJ18">SUMPRODUCT(--(YEAR($T$2:$T$179)=BI18))</f>
        <v>23</v>
      </c>
      <c r="BS18" s="187"/>
      <c r="BT18" s="187"/>
      <c r="CD18" s="17"/>
    </row>
    <row r="19" spans="1:82" s="22" customFormat="1" ht="60.75" thickBot="1" x14ac:dyDescent="0.3">
      <c r="A19" s="49" t="s">
        <v>112</v>
      </c>
      <c r="B19" s="49">
        <v>29</v>
      </c>
      <c r="C19" s="96" t="s">
        <v>146</v>
      </c>
      <c r="D19" s="97">
        <v>200</v>
      </c>
      <c r="E19" s="97">
        <v>4</v>
      </c>
      <c r="F19" s="140">
        <v>150</v>
      </c>
      <c r="G19" s="49" t="s">
        <v>43</v>
      </c>
      <c r="H19" s="64">
        <v>2017</v>
      </c>
      <c r="I19" s="6">
        <v>43048</v>
      </c>
      <c r="J19" s="64">
        <v>2017</v>
      </c>
      <c r="K19" s="49" t="s">
        <v>63</v>
      </c>
      <c r="L19" s="49" t="s">
        <v>54</v>
      </c>
      <c r="M19" s="64" t="s">
        <v>46</v>
      </c>
      <c r="N19" s="49" t="s">
        <v>60</v>
      </c>
      <c r="O19" s="49" t="s">
        <v>65</v>
      </c>
      <c r="P19" s="49" t="s">
        <v>147</v>
      </c>
      <c r="Q19" s="49" t="s">
        <v>91</v>
      </c>
      <c r="R19" s="32" t="str">
        <f t="shared" si="1"/>
        <v>Single</v>
      </c>
      <c r="S19" s="91">
        <v>5000</v>
      </c>
      <c r="T19" s="58">
        <v>43320</v>
      </c>
      <c r="U19" s="89">
        <f t="shared" si="2"/>
        <v>4</v>
      </c>
      <c r="V19" s="69" t="str">
        <f t="shared" si="3"/>
        <v>August</v>
      </c>
      <c r="X19" s="187" t="s">
        <v>148</v>
      </c>
      <c r="Y19" s="22">
        <f>SUBTOTAL(5,$S$2:$S$179)</f>
        <v>150</v>
      </c>
      <c r="AK19" s="17" t="s">
        <v>149</v>
      </c>
      <c r="AL19" s="165">
        <f t="shared" si="0"/>
        <v>4</v>
      </c>
      <c r="AM19" s="17">
        <f t="shared" si="12"/>
        <v>5450</v>
      </c>
      <c r="AX19" s="187" t="s">
        <v>150</v>
      </c>
      <c r="AY19" s="203">
        <v>292.89</v>
      </c>
      <c r="AZ19" s="203">
        <v>247.83</v>
      </c>
      <c r="BA19" s="17">
        <f t="shared" si="5"/>
        <v>8</v>
      </c>
      <c r="BB19" s="17">
        <f t="shared" si="6"/>
        <v>16</v>
      </c>
      <c r="BC19" s="209">
        <f t="shared" si="7"/>
        <v>300</v>
      </c>
      <c r="BD19" s="277">
        <f t="shared" si="8"/>
        <v>366.77</v>
      </c>
      <c r="BE19" s="17">
        <f t="shared" si="9"/>
        <v>0</v>
      </c>
      <c r="BF19" s="213">
        <f t="shared" si="10"/>
        <v>5666.77</v>
      </c>
      <c r="BG19" s="209">
        <f t="shared" si="11"/>
        <v>666.77</v>
      </c>
      <c r="BI19" s="18">
        <v>2020</v>
      </c>
      <c r="BJ19" s="218">
        <f t="array" ref="BJ19">SUMPRODUCT(--(YEAR($T$2:$T$179)=BI19))</f>
        <v>14</v>
      </c>
      <c r="BS19" s="187"/>
      <c r="BT19" s="187"/>
      <c r="CD19" s="17"/>
    </row>
    <row r="20" spans="1:82" s="22" customFormat="1" ht="60.75" thickBot="1" x14ac:dyDescent="0.3">
      <c r="A20" s="49" t="s">
        <v>119</v>
      </c>
      <c r="B20" s="49">
        <v>61</v>
      </c>
      <c r="C20" s="96" t="s">
        <v>151</v>
      </c>
      <c r="D20" s="97">
        <v>50</v>
      </c>
      <c r="E20" s="97">
        <v>3</v>
      </c>
      <c r="F20" s="140">
        <v>43</v>
      </c>
      <c r="G20" s="49" t="s">
        <v>43</v>
      </c>
      <c r="H20" s="64">
        <v>2017</v>
      </c>
      <c r="I20" s="6">
        <v>43013</v>
      </c>
      <c r="J20" s="64">
        <v>2017</v>
      </c>
      <c r="K20" s="49" t="s">
        <v>63</v>
      </c>
      <c r="L20" s="49" t="s">
        <v>54</v>
      </c>
      <c r="M20" s="64" t="s">
        <v>64</v>
      </c>
      <c r="N20" s="49" t="s">
        <v>47</v>
      </c>
      <c r="O20" s="49" t="s">
        <v>48</v>
      </c>
      <c r="P20" s="49" t="s">
        <v>152</v>
      </c>
      <c r="Q20" s="49" t="s">
        <v>67</v>
      </c>
      <c r="R20" s="32" t="str">
        <f t="shared" si="1"/>
        <v>Single</v>
      </c>
      <c r="S20" s="91">
        <v>750</v>
      </c>
      <c r="T20" s="58">
        <v>43378</v>
      </c>
      <c r="U20" s="89">
        <f t="shared" si="2"/>
        <v>6</v>
      </c>
      <c r="V20" s="69" t="str">
        <f t="shared" si="3"/>
        <v>October</v>
      </c>
      <c r="X20" s="187" t="s">
        <v>153</v>
      </c>
      <c r="Y20" s="22">
        <v>8000</v>
      </c>
      <c r="Z20" s="22">
        <f>SUBTOTAL(4,$S$2:$S$179)</f>
        <v>12500</v>
      </c>
      <c r="AK20" s="17" t="s">
        <v>154</v>
      </c>
      <c r="AL20" s="165">
        <f t="shared" si="0"/>
        <v>1</v>
      </c>
      <c r="AM20" s="17">
        <f t="shared" si="12"/>
        <v>750</v>
      </c>
      <c r="AX20" s="187" t="s">
        <v>155</v>
      </c>
      <c r="AY20" s="203">
        <v>385.44</v>
      </c>
      <c r="AZ20" s="203">
        <v>251.24</v>
      </c>
      <c r="BA20" s="17">
        <f t="shared" si="5"/>
        <v>1</v>
      </c>
      <c r="BB20" s="17">
        <f t="shared" si="6"/>
        <v>7</v>
      </c>
      <c r="BC20" s="209">
        <f t="shared" si="7"/>
        <v>86</v>
      </c>
      <c r="BD20" s="277">
        <f t="shared" si="8"/>
        <v>366.77</v>
      </c>
      <c r="BE20" s="17">
        <f t="shared" si="9"/>
        <v>0</v>
      </c>
      <c r="BF20" s="213">
        <f t="shared" si="10"/>
        <v>1202.77</v>
      </c>
      <c r="BG20" s="209">
        <f t="shared" si="11"/>
        <v>452.77</v>
      </c>
      <c r="BI20" s="17">
        <v>2021</v>
      </c>
      <c r="BJ20" s="218">
        <f t="array" ref="BJ20">SUMPRODUCT(--(YEAR($T$2:$T$179)=BI20))</f>
        <v>3</v>
      </c>
      <c r="BS20" s="187"/>
      <c r="BT20" s="187"/>
      <c r="CD20" s="17"/>
    </row>
    <row r="21" spans="1:82" s="20" customFormat="1" ht="39" thickBot="1" x14ac:dyDescent="0.3">
      <c r="A21" s="39" t="s">
        <v>123</v>
      </c>
      <c r="B21" s="39">
        <v>75</v>
      </c>
      <c r="C21" s="92" t="s">
        <v>156</v>
      </c>
      <c r="D21" s="93">
        <v>10</v>
      </c>
      <c r="E21" s="93">
        <v>1</v>
      </c>
      <c r="F21" s="139">
        <v>30</v>
      </c>
      <c r="G21" s="39" t="s">
        <v>43</v>
      </c>
      <c r="H21" s="55">
        <v>1968</v>
      </c>
      <c r="I21" s="9">
        <v>42935</v>
      </c>
      <c r="J21" s="55">
        <v>1969</v>
      </c>
      <c r="K21" s="39" t="s">
        <v>115</v>
      </c>
      <c r="L21" s="39" t="s">
        <v>54</v>
      </c>
      <c r="M21" s="55" t="s">
        <v>64</v>
      </c>
      <c r="N21" s="39" t="s">
        <v>47</v>
      </c>
      <c r="O21" s="39" t="s">
        <v>48</v>
      </c>
      <c r="P21" s="39" t="s">
        <v>157</v>
      </c>
      <c r="Q21" s="39" t="s">
        <v>67</v>
      </c>
      <c r="R21" s="32" t="str">
        <f t="shared" si="1"/>
        <v>Single</v>
      </c>
      <c r="S21" s="88">
        <v>150</v>
      </c>
      <c r="T21" s="94">
        <v>43200</v>
      </c>
      <c r="U21" s="89">
        <f t="shared" si="2"/>
        <v>3</v>
      </c>
      <c r="V21" s="69" t="str">
        <f t="shared" si="3"/>
        <v>April</v>
      </c>
      <c r="AK21" s="18" t="s">
        <v>158</v>
      </c>
      <c r="AL21" s="165">
        <f t="shared" si="0"/>
        <v>1</v>
      </c>
      <c r="AM21" s="17">
        <f t="shared" si="12"/>
        <v>150</v>
      </c>
      <c r="AX21" s="193" t="s">
        <v>159</v>
      </c>
      <c r="AY21" s="201">
        <v>496.25</v>
      </c>
      <c r="AZ21" s="201"/>
      <c r="BA21" s="17">
        <f t="shared" si="5"/>
        <v>1</v>
      </c>
      <c r="BB21" s="17">
        <f t="shared" si="6"/>
        <v>3</v>
      </c>
      <c r="BC21" s="209">
        <f t="shared" si="7"/>
        <v>60</v>
      </c>
      <c r="BD21" s="277">
        <f t="shared" si="8"/>
        <v>183.38499999999999</v>
      </c>
      <c r="BE21" s="17">
        <f t="shared" si="9"/>
        <v>0</v>
      </c>
      <c r="BF21" s="213">
        <f t="shared" si="10"/>
        <v>393.38499999999999</v>
      </c>
      <c r="BG21" s="209">
        <f t="shared" si="11"/>
        <v>243.38499999999999</v>
      </c>
      <c r="BJ21" s="20">
        <f>SUM(BJ2:BJ20)</f>
        <v>178</v>
      </c>
      <c r="BS21" s="193"/>
      <c r="BT21" s="193"/>
      <c r="CD21" s="17"/>
    </row>
    <row r="22" spans="1:82" s="18" customFormat="1" ht="39" thickBot="1" x14ac:dyDescent="0.3">
      <c r="A22" s="34" t="s">
        <v>123</v>
      </c>
      <c r="B22" s="39">
        <v>75</v>
      </c>
      <c r="C22" s="38" t="s">
        <v>156</v>
      </c>
      <c r="D22" s="93">
        <v>10</v>
      </c>
      <c r="E22" s="93">
        <v>1</v>
      </c>
      <c r="F22" s="139">
        <v>30</v>
      </c>
      <c r="G22" s="34" t="s">
        <v>43</v>
      </c>
      <c r="H22" s="34">
        <v>1968</v>
      </c>
      <c r="I22" s="3">
        <v>42935</v>
      </c>
      <c r="J22" s="34">
        <v>1969</v>
      </c>
      <c r="K22" s="36" t="s">
        <v>115</v>
      </c>
      <c r="L22" s="34" t="s">
        <v>54</v>
      </c>
      <c r="M22" s="34" t="s">
        <v>64</v>
      </c>
      <c r="N22" s="36" t="s">
        <v>47</v>
      </c>
      <c r="O22" s="36" t="s">
        <v>48</v>
      </c>
      <c r="P22" s="34" t="s">
        <v>160</v>
      </c>
      <c r="Q22" s="90" t="s">
        <v>67</v>
      </c>
      <c r="R22" s="32" t="str">
        <f t="shared" si="1"/>
        <v>Single</v>
      </c>
      <c r="S22" s="91">
        <v>7000</v>
      </c>
      <c r="T22" s="3">
        <v>43032</v>
      </c>
      <c r="U22" s="89">
        <f t="shared" si="2"/>
        <v>3</v>
      </c>
      <c r="V22" s="69" t="str">
        <f t="shared" si="3"/>
        <v>October</v>
      </c>
      <c r="AK22" s="17" t="s">
        <v>161</v>
      </c>
      <c r="AL22" s="165">
        <f t="shared" si="0"/>
        <v>1</v>
      </c>
      <c r="AM22" s="17">
        <f t="shared" si="12"/>
        <v>5000</v>
      </c>
      <c r="AX22" s="191" t="s">
        <v>162</v>
      </c>
      <c r="AY22" s="199">
        <v>479.55</v>
      </c>
      <c r="AZ22" s="199"/>
      <c r="BA22" s="17">
        <f t="shared" si="5"/>
        <v>1</v>
      </c>
      <c r="BB22" s="17">
        <f t="shared" si="6"/>
        <v>3</v>
      </c>
      <c r="BC22" s="209">
        <f t="shared" si="7"/>
        <v>60</v>
      </c>
      <c r="BD22" s="277">
        <f t="shared" si="8"/>
        <v>183.38499999999999</v>
      </c>
      <c r="BE22" s="17">
        <f t="shared" si="9"/>
        <v>0</v>
      </c>
      <c r="BF22" s="213">
        <f t="shared" si="10"/>
        <v>7243.3850000000002</v>
      </c>
      <c r="BG22" s="209">
        <f t="shared" si="11"/>
        <v>243.38499999999999</v>
      </c>
      <c r="BS22" s="191"/>
      <c r="BT22" s="191"/>
      <c r="CD22" s="17"/>
    </row>
    <row r="23" spans="1:82" ht="38.25" x14ac:dyDescent="0.25">
      <c r="A23" s="32" t="s">
        <v>127</v>
      </c>
      <c r="B23" s="32">
        <v>19</v>
      </c>
      <c r="C23" s="40" t="s">
        <v>163</v>
      </c>
      <c r="D23" s="100">
        <v>18</v>
      </c>
      <c r="E23" s="100">
        <v>1.5</v>
      </c>
      <c r="F23" s="142">
        <v>40</v>
      </c>
      <c r="G23" s="32" t="s">
        <v>43</v>
      </c>
      <c r="H23" s="32">
        <v>2017</v>
      </c>
      <c r="I23" s="4">
        <v>42919</v>
      </c>
      <c r="J23" s="32">
        <v>2017</v>
      </c>
      <c r="K23" s="32" t="s">
        <v>164</v>
      </c>
      <c r="L23" s="39" t="s">
        <v>45</v>
      </c>
      <c r="M23" s="32" t="s">
        <v>46</v>
      </c>
      <c r="N23" s="32" t="s">
        <v>47</v>
      </c>
      <c r="O23" s="32" t="s">
        <v>48</v>
      </c>
      <c r="P23" s="32" t="s">
        <v>165</v>
      </c>
      <c r="Q23" s="95" t="s">
        <v>91</v>
      </c>
      <c r="R23" s="32" t="str">
        <f t="shared" si="1"/>
        <v>Single</v>
      </c>
      <c r="S23" s="88">
        <v>3500</v>
      </c>
      <c r="T23" s="4">
        <v>43797</v>
      </c>
      <c r="U23" s="89">
        <f t="shared" si="2"/>
        <v>5</v>
      </c>
      <c r="V23" s="69" t="str">
        <f t="shared" si="3"/>
        <v>November</v>
      </c>
      <c r="AK23" s="17" t="s">
        <v>166</v>
      </c>
      <c r="AL23" s="165">
        <f t="shared" si="0"/>
        <v>2</v>
      </c>
      <c r="AM23" s="17">
        <f t="shared" si="12"/>
        <v>2650</v>
      </c>
      <c r="AX23" s="181" t="s">
        <v>167</v>
      </c>
      <c r="AY23" s="202">
        <v>374.67</v>
      </c>
      <c r="AZ23" s="202">
        <v>276.58999999999997</v>
      </c>
      <c r="BA23" s="17">
        <f t="shared" si="5"/>
        <v>8</v>
      </c>
      <c r="BB23" s="17">
        <f t="shared" si="6"/>
        <v>11</v>
      </c>
      <c r="BC23" s="209">
        <f t="shared" si="7"/>
        <v>80</v>
      </c>
      <c r="BD23" s="277">
        <f t="shared" si="8"/>
        <v>366.77</v>
      </c>
      <c r="BE23" s="17">
        <f t="shared" si="9"/>
        <v>0</v>
      </c>
      <c r="BF23" s="213">
        <f t="shared" si="10"/>
        <v>3946.77</v>
      </c>
      <c r="BG23" s="209">
        <f t="shared" si="11"/>
        <v>446.77</v>
      </c>
      <c r="CD23" s="17"/>
    </row>
    <row r="24" spans="1:82" s="23" customFormat="1" ht="45.75" thickBot="1" x14ac:dyDescent="0.3">
      <c r="A24" s="34" t="s">
        <v>127</v>
      </c>
      <c r="B24" s="104">
        <v>19</v>
      </c>
      <c r="C24" s="35" t="s">
        <v>163</v>
      </c>
      <c r="D24" s="105">
        <v>18</v>
      </c>
      <c r="E24" s="106">
        <v>1.5</v>
      </c>
      <c r="F24" s="144">
        <v>40</v>
      </c>
      <c r="G24" s="34" t="s">
        <v>43</v>
      </c>
      <c r="H24" s="33">
        <v>2017</v>
      </c>
      <c r="I24" s="3">
        <v>42919</v>
      </c>
      <c r="J24" s="33">
        <v>2017</v>
      </c>
      <c r="K24" s="34" t="s">
        <v>164</v>
      </c>
      <c r="L24" s="36" t="s">
        <v>45</v>
      </c>
      <c r="M24" s="33" t="s">
        <v>46</v>
      </c>
      <c r="N24" s="34" t="s">
        <v>47</v>
      </c>
      <c r="O24" s="34" t="s">
        <v>48</v>
      </c>
      <c r="P24" s="34" t="s">
        <v>168</v>
      </c>
      <c r="Q24" s="34" t="s">
        <v>67</v>
      </c>
      <c r="R24" s="32" t="str">
        <f t="shared" si="1"/>
        <v>Single</v>
      </c>
      <c r="S24" s="91">
        <v>750</v>
      </c>
      <c r="T24" s="28">
        <v>43690</v>
      </c>
      <c r="U24" s="89">
        <f t="shared" si="2"/>
        <v>3</v>
      </c>
      <c r="V24" s="69" t="str">
        <f t="shared" si="3"/>
        <v>August</v>
      </c>
      <c r="AK24" s="18" t="s">
        <v>169</v>
      </c>
      <c r="AL24" s="165">
        <f t="shared" si="0"/>
        <v>3</v>
      </c>
      <c r="AM24" s="17">
        <f t="shared" si="12"/>
        <v>10750</v>
      </c>
      <c r="AX24" s="182" t="s">
        <v>170</v>
      </c>
      <c r="AY24" s="204">
        <v>414.47</v>
      </c>
      <c r="AZ24" s="204"/>
      <c r="BA24" s="17">
        <f t="shared" si="5"/>
        <v>1</v>
      </c>
      <c r="BB24" s="17">
        <f t="shared" si="6"/>
        <v>4</v>
      </c>
      <c r="BC24" s="209">
        <f t="shared" si="7"/>
        <v>80</v>
      </c>
      <c r="BD24" s="277">
        <f t="shared" si="8"/>
        <v>366.77</v>
      </c>
      <c r="BE24" s="17">
        <f t="shared" si="9"/>
        <v>0</v>
      </c>
      <c r="BF24" s="213">
        <f t="shared" si="10"/>
        <v>1196.77</v>
      </c>
      <c r="BG24" s="209">
        <f t="shared" si="11"/>
        <v>446.77</v>
      </c>
      <c r="BS24" s="182"/>
      <c r="BT24" s="182"/>
      <c r="CD24" s="17"/>
    </row>
    <row r="25" spans="1:82" s="25" customFormat="1" ht="45" x14ac:dyDescent="0.25">
      <c r="A25" s="107" t="s">
        <v>131</v>
      </c>
      <c r="B25" s="108">
        <v>33</v>
      </c>
      <c r="C25" s="107" t="s">
        <v>171</v>
      </c>
      <c r="D25" s="32">
        <v>315</v>
      </c>
      <c r="E25" s="32">
        <v>6</v>
      </c>
      <c r="F25" s="88">
        <v>135</v>
      </c>
      <c r="G25" s="107" t="s">
        <v>43</v>
      </c>
      <c r="H25" s="107">
        <v>2007</v>
      </c>
      <c r="I25" s="10">
        <v>39083</v>
      </c>
      <c r="J25" s="107">
        <v>2007</v>
      </c>
      <c r="K25" s="37" t="s">
        <v>115</v>
      </c>
      <c r="L25" s="31" t="s">
        <v>54</v>
      </c>
      <c r="M25" s="107" t="s">
        <v>46</v>
      </c>
      <c r="N25" s="32" t="s">
        <v>60</v>
      </c>
      <c r="O25" s="60" t="s">
        <v>65</v>
      </c>
      <c r="P25" s="107" t="s">
        <v>172</v>
      </c>
      <c r="Q25" s="31" t="s">
        <v>67</v>
      </c>
      <c r="R25" s="32" t="str">
        <f t="shared" si="1"/>
        <v>Single</v>
      </c>
      <c r="S25" s="88">
        <v>150</v>
      </c>
      <c r="T25" s="10">
        <v>43809</v>
      </c>
      <c r="U25" s="89">
        <f t="shared" si="2"/>
        <v>3</v>
      </c>
      <c r="V25" s="69" t="str">
        <f t="shared" si="3"/>
        <v>December</v>
      </c>
      <c r="AK25" s="17" t="s">
        <v>173</v>
      </c>
      <c r="AL25" s="165">
        <f t="shared" si="0"/>
        <v>2</v>
      </c>
      <c r="AM25" s="17">
        <f t="shared" si="12"/>
        <v>5950</v>
      </c>
      <c r="AX25" s="195" t="s">
        <v>174</v>
      </c>
      <c r="AY25" s="206">
        <v>327.68</v>
      </c>
      <c r="AZ25" s="206">
        <v>239.14</v>
      </c>
      <c r="BA25" s="17">
        <f t="shared" si="5"/>
        <v>1</v>
      </c>
      <c r="BB25" s="17">
        <f t="shared" si="6"/>
        <v>13</v>
      </c>
      <c r="BC25" s="209">
        <f t="shared" si="7"/>
        <v>270</v>
      </c>
      <c r="BD25" s="277">
        <f t="shared" si="8"/>
        <v>366.77</v>
      </c>
      <c r="BE25" s="17">
        <f t="shared" si="9"/>
        <v>0</v>
      </c>
      <c r="BF25" s="213">
        <f t="shared" si="10"/>
        <v>786.77</v>
      </c>
      <c r="BG25" s="209">
        <f t="shared" si="11"/>
        <v>636.77</v>
      </c>
      <c r="BS25" s="195"/>
      <c r="BT25" s="195"/>
      <c r="CD25" s="17"/>
    </row>
    <row r="26" spans="1:82" ht="45" x14ac:dyDescent="0.25">
      <c r="A26" s="31" t="s">
        <v>131</v>
      </c>
      <c r="B26" s="107">
        <v>33</v>
      </c>
      <c r="C26" s="31" t="s">
        <v>171</v>
      </c>
      <c r="D26" s="32">
        <v>315</v>
      </c>
      <c r="E26" s="32">
        <v>6</v>
      </c>
      <c r="F26" s="88">
        <v>135</v>
      </c>
      <c r="G26" s="31" t="s">
        <v>43</v>
      </c>
      <c r="H26" s="54">
        <v>2007</v>
      </c>
      <c r="I26" s="10">
        <v>39083</v>
      </c>
      <c r="J26" s="54">
        <v>2007</v>
      </c>
      <c r="K26" s="37" t="s">
        <v>115</v>
      </c>
      <c r="L26" s="31" t="s">
        <v>54</v>
      </c>
      <c r="M26" s="54" t="s">
        <v>46</v>
      </c>
      <c r="N26" s="32" t="s">
        <v>60</v>
      </c>
      <c r="O26" s="37" t="s">
        <v>65</v>
      </c>
      <c r="P26" s="31" t="s">
        <v>175</v>
      </c>
      <c r="Q26" s="31" t="s">
        <v>67</v>
      </c>
      <c r="R26" s="32" t="str">
        <f t="shared" si="1"/>
        <v>Single</v>
      </c>
      <c r="S26" s="88">
        <v>750</v>
      </c>
      <c r="T26" s="27">
        <v>42905</v>
      </c>
      <c r="U26" s="89">
        <f t="shared" si="2"/>
        <v>2</v>
      </c>
      <c r="V26" s="69" t="str">
        <f t="shared" si="3"/>
        <v>June</v>
      </c>
      <c r="AK26" s="17" t="s">
        <v>176</v>
      </c>
      <c r="AL26" s="165">
        <f t="shared" si="0"/>
        <v>2</v>
      </c>
      <c r="AM26" s="17">
        <f t="shared" si="12"/>
        <v>450</v>
      </c>
      <c r="AX26" s="181" t="s">
        <v>177</v>
      </c>
      <c r="AY26" s="202">
        <v>276.14</v>
      </c>
      <c r="AZ26" s="202">
        <v>252.87</v>
      </c>
      <c r="BA26" s="17">
        <f t="shared" si="5"/>
        <v>1</v>
      </c>
      <c r="BB26" s="17">
        <f t="shared" si="6"/>
        <v>13</v>
      </c>
      <c r="BC26" s="209">
        <f t="shared" si="7"/>
        <v>270</v>
      </c>
      <c r="BD26" s="277">
        <f t="shared" si="8"/>
        <v>366.77</v>
      </c>
      <c r="BE26" s="17">
        <f t="shared" si="9"/>
        <v>0</v>
      </c>
      <c r="BF26" s="213">
        <f t="shared" si="10"/>
        <v>1386.77</v>
      </c>
      <c r="BG26" s="209">
        <f t="shared" si="11"/>
        <v>636.77</v>
      </c>
      <c r="CD26" s="17"/>
    </row>
    <row r="27" spans="1:82" ht="39" thickBot="1" x14ac:dyDescent="0.3">
      <c r="A27" s="32" t="s">
        <v>131</v>
      </c>
      <c r="B27" s="107">
        <v>33</v>
      </c>
      <c r="C27" s="43" t="s">
        <v>178</v>
      </c>
      <c r="D27" s="32">
        <v>315</v>
      </c>
      <c r="E27" s="32">
        <v>6</v>
      </c>
      <c r="F27" s="88">
        <v>135</v>
      </c>
      <c r="G27" s="31" t="s">
        <v>43</v>
      </c>
      <c r="H27" s="54">
        <v>2007</v>
      </c>
      <c r="I27" s="1">
        <v>39083</v>
      </c>
      <c r="J27" s="54">
        <v>2007</v>
      </c>
      <c r="K27" s="37" t="s">
        <v>115</v>
      </c>
      <c r="L27" s="31" t="s">
        <v>54</v>
      </c>
      <c r="M27" s="37" t="s">
        <v>46</v>
      </c>
      <c r="N27" s="32" t="s">
        <v>60</v>
      </c>
      <c r="O27" s="37" t="s">
        <v>65</v>
      </c>
      <c r="P27" s="32" t="s">
        <v>179</v>
      </c>
      <c r="Q27" s="95" t="s">
        <v>104</v>
      </c>
      <c r="R27" s="32" t="str">
        <f t="shared" si="1"/>
        <v>Multiple</v>
      </c>
      <c r="S27" s="88">
        <f>2500+750</f>
        <v>3250</v>
      </c>
      <c r="T27" s="4">
        <v>43774</v>
      </c>
      <c r="U27" s="89">
        <f t="shared" si="2"/>
        <v>3</v>
      </c>
      <c r="V27" s="69" t="str">
        <f t="shared" si="3"/>
        <v>November</v>
      </c>
      <c r="AK27" s="18" t="s">
        <v>180</v>
      </c>
      <c r="AL27" s="165">
        <f t="shared" si="0"/>
        <v>3</v>
      </c>
      <c r="AM27" s="17">
        <f t="shared" si="12"/>
        <v>2250</v>
      </c>
      <c r="AX27" s="181" t="s">
        <v>181</v>
      </c>
      <c r="AY27" s="202">
        <f>AVERAGE(AY2:AY26)</f>
        <v>366.77249999999998</v>
      </c>
      <c r="AZ27" s="202">
        <f>AVERAGE(AZ2:AZ26)</f>
        <v>252.79210526315791</v>
      </c>
      <c r="BA27" s="17">
        <f t="shared" si="5"/>
        <v>1</v>
      </c>
      <c r="BB27" s="17">
        <f t="shared" si="6"/>
        <v>13</v>
      </c>
      <c r="BC27" s="209">
        <f t="shared" si="7"/>
        <v>270</v>
      </c>
      <c r="BD27" s="277">
        <f t="shared" si="8"/>
        <v>366.77</v>
      </c>
      <c r="BE27" s="17">
        <f t="shared" si="9"/>
        <v>0</v>
      </c>
      <c r="BF27" s="213">
        <f t="shared" si="10"/>
        <v>3886.77</v>
      </c>
      <c r="BG27" s="209">
        <f t="shared" si="11"/>
        <v>636.77</v>
      </c>
      <c r="CD27" s="17"/>
    </row>
    <row r="28" spans="1:82" ht="38.25" x14ac:dyDescent="0.25">
      <c r="A28" s="31" t="s">
        <v>131</v>
      </c>
      <c r="B28" s="107">
        <v>33</v>
      </c>
      <c r="C28" s="31" t="s">
        <v>171</v>
      </c>
      <c r="D28" s="32">
        <v>315</v>
      </c>
      <c r="E28" s="32">
        <v>6</v>
      </c>
      <c r="F28" s="88">
        <v>135</v>
      </c>
      <c r="G28" s="31" t="s">
        <v>43</v>
      </c>
      <c r="H28" s="54">
        <v>2007</v>
      </c>
      <c r="I28" s="10">
        <v>39083</v>
      </c>
      <c r="J28" s="54">
        <v>2007</v>
      </c>
      <c r="K28" s="37" t="s">
        <v>115</v>
      </c>
      <c r="L28" s="31" t="s">
        <v>54</v>
      </c>
      <c r="M28" s="54" t="s">
        <v>46</v>
      </c>
      <c r="N28" s="32" t="s">
        <v>60</v>
      </c>
      <c r="O28" s="54" t="s">
        <v>65</v>
      </c>
      <c r="P28" s="31" t="s">
        <v>182</v>
      </c>
      <c r="Q28" s="31" t="s">
        <v>183</v>
      </c>
      <c r="R28" s="32" t="str">
        <f t="shared" si="1"/>
        <v>Multiple</v>
      </c>
      <c r="S28" s="88">
        <f>5000+150</f>
        <v>5150</v>
      </c>
      <c r="T28" s="27">
        <v>43071</v>
      </c>
      <c r="U28" s="89">
        <f t="shared" si="2"/>
        <v>7</v>
      </c>
      <c r="V28" s="69" t="str">
        <f t="shared" si="3"/>
        <v>December</v>
      </c>
      <c r="AK28" s="17" t="s">
        <v>184</v>
      </c>
      <c r="AL28" s="165">
        <f t="shared" si="0"/>
        <v>1</v>
      </c>
      <c r="AM28" s="17">
        <f t="shared" si="12"/>
        <v>2500</v>
      </c>
      <c r="AY28" s="202">
        <f>_xlfn.STDEV.P(AY2:AY26)</f>
        <v>75.709944704004116</v>
      </c>
      <c r="AZ28" s="202">
        <f>_xlfn.STDEV.P(AZ2:AZ26)</f>
        <v>38.250527836598231</v>
      </c>
      <c r="BA28" s="17">
        <f t="shared" si="5"/>
        <v>8</v>
      </c>
      <c r="BB28" s="17">
        <f t="shared" si="6"/>
        <v>20</v>
      </c>
      <c r="BC28" s="209">
        <f t="shared" si="7"/>
        <v>270</v>
      </c>
      <c r="BD28" s="277">
        <f t="shared" si="8"/>
        <v>366.77</v>
      </c>
      <c r="BE28" s="17">
        <f t="shared" si="9"/>
        <v>0</v>
      </c>
      <c r="BF28" s="213">
        <f t="shared" si="10"/>
        <v>5786.77</v>
      </c>
      <c r="BG28" s="209">
        <f t="shared" si="11"/>
        <v>636.77</v>
      </c>
      <c r="CD28" s="17"/>
    </row>
    <row r="29" spans="1:82" ht="38.25" x14ac:dyDescent="0.25">
      <c r="A29" s="31" t="s">
        <v>131</v>
      </c>
      <c r="B29" s="107">
        <v>33</v>
      </c>
      <c r="C29" s="44" t="s">
        <v>171</v>
      </c>
      <c r="D29" s="32">
        <v>315</v>
      </c>
      <c r="E29" s="32">
        <v>6</v>
      </c>
      <c r="F29" s="88">
        <v>135</v>
      </c>
      <c r="G29" s="31" t="s">
        <v>43</v>
      </c>
      <c r="H29" s="54">
        <v>2007</v>
      </c>
      <c r="I29" s="10">
        <v>39083</v>
      </c>
      <c r="J29" s="54">
        <v>2007</v>
      </c>
      <c r="K29" s="37" t="s">
        <v>115</v>
      </c>
      <c r="L29" s="31" t="s">
        <v>54</v>
      </c>
      <c r="M29" s="54" t="s">
        <v>46</v>
      </c>
      <c r="N29" s="32" t="s">
        <v>60</v>
      </c>
      <c r="O29" s="37" t="s">
        <v>65</v>
      </c>
      <c r="P29" s="31" t="s">
        <v>185</v>
      </c>
      <c r="Q29" s="110" t="s">
        <v>104</v>
      </c>
      <c r="R29" s="32" t="str">
        <f t="shared" si="1"/>
        <v>Multiple</v>
      </c>
      <c r="S29" s="88">
        <f>500+2500</f>
        <v>3000</v>
      </c>
      <c r="T29" s="1">
        <v>43064</v>
      </c>
      <c r="U29" s="89">
        <f t="shared" si="2"/>
        <v>7</v>
      </c>
      <c r="V29" s="69" t="str">
        <f t="shared" si="3"/>
        <v>November</v>
      </c>
      <c r="AK29" s="17" t="s">
        <v>186</v>
      </c>
      <c r="AL29" s="165">
        <f t="shared" si="0"/>
        <v>1</v>
      </c>
      <c r="AM29" s="17">
        <f t="shared" si="12"/>
        <v>5000</v>
      </c>
      <c r="BA29" s="17">
        <f t="shared" si="5"/>
        <v>1</v>
      </c>
      <c r="BB29" s="17">
        <f t="shared" si="6"/>
        <v>13</v>
      </c>
      <c r="BC29" s="209">
        <f t="shared" si="7"/>
        <v>270</v>
      </c>
      <c r="BD29" s="277">
        <f t="shared" si="8"/>
        <v>366.77</v>
      </c>
      <c r="BE29" s="17">
        <f t="shared" si="9"/>
        <v>0</v>
      </c>
      <c r="BF29" s="213">
        <f t="shared" si="10"/>
        <v>3636.77</v>
      </c>
      <c r="BG29" s="209">
        <f t="shared" si="11"/>
        <v>636.77</v>
      </c>
      <c r="CD29" s="17"/>
    </row>
    <row r="30" spans="1:82" ht="39" thickBot="1" x14ac:dyDescent="0.3">
      <c r="A30" s="34" t="s">
        <v>131</v>
      </c>
      <c r="B30" s="107">
        <v>33</v>
      </c>
      <c r="C30" s="50" t="s">
        <v>171</v>
      </c>
      <c r="D30" s="32">
        <v>315</v>
      </c>
      <c r="E30" s="32">
        <v>6</v>
      </c>
      <c r="F30" s="88">
        <v>135</v>
      </c>
      <c r="G30" s="33" t="s">
        <v>43</v>
      </c>
      <c r="H30" s="54">
        <v>2007</v>
      </c>
      <c r="I30" s="10">
        <v>39083</v>
      </c>
      <c r="J30" s="54">
        <v>2007</v>
      </c>
      <c r="K30" s="37" t="s">
        <v>115</v>
      </c>
      <c r="L30" s="31" t="s">
        <v>54</v>
      </c>
      <c r="M30" s="33" t="s">
        <v>46</v>
      </c>
      <c r="N30" s="32" t="s">
        <v>60</v>
      </c>
      <c r="O30" s="61" t="s">
        <v>65</v>
      </c>
      <c r="P30" s="33" t="s">
        <v>187</v>
      </c>
      <c r="Q30" s="33" t="s">
        <v>67</v>
      </c>
      <c r="R30" s="32" t="str">
        <f t="shared" si="1"/>
        <v>Single</v>
      </c>
      <c r="S30" s="91">
        <v>750</v>
      </c>
      <c r="T30" s="3">
        <v>40625</v>
      </c>
      <c r="U30" s="89">
        <f t="shared" si="2"/>
        <v>4</v>
      </c>
      <c r="V30" s="69" t="str">
        <f t="shared" si="3"/>
        <v>March</v>
      </c>
      <c r="AK30" s="18" t="s">
        <v>188</v>
      </c>
      <c r="AL30" s="165">
        <f t="shared" si="0"/>
        <v>1</v>
      </c>
      <c r="AM30" s="17">
        <f t="shared" si="12"/>
        <v>3250</v>
      </c>
      <c r="BA30" s="17">
        <f t="shared" si="5"/>
        <v>1</v>
      </c>
      <c r="BB30" s="17">
        <f t="shared" si="6"/>
        <v>13</v>
      </c>
      <c r="BC30" s="209">
        <f t="shared" si="7"/>
        <v>270</v>
      </c>
      <c r="BD30" s="277">
        <f t="shared" si="8"/>
        <v>366.77</v>
      </c>
      <c r="BE30" s="17">
        <f t="shared" si="9"/>
        <v>0</v>
      </c>
      <c r="BF30" s="213">
        <f t="shared" si="10"/>
        <v>1386.77</v>
      </c>
      <c r="BG30" s="209">
        <f t="shared" si="11"/>
        <v>636.77</v>
      </c>
      <c r="CD30" s="17"/>
    </row>
    <row r="31" spans="1:82" ht="39" thickBot="1" x14ac:dyDescent="0.3">
      <c r="A31" s="49" t="s">
        <v>135</v>
      </c>
      <c r="B31" s="49">
        <v>68</v>
      </c>
      <c r="C31" s="96" t="s">
        <v>189</v>
      </c>
      <c r="D31" s="97">
        <v>3000</v>
      </c>
      <c r="E31" s="97">
        <v>10</v>
      </c>
      <c r="F31" s="140">
        <v>5500</v>
      </c>
      <c r="G31" s="49" t="s">
        <v>43</v>
      </c>
      <c r="H31" s="64">
        <v>2017</v>
      </c>
      <c r="I31" s="7">
        <v>42888</v>
      </c>
      <c r="J31" s="111">
        <v>2017</v>
      </c>
      <c r="K31" s="49" t="s">
        <v>63</v>
      </c>
      <c r="L31" s="49" t="s">
        <v>54</v>
      </c>
      <c r="M31" s="64" t="s">
        <v>46</v>
      </c>
      <c r="N31" s="49" t="s">
        <v>190</v>
      </c>
      <c r="O31" s="49" t="s">
        <v>191</v>
      </c>
      <c r="P31" s="49" t="s">
        <v>192</v>
      </c>
      <c r="Q31" s="49" t="s">
        <v>91</v>
      </c>
      <c r="R31" s="32" t="str">
        <f t="shared" si="1"/>
        <v>Single</v>
      </c>
      <c r="S31" s="91">
        <v>5000</v>
      </c>
      <c r="T31" s="58">
        <v>42888</v>
      </c>
      <c r="U31" s="89">
        <f t="shared" si="2"/>
        <v>6</v>
      </c>
      <c r="V31" s="69" t="str">
        <f t="shared" si="3"/>
        <v>June</v>
      </c>
      <c r="AK31" s="17" t="s">
        <v>193</v>
      </c>
      <c r="AL31" s="165">
        <f t="shared" si="0"/>
        <v>1</v>
      </c>
      <c r="AM31" s="17">
        <f t="shared" si="12"/>
        <v>750</v>
      </c>
      <c r="BA31" s="17">
        <f t="shared" si="5"/>
        <v>8</v>
      </c>
      <c r="BB31" s="17">
        <f t="shared" si="6"/>
        <v>28</v>
      </c>
      <c r="BC31" s="209">
        <f t="shared" si="7"/>
        <v>11000</v>
      </c>
      <c r="BD31" s="277">
        <f t="shared" si="8"/>
        <v>733.54</v>
      </c>
      <c r="BE31" s="17">
        <f t="shared" si="9"/>
        <v>366.77</v>
      </c>
      <c r="BF31" s="213">
        <f t="shared" si="10"/>
        <v>17100.310000000001</v>
      </c>
      <c r="BG31" s="209">
        <f t="shared" si="11"/>
        <v>12100.310000000001</v>
      </c>
      <c r="CD31" s="17"/>
    </row>
    <row r="32" spans="1:82" ht="39" thickBot="1" x14ac:dyDescent="0.3">
      <c r="A32" s="49" t="s">
        <v>138</v>
      </c>
      <c r="B32" s="49">
        <v>50</v>
      </c>
      <c r="C32" s="96" t="s">
        <v>194</v>
      </c>
      <c r="D32" s="97">
        <v>7</v>
      </c>
      <c r="E32" s="97">
        <v>0.5</v>
      </c>
      <c r="F32" s="140">
        <v>22</v>
      </c>
      <c r="G32" s="49" t="s">
        <v>43</v>
      </c>
      <c r="H32" s="64">
        <v>2017</v>
      </c>
      <c r="I32" s="7">
        <v>42860</v>
      </c>
      <c r="J32" s="111">
        <v>2017</v>
      </c>
      <c r="K32" s="49" t="s">
        <v>63</v>
      </c>
      <c r="L32" s="49" t="s">
        <v>54</v>
      </c>
      <c r="M32" s="64" t="s">
        <v>46</v>
      </c>
      <c r="N32" s="49" t="s">
        <v>47</v>
      </c>
      <c r="O32" s="49" t="s">
        <v>48</v>
      </c>
      <c r="P32" s="49" t="s">
        <v>195</v>
      </c>
      <c r="Q32" s="49" t="s">
        <v>91</v>
      </c>
      <c r="R32" s="32" t="str">
        <f t="shared" si="1"/>
        <v>Single</v>
      </c>
      <c r="S32" s="91">
        <v>7000</v>
      </c>
      <c r="T32" s="58">
        <v>43893</v>
      </c>
      <c r="U32" s="89">
        <f t="shared" si="2"/>
        <v>3</v>
      </c>
      <c r="V32" s="69" t="str">
        <f t="shared" si="3"/>
        <v>March</v>
      </c>
      <c r="AK32" s="17" t="s">
        <v>196</v>
      </c>
      <c r="AL32" s="165">
        <f t="shared" si="0"/>
        <v>1</v>
      </c>
      <c r="AM32" s="17">
        <f t="shared" si="12"/>
        <v>4500</v>
      </c>
      <c r="BA32" s="17">
        <f t="shared" si="5"/>
        <v>8</v>
      </c>
      <c r="BB32" s="17">
        <f t="shared" si="6"/>
        <v>9</v>
      </c>
      <c r="BC32" s="209">
        <f t="shared" si="7"/>
        <v>44</v>
      </c>
      <c r="BD32" s="277">
        <f t="shared" si="8"/>
        <v>366.77</v>
      </c>
      <c r="BE32" s="17">
        <f t="shared" si="9"/>
        <v>0</v>
      </c>
      <c r="BF32" s="213">
        <f t="shared" si="10"/>
        <v>7410.77</v>
      </c>
      <c r="BG32" s="209">
        <f t="shared" si="11"/>
        <v>410.77</v>
      </c>
      <c r="CD32" s="17"/>
    </row>
    <row r="33" spans="1:82" s="23" customFormat="1" ht="39" thickBot="1" x14ac:dyDescent="0.3">
      <c r="A33" s="32" t="s">
        <v>144</v>
      </c>
      <c r="B33" s="32">
        <v>31</v>
      </c>
      <c r="C33" s="40" t="s">
        <v>197</v>
      </c>
      <c r="D33" s="100">
        <v>150</v>
      </c>
      <c r="E33" s="100">
        <v>5</v>
      </c>
      <c r="F33" s="142">
        <v>130</v>
      </c>
      <c r="G33" s="32" t="s">
        <v>43</v>
      </c>
      <c r="H33" s="54">
        <v>1996</v>
      </c>
      <c r="I33" s="366">
        <v>42810</v>
      </c>
      <c r="J33" s="56">
        <v>2006</v>
      </c>
      <c r="K33" s="32" t="s">
        <v>115</v>
      </c>
      <c r="L33" s="31" t="s">
        <v>54</v>
      </c>
      <c r="M33" s="32" t="s">
        <v>46</v>
      </c>
      <c r="N33" s="32" t="s">
        <v>47</v>
      </c>
      <c r="O33" s="32" t="s">
        <v>48</v>
      </c>
      <c r="P33" s="32" t="s">
        <v>198</v>
      </c>
      <c r="Q33" s="95" t="s">
        <v>67</v>
      </c>
      <c r="R33" s="32" t="str">
        <f t="shared" si="1"/>
        <v>Single</v>
      </c>
      <c r="S33" s="88">
        <v>750</v>
      </c>
      <c r="T33" s="4">
        <v>42810</v>
      </c>
      <c r="U33" s="89">
        <f t="shared" si="2"/>
        <v>5</v>
      </c>
      <c r="V33" s="69" t="str">
        <f t="shared" si="3"/>
        <v>March</v>
      </c>
      <c r="AK33" s="18" t="s">
        <v>199</v>
      </c>
      <c r="AL33" s="165">
        <f t="shared" si="0"/>
        <v>1</v>
      </c>
      <c r="AM33" s="17">
        <f t="shared" si="12"/>
        <v>750</v>
      </c>
      <c r="AX33" s="182"/>
      <c r="AY33" s="204"/>
      <c r="AZ33" s="204"/>
      <c r="BA33" s="17">
        <f t="shared" si="5"/>
        <v>1</v>
      </c>
      <c r="BB33" s="17">
        <f t="shared" si="6"/>
        <v>11</v>
      </c>
      <c r="BC33" s="209">
        <f t="shared" si="7"/>
        <v>260</v>
      </c>
      <c r="BD33" s="277">
        <f t="shared" si="8"/>
        <v>366.77</v>
      </c>
      <c r="BE33" s="17">
        <f t="shared" si="9"/>
        <v>0</v>
      </c>
      <c r="BF33" s="213">
        <f t="shared" si="10"/>
        <v>1376.77</v>
      </c>
      <c r="BG33" s="209">
        <f t="shared" si="11"/>
        <v>626.77</v>
      </c>
      <c r="BS33" s="182"/>
      <c r="BT33" s="182"/>
      <c r="CD33" s="17"/>
    </row>
    <row r="34" spans="1:82" s="22" customFormat="1" ht="39" thickBot="1" x14ac:dyDescent="0.3">
      <c r="A34" s="31" t="s">
        <v>144</v>
      </c>
      <c r="B34" s="32">
        <v>31</v>
      </c>
      <c r="C34" s="101" t="s">
        <v>197</v>
      </c>
      <c r="D34" s="100">
        <v>150</v>
      </c>
      <c r="E34" s="100">
        <v>5</v>
      </c>
      <c r="F34" s="142">
        <v>130</v>
      </c>
      <c r="G34" s="31" t="s">
        <v>43</v>
      </c>
      <c r="H34" s="54">
        <v>1996</v>
      </c>
      <c r="I34" s="367">
        <v>38353</v>
      </c>
      <c r="J34" s="56">
        <v>2006</v>
      </c>
      <c r="K34" s="31" t="s">
        <v>115</v>
      </c>
      <c r="L34" s="31" t="s">
        <v>54</v>
      </c>
      <c r="M34" s="54" t="s">
        <v>46</v>
      </c>
      <c r="N34" s="32" t="s">
        <v>47</v>
      </c>
      <c r="O34" s="32" t="s">
        <v>48</v>
      </c>
      <c r="P34" s="31" t="s">
        <v>200</v>
      </c>
      <c r="Q34" s="31" t="s">
        <v>67</v>
      </c>
      <c r="R34" s="32" t="str">
        <f t="shared" si="1"/>
        <v>Single</v>
      </c>
      <c r="S34" s="88">
        <v>750</v>
      </c>
      <c r="T34" s="27">
        <v>42060</v>
      </c>
      <c r="U34" s="89">
        <f t="shared" si="2"/>
        <v>4</v>
      </c>
      <c r="V34" s="69" t="str">
        <f t="shared" si="3"/>
        <v>February</v>
      </c>
      <c r="AK34" s="17" t="s">
        <v>201</v>
      </c>
      <c r="AL34" s="165">
        <f t="shared" ref="AL34:AL65" si="13">COUNTIF(A$2:A$179,AK34)*1</f>
        <v>1</v>
      </c>
      <c r="AM34" s="17">
        <f t="shared" si="12"/>
        <v>2250</v>
      </c>
      <c r="AX34" s="187"/>
      <c r="AY34" s="203"/>
      <c r="AZ34" s="203"/>
      <c r="BA34" s="17">
        <f t="shared" si="5"/>
        <v>1</v>
      </c>
      <c r="BB34" s="17">
        <f t="shared" si="6"/>
        <v>11</v>
      </c>
      <c r="BC34" s="209">
        <f t="shared" si="7"/>
        <v>260</v>
      </c>
      <c r="BD34" s="277">
        <f t="shared" si="8"/>
        <v>366.77</v>
      </c>
      <c r="BE34" s="17">
        <f t="shared" si="9"/>
        <v>0</v>
      </c>
      <c r="BF34" s="213">
        <f t="shared" si="10"/>
        <v>1376.77</v>
      </c>
      <c r="BG34" s="209">
        <f t="shared" si="11"/>
        <v>626.77</v>
      </c>
      <c r="BS34" s="187"/>
      <c r="BT34" s="187"/>
      <c r="CD34" s="17"/>
    </row>
    <row r="35" spans="1:82" s="22" customFormat="1" ht="39" thickBot="1" x14ac:dyDescent="0.3">
      <c r="A35" s="34" t="s">
        <v>144</v>
      </c>
      <c r="B35" s="32">
        <v>31</v>
      </c>
      <c r="C35" s="46" t="s">
        <v>197</v>
      </c>
      <c r="D35" s="100">
        <v>150</v>
      </c>
      <c r="E35" s="100">
        <v>5</v>
      </c>
      <c r="F35" s="142">
        <v>130</v>
      </c>
      <c r="G35" s="34" t="s">
        <v>43</v>
      </c>
      <c r="H35" s="33">
        <v>1996</v>
      </c>
      <c r="I35" s="368">
        <v>38353</v>
      </c>
      <c r="J35" s="33">
        <v>2006</v>
      </c>
      <c r="K35" s="36" t="s">
        <v>115</v>
      </c>
      <c r="L35" s="34" t="s">
        <v>54</v>
      </c>
      <c r="M35" s="34" t="s">
        <v>46</v>
      </c>
      <c r="N35" s="34" t="s">
        <v>47</v>
      </c>
      <c r="O35" s="34" t="s">
        <v>48</v>
      </c>
      <c r="P35" s="34" t="s">
        <v>202</v>
      </c>
      <c r="Q35" s="90" t="s">
        <v>104</v>
      </c>
      <c r="R35" s="32" t="str">
        <f t="shared" si="1"/>
        <v>Multiple</v>
      </c>
      <c r="S35" s="91">
        <f>750+200</f>
        <v>950</v>
      </c>
      <c r="T35" s="3">
        <v>40926</v>
      </c>
      <c r="U35" s="89">
        <f t="shared" si="2"/>
        <v>4</v>
      </c>
      <c r="V35" s="69" t="str">
        <f t="shared" si="3"/>
        <v>January</v>
      </c>
      <c r="AK35" s="17" t="s">
        <v>203</v>
      </c>
      <c r="AL35" s="165">
        <f t="shared" si="13"/>
        <v>1</v>
      </c>
      <c r="AM35" s="17">
        <f t="shared" si="12"/>
        <v>2500</v>
      </c>
      <c r="AX35" s="187"/>
      <c r="AY35" s="203"/>
      <c r="AZ35" s="203"/>
      <c r="BA35" s="17">
        <f t="shared" si="5"/>
        <v>1</v>
      </c>
      <c r="BB35" s="17">
        <f t="shared" si="6"/>
        <v>11</v>
      </c>
      <c r="BC35" s="209">
        <f t="shared" si="7"/>
        <v>260</v>
      </c>
      <c r="BD35" s="277">
        <f t="shared" si="8"/>
        <v>366.77</v>
      </c>
      <c r="BE35" s="17">
        <f t="shared" si="9"/>
        <v>0</v>
      </c>
      <c r="BF35" s="213">
        <f t="shared" si="10"/>
        <v>1576.77</v>
      </c>
      <c r="BG35" s="209">
        <f t="shared" si="11"/>
        <v>626.77</v>
      </c>
      <c r="BS35" s="187"/>
      <c r="BT35" s="187"/>
      <c r="CD35" s="17"/>
    </row>
    <row r="36" spans="1:82" ht="51.75" thickBot="1" x14ac:dyDescent="0.3">
      <c r="A36" s="32" t="s">
        <v>149</v>
      </c>
      <c r="B36" s="220">
        <v>7</v>
      </c>
      <c r="C36" s="40" t="s">
        <v>204</v>
      </c>
      <c r="D36" s="100">
        <v>25</v>
      </c>
      <c r="E36" s="100">
        <v>2</v>
      </c>
      <c r="F36" s="142">
        <v>42</v>
      </c>
      <c r="G36" s="32" t="s">
        <v>43</v>
      </c>
      <c r="H36" s="220">
        <v>2003</v>
      </c>
      <c r="I36" s="45">
        <v>42791</v>
      </c>
      <c r="J36" s="57">
        <v>2017</v>
      </c>
      <c r="K36" s="32" t="s">
        <v>164</v>
      </c>
      <c r="L36" s="32" t="s">
        <v>205</v>
      </c>
      <c r="M36" s="32" t="s">
        <v>64</v>
      </c>
      <c r="N36" s="32" t="s">
        <v>60</v>
      </c>
      <c r="O36" s="32" t="s">
        <v>65</v>
      </c>
      <c r="P36" s="32" t="s">
        <v>206</v>
      </c>
      <c r="Q36" s="95" t="s">
        <v>67</v>
      </c>
      <c r="R36" s="32" t="str">
        <f t="shared" si="1"/>
        <v>Single</v>
      </c>
      <c r="S36" s="88">
        <v>2500</v>
      </c>
      <c r="T36" s="4">
        <v>42901</v>
      </c>
      <c r="U36" s="89">
        <f t="shared" si="2"/>
        <v>5</v>
      </c>
      <c r="V36" s="69" t="str">
        <f t="shared" si="3"/>
        <v>June</v>
      </c>
      <c r="AK36" s="18" t="s">
        <v>207</v>
      </c>
      <c r="AL36" s="165">
        <f t="shared" si="13"/>
        <v>1</v>
      </c>
      <c r="AM36" s="17">
        <f t="shared" si="12"/>
        <v>2250</v>
      </c>
      <c r="BA36" s="17">
        <f t="shared" si="5"/>
        <v>1</v>
      </c>
      <c r="BB36" s="17">
        <f t="shared" si="6"/>
        <v>5</v>
      </c>
      <c r="BC36" s="209">
        <f t="shared" si="7"/>
        <v>168</v>
      </c>
      <c r="BD36" s="277">
        <f t="shared" si="8"/>
        <v>309.89</v>
      </c>
      <c r="BE36" s="17">
        <f t="shared" si="9"/>
        <v>619.78</v>
      </c>
      <c r="BF36" s="213">
        <f t="shared" si="10"/>
        <v>3597.67</v>
      </c>
      <c r="BG36" s="209">
        <f t="shared" si="11"/>
        <v>1097.67</v>
      </c>
      <c r="CD36" s="17"/>
    </row>
    <row r="37" spans="1:82" ht="51" x14ac:dyDescent="0.25">
      <c r="A37" s="31" t="s">
        <v>149</v>
      </c>
      <c r="B37" s="220">
        <v>7</v>
      </c>
      <c r="C37" s="101" t="s">
        <v>204</v>
      </c>
      <c r="D37" s="100">
        <v>25</v>
      </c>
      <c r="E37" s="100">
        <v>2</v>
      </c>
      <c r="F37" s="142">
        <v>42</v>
      </c>
      <c r="G37" s="31" t="s">
        <v>43</v>
      </c>
      <c r="H37" s="220">
        <v>2003</v>
      </c>
      <c r="I37" s="2">
        <v>42791</v>
      </c>
      <c r="J37" s="56">
        <v>2017</v>
      </c>
      <c r="K37" s="31" t="s">
        <v>208</v>
      </c>
      <c r="L37" s="32" t="s">
        <v>205</v>
      </c>
      <c r="M37" s="54" t="s">
        <v>64</v>
      </c>
      <c r="N37" s="32" t="s">
        <v>60</v>
      </c>
      <c r="O37" s="31" t="s">
        <v>65</v>
      </c>
      <c r="P37" s="31" t="s">
        <v>209</v>
      </c>
      <c r="Q37" s="31" t="s">
        <v>67</v>
      </c>
      <c r="R37" s="32" t="str">
        <f t="shared" si="1"/>
        <v>Single</v>
      </c>
      <c r="S37" s="88">
        <v>2500</v>
      </c>
      <c r="T37" s="27">
        <v>43055</v>
      </c>
      <c r="U37" s="89">
        <f t="shared" si="2"/>
        <v>5</v>
      </c>
      <c r="V37" s="69" t="str">
        <f t="shared" si="3"/>
        <v>November</v>
      </c>
      <c r="AK37" s="17" t="s">
        <v>210</v>
      </c>
      <c r="AL37" s="165">
        <f t="shared" si="13"/>
        <v>1</v>
      </c>
      <c r="AM37" s="17">
        <f t="shared" si="12"/>
        <v>750</v>
      </c>
      <c r="BA37" s="17">
        <f t="shared" si="5"/>
        <v>1</v>
      </c>
      <c r="BB37" s="17">
        <f t="shared" si="6"/>
        <v>5</v>
      </c>
      <c r="BC37" s="209">
        <f t="shared" si="7"/>
        <v>168</v>
      </c>
      <c r="BD37" s="277">
        <f t="shared" si="8"/>
        <v>309.89</v>
      </c>
      <c r="BE37" s="17">
        <f t="shared" si="9"/>
        <v>619.78</v>
      </c>
      <c r="BF37" s="213">
        <f t="shared" si="10"/>
        <v>3597.67</v>
      </c>
      <c r="BG37" s="209">
        <f t="shared" si="11"/>
        <v>1097.67</v>
      </c>
      <c r="CD37" s="17"/>
    </row>
    <row r="38" spans="1:82" s="23" customFormat="1" ht="51.75" thickBot="1" x14ac:dyDescent="0.3">
      <c r="A38" s="32" t="s">
        <v>149</v>
      </c>
      <c r="B38" s="220">
        <v>7</v>
      </c>
      <c r="C38" s="101" t="s">
        <v>204</v>
      </c>
      <c r="D38" s="100">
        <v>25</v>
      </c>
      <c r="E38" s="100">
        <v>2</v>
      </c>
      <c r="F38" s="142">
        <v>42</v>
      </c>
      <c r="G38" s="31" t="s">
        <v>43</v>
      </c>
      <c r="H38" s="220">
        <v>2003</v>
      </c>
      <c r="I38" s="2">
        <v>42791</v>
      </c>
      <c r="J38" s="56">
        <v>2017</v>
      </c>
      <c r="K38" s="31" t="s">
        <v>208</v>
      </c>
      <c r="L38" s="32" t="s">
        <v>205</v>
      </c>
      <c r="M38" s="54" t="s">
        <v>64</v>
      </c>
      <c r="N38" s="32" t="s">
        <v>60</v>
      </c>
      <c r="O38" s="31" t="s">
        <v>65</v>
      </c>
      <c r="P38" s="31" t="s">
        <v>211</v>
      </c>
      <c r="Q38" s="31" t="s">
        <v>67</v>
      </c>
      <c r="R38" s="32" t="str">
        <f t="shared" si="1"/>
        <v>Single</v>
      </c>
      <c r="S38" s="88">
        <v>200</v>
      </c>
      <c r="T38" s="27">
        <v>43152</v>
      </c>
      <c r="U38" s="89">
        <f t="shared" si="2"/>
        <v>4</v>
      </c>
      <c r="V38" s="69" t="str">
        <f t="shared" si="3"/>
        <v>February</v>
      </c>
      <c r="AK38" s="17" t="s">
        <v>212</v>
      </c>
      <c r="AL38" s="165">
        <f t="shared" si="13"/>
        <v>1</v>
      </c>
      <c r="AM38" s="17">
        <f t="shared" si="12"/>
        <v>1000</v>
      </c>
      <c r="AX38" s="182"/>
      <c r="AY38" s="204"/>
      <c r="AZ38" s="204"/>
      <c r="BA38" s="17">
        <f t="shared" si="5"/>
        <v>1</v>
      </c>
      <c r="BB38" s="17">
        <f t="shared" si="6"/>
        <v>5</v>
      </c>
      <c r="BC38" s="209">
        <f t="shared" si="7"/>
        <v>168</v>
      </c>
      <c r="BD38" s="277">
        <f t="shared" si="8"/>
        <v>309.89</v>
      </c>
      <c r="BE38" s="17">
        <f t="shared" si="9"/>
        <v>619.78</v>
      </c>
      <c r="BF38" s="213">
        <f t="shared" si="10"/>
        <v>1297.67</v>
      </c>
      <c r="BG38" s="209">
        <f t="shared" si="11"/>
        <v>1097.67</v>
      </c>
      <c r="BS38" s="182"/>
      <c r="BT38" s="182"/>
      <c r="CD38" s="17"/>
    </row>
    <row r="39" spans="1:82" ht="51.75" thickBot="1" x14ac:dyDescent="0.3">
      <c r="A39" s="31" t="s">
        <v>149</v>
      </c>
      <c r="B39" s="220">
        <v>7</v>
      </c>
      <c r="C39" s="101" t="s">
        <v>204</v>
      </c>
      <c r="D39" s="100">
        <v>25</v>
      </c>
      <c r="E39" s="100">
        <v>2</v>
      </c>
      <c r="F39" s="142">
        <v>42</v>
      </c>
      <c r="G39" s="31" t="s">
        <v>43</v>
      </c>
      <c r="H39" s="220">
        <v>2003</v>
      </c>
      <c r="I39" s="2">
        <v>42791</v>
      </c>
      <c r="J39" s="56">
        <v>2017</v>
      </c>
      <c r="K39" s="31" t="s">
        <v>208</v>
      </c>
      <c r="L39" s="32" t="s">
        <v>205</v>
      </c>
      <c r="M39" s="54" t="s">
        <v>64</v>
      </c>
      <c r="N39" s="32" t="s">
        <v>60</v>
      </c>
      <c r="O39" s="31" t="s">
        <v>65</v>
      </c>
      <c r="P39" s="31" t="s">
        <v>213</v>
      </c>
      <c r="Q39" s="31" t="s">
        <v>67</v>
      </c>
      <c r="R39" s="32" t="str">
        <f t="shared" si="1"/>
        <v>Single</v>
      </c>
      <c r="S39" s="88">
        <v>250</v>
      </c>
      <c r="T39" s="27">
        <v>43398</v>
      </c>
      <c r="U39" s="89">
        <f t="shared" si="2"/>
        <v>5</v>
      </c>
      <c r="V39" s="69" t="str">
        <f t="shared" si="3"/>
        <v>October</v>
      </c>
      <c r="AK39" s="18" t="s">
        <v>214</v>
      </c>
      <c r="AL39" s="165">
        <f t="shared" si="13"/>
        <v>2</v>
      </c>
      <c r="AM39" s="17">
        <f t="shared" si="12"/>
        <v>4000</v>
      </c>
      <c r="BA39" s="17">
        <f t="shared" si="5"/>
        <v>1</v>
      </c>
      <c r="BB39" s="17">
        <f t="shared" si="6"/>
        <v>5</v>
      </c>
      <c r="BC39" s="209">
        <f t="shared" si="7"/>
        <v>168</v>
      </c>
      <c r="BD39" s="277">
        <f t="shared" si="8"/>
        <v>309.89</v>
      </c>
      <c r="BE39" s="17">
        <f t="shared" si="9"/>
        <v>619.78</v>
      </c>
      <c r="BF39" s="213">
        <f t="shared" si="10"/>
        <v>1347.67</v>
      </c>
      <c r="BG39" s="209">
        <f t="shared" si="11"/>
        <v>1097.67</v>
      </c>
      <c r="CD39" s="17"/>
    </row>
    <row r="40" spans="1:82" ht="26.25" thickBot="1" x14ac:dyDescent="0.3">
      <c r="A40" s="49" t="s">
        <v>154</v>
      </c>
      <c r="B40" s="49">
        <v>44</v>
      </c>
      <c r="C40" s="49" t="s">
        <v>215</v>
      </c>
      <c r="D40" s="49">
        <v>43</v>
      </c>
      <c r="E40" s="49">
        <v>3</v>
      </c>
      <c r="F40" s="146">
        <v>42</v>
      </c>
      <c r="G40" s="49" t="s">
        <v>43</v>
      </c>
      <c r="H40" s="64">
        <v>2016</v>
      </c>
      <c r="I40" s="6">
        <v>42717</v>
      </c>
      <c r="J40" s="64">
        <v>2017</v>
      </c>
      <c r="K40" s="49" t="s">
        <v>44</v>
      </c>
      <c r="L40" s="49" t="s">
        <v>45</v>
      </c>
      <c r="M40" s="64" t="s">
        <v>64</v>
      </c>
      <c r="N40" s="49" t="s">
        <v>60</v>
      </c>
      <c r="O40" s="49" t="s">
        <v>65</v>
      </c>
      <c r="P40" s="49" t="s">
        <v>216</v>
      </c>
      <c r="Q40" s="49" t="s">
        <v>67</v>
      </c>
      <c r="R40" s="32" t="str">
        <f t="shared" si="1"/>
        <v>Single</v>
      </c>
      <c r="S40" s="91">
        <v>750</v>
      </c>
      <c r="T40" s="58">
        <v>43110</v>
      </c>
      <c r="U40" s="89">
        <f t="shared" si="2"/>
        <v>4</v>
      </c>
      <c r="V40" s="69" t="str">
        <f t="shared" si="3"/>
        <v>January</v>
      </c>
      <c r="AK40" s="17" t="s">
        <v>217</v>
      </c>
      <c r="AL40" s="165">
        <f t="shared" si="13"/>
        <v>1</v>
      </c>
      <c r="AM40" s="17">
        <f t="shared" si="12"/>
        <v>5000</v>
      </c>
      <c r="BA40" s="17">
        <f t="shared" si="5"/>
        <v>1</v>
      </c>
      <c r="BB40" s="17">
        <f t="shared" si="6"/>
        <v>7</v>
      </c>
      <c r="BC40" s="209">
        <f t="shared" si="7"/>
        <v>84</v>
      </c>
      <c r="BD40" s="277">
        <f t="shared" si="8"/>
        <v>366.77</v>
      </c>
      <c r="BE40" s="17">
        <f t="shared" si="9"/>
        <v>0</v>
      </c>
      <c r="BF40" s="213">
        <f t="shared" si="10"/>
        <v>1200.77</v>
      </c>
      <c r="BG40" s="209">
        <f t="shared" si="11"/>
        <v>450.77</v>
      </c>
      <c r="CD40" s="17"/>
    </row>
    <row r="41" spans="1:82" ht="51.75" thickBot="1" x14ac:dyDescent="0.3">
      <c r="A41" s="36" t="s">
        <v>158</v>
      </c>
      <c r="B41" s="36">
        <v>52</v>
      </c>
      <c r="C41" s="36" t="s">
        <v>218</v>
      </c>
      <c r="D41" s="36">
        <v>200</v>
      </c>
      <c r="E41" s="36">
        <v>10</v>
      </c>
      <c r="F41" s="147">
        <v>300</v>
      </c>
      <c r="G41" s="36" t="s">
        <v>43</v>
      </c>
      <c r="H41" s="61">
        <v>2016</v>
      </c>
      <c r="I41" s="5">
        <v>42656</v>
      </c>
      <c r="J41" s="61">
        <v>2016</v>
      </c>
      <c r="K41" s="36" t="s">
        <v>44</v>
      </c>
      <c r="L41" s="36" t="s">
        <v>45</v>
      </c>
      <c r="M41" s="61" t="s">
        <v>64</v>
      </c>
      <c r="N41" s="36" t="s">
        <v>60</v>
      </c>
      <c r="O41" s="36" t="s">
        <v>65</v>
      </c>
      <c r="P41" s="36" t="s">
        <v>219</v>
      </c>
      <c r="Q41" s="36" t="s">
        <v>67</v>
      </c>
      <c r="R41" s="32" t="str">
        <f t="shared" si="1"/>
        <v>Single</v>
      </c>
      <c r="S41" s="91">
        <v>150</v>
      </c>
      <c r="T41" s="63">
        <v>42985</v>
      </c>
      <c r="U41" s="89">
        <f t="shared" si="2"/>
        <v>5</v>
      </c>
      <c r="V41" s="69" t="str">
        <f t="shared" si="3"/>
        <v>September</v>
      </c>
      <c r="AK41" s="17" t="s">
        <v>220</v>
      </c>
      <c r="AL41" s="165">
        <f t="shared" si="13"/>
        <v>8</v>
      </c>
      <c r="AM41" s="17">
        <f t="shared" si="12"/>
        <v>35850</v>
      </c>
      <c r="BA41" s="17">
        <f t="shared" si="5"/>
        <v>1</v>
      </c>
      <c r="BB41" s="17">
        <f t="shared" si="6"/>
        <v>21</v>
      </c>
      <c r="BC41" s="209">
        <f t="shared" si="7"/>
        <v>600</v>
      </c>
      <c r="BD41" s="277">
        <f t="shared" si="8"/>
        <v>366.77</v>
      </c>
      <c r="BE41" s="17">
        <f t="shared" si="9"/>
        <v>0</v>
      </c>
      <c r="BF41" s="213">
        <f t="shared" si="10"/>
        <v>1116.77</v>
      </c>
      <c r="BG41" s="209">
        <f t="shared" si="11"/>
        <v>966.77</v>
      </c>
      <c r="CD41" s="17"/>
    </row>
    <row r="42" spans="1:82" ht="39" thickBot="1" x14ac:dyDescent="0.3">
      <c r="A42" s="49" t="s">
        <v>161</v>
      </c>
      <c r="B42" s="49">
        <v>28</v>
      </c>
      <c r="C42" s="48" t="s">
        <v>221</v>
      </c>
      <c r="D42" s="112">
        <v>200</v>
      </c>
      <c r="E42" s="112">
        <v>4</v>
      </c>
      <c r="F42" s="148">
        <v>200</v>
      </c>
      <c r="G42" s="49" t="s">
        <v>43</v>
      </c>
      <c r="H42" s="49">
        <v>2013</v>
      </c>
      <c r="I42" s="6">
        <v>42630</v>
      </c>
      <c r="J42" s="49">
        <v>2013</v>
      </c>
      <c r="K42" s="49" t="s">
        <v>44</v>
      </c>
      <c r="L42" s="32" t="s">
        <v>205</v>
      </c>
      <c r="M42" s="64" t="s">
        <v>46</v>
      </c>
      <c r="N42" s="49" t="s">
        <v>222</v>
      </c>
      <c r="O42" s="64" t="s">
        <v>65</v>
      </c>
      <c r="P42" s="49" t="s">
        <v>223</v>
      </c>
      <c r="Q42" s="113" t="s">
        <v>91</v>
      </c>
      <c r="R42" s="32" t="str">
        <f t="shared" si="1"/>
        <v>Single</v>
      </c>
      <c r="S42" s="91">
        <v>5000</v>
      </c>
      <c r="T42" s="6">
        <v>43878</v>
      </c>
      <c r="U42" s="89">
        <f t="shared" si="2"/>
        <v>2</v>
      </c>
      <c r="V42" s="69" t="str">
        <f t="shared" si="3"/>
        <v>February</v>
      </c>
      <c r="AK42" s="18" t="s">
        <v>224</v>
      </c>
      <c r="AL42" s="165">
        <f t="shared" si="13"/>
        <v>1</v>
      </c>
      <c r="AM42" s="17">
        <f t="shared" si="12"/>
        <v>6500</v>
      </c>
      <c r="BA42" s="17">
        <f t="shared" si="5"/>
        <v>8</v>
      </c>
      <c r="BB42" s="17">
        <f t="shared" si="6"/>
        <v>16</v>
      </c>
      <c r="BC42" s="209">
        <f t="shared" si="7"/>
        <v>400</v>
      </c>
      <c r="BD42" s="277">
        <f t="shared" si="8"/>
        <v>366.77</v>
      </c>
      <c r="BE42" s="17">
        <f t="shared" si="9"/>
        <v>0</v>
      </c>
      <c r="BF42" s="213">
        <f t="shared" si="10"/>
        <v>5766.77</v>
      </c>
      <c r="BG42" s="209">
        <f t="shared" si="11"/>
        <v>766.77</v>
      </c>
      <c r="CD42" s="17"/>
    </row>
    <row r="43" spans="1:82" ht="51" x14ac:dyDescent="0.25">
      <c r="A43" s="32" t="s">
        <v>166</v>
      </c>
      <c r="B43" s="32">
        <v>46</v>
      </c>
      <c r="C43" s="32" t="s">
        <v>225</v>
      </c>
      <c r="D43" s="32">
        <v>18</v>
      </c>
      <c r="E43" s="32">
        <v>1.25</v>
      </c>
      <c r="F43" s="88">
        <v>22</v>
      </c>
      <c r="G43" s="32" t="s">
        <v>43</v>
      </c>
      <c r="H43" s="37">
        <v>2016</v>
      </c>
      <c r="I43" s="4">
        <v>42562</v>
      </c>
      <c r="J43" s="37">
        <v>2016</v>
      </c>
      <c r="K43" s="32" t="s">
        <v>63</v>
      </c>
      <c r="L43" s="32" t="s">
        <v>54</v>
      </c>
      <c r="M43" s="37" t="s">
        <v>46</v>
      </c>
      <c r="N43" s="32" t="s">
        <v>47</v>
      </c>
      <c r="O43" s="32" t="s">
        <v>48</v>
      </c>
      <c r="P43" s="32" t="s">
        <v>226</v>
      </c>
      <c r="Q43" s="32" t="s">
        <v>67</v>
      </c>
      <c r="R43" s="32" t="str">
        <f t="shared" si="1"/>
        <v>Single</v>
      </c>
      <c r="S43" s="88">
        <v>150</v>
      </c>
      <c r="T43" s="26">
        <v>43265</v>
      </c>
      <c r="U43" s="89">
        <f t="shared" si="2"/>
        <v>5</v>
      </c>
      <c r="V43" s="69" t="str">
        <f t="shared" si="3"/>
        <v>June</v>
      </c>
      <c r="AK43" s="17" t="s">
        <v>227</v>
      </c>
      <c r="AL43" s="165">
        <f t="shared" si="13"/>
        <v>6</v>
      </c>
      <c r="AM43" s="17">
        <f t="shared" si="12"/>
        <v>13800</v>
      </c>
      <c r="BA43" s="17">
        <f t="shared" si="5"/>
        <v>1</v>
      </c>
      <c r="BB43" s="17">
        <f t="shared" si="6"/>
        <v>3.5</v>
      </c>
      <c r="BC43" s="209">
        <f t="shared" si="7"/>
        <v>44</v>
      </c>
      <c r="BD43" s="277">
        <f t="shared" si="8"/>
        <v>183.38499999999999</v>
      </c>
      <c r="BE43" s="17">
        <f t="shared" si="9"/>
        <v>0</v>
      </c>
      <c r="BF43" s="213">
        <f t="shared" si="10"/>
        <v>377.38499999999999</v>
      </c>
      <c r="BG43" s="209">
        <f t="shared" si="11"/>
        <v>227.38499999999999</v>
      </c>
      <c r="CD43" s="17"/>
    </row>
    <row r="44" spans="1:82" ht="26.25" thickBot="1" x14ac:dyDescent="0.3">
      <c r="A44" s="34" t="s">
        <v>166</v>
      </c>
      <c r="B44" s="34">
        <v>28</v>
      </c>
      <c r="C44" s="34" t="s">
        <v>228</v>
      </c>
      <c r="D44" s="32">
        <v>18</v>
      </c>
      <c r="E44" s="32">
        <v>1.25</v>
      </c>
      <c r="F44" s="88">
        <v>22</v>
      </c>
      <c r="G44" s="34" t="s">
        <v>43</v>
      </c>
      <c r="H44" s="33">
        <v>2010</v>
      </c>
      <c r="I44" s="3">
        <v>40560</v>
      </c>
      <c r="J44" s="33">
        <v>2011</v>
      </c>
      <c r="K44" s="34" t="s">
        <v>63</v>
      </c>
      <c r="L44" s="34" t="s">
        <v>45</v>
      </c>
      <c r="M44" s="33" t="s">
        <v>46</v>
      </c>
      <c r="N44" s="34" t="s">
        <v>60</v>
      </c>
      <c r="O44" s="34" t="s">
        <v>65</v>
      </c>
      <c r="P44" s="34" t="s">
        <v>229</v>
      </c>
      <c r="Q44" s="34" t="s">
        <v>67</v>
      </c>
      <c r="R44" s="32" t="str">
        <f t="shared" si="1"/>
        <v>Single</v>
      </c>
      <c r="S44" s="91">
        <v>2500</v>
      </c>
      <c r="T44" s="28">
        <v>42539</v>
      </c>
      <c r="U44" s="89">
        <f t="shared" si="2"/>
        <v>7</v>
      </c>
      <c r="V44" s="69" t="str">
        <f t="shared" si="3"/>
        <v>June</v>
      </c>
      <c r="AK44" s="17" t="s">
        <v>230</v>
      </c>
      <c r="AL44" s="165">
        <f t="shared" si="13"/>
        <v>1</v>
      </c>
      <c r="AM44" s="17">
        <f t="shared" si="12"/>
        <v>750</v>
      </c>
      <c r="BA44" s="17">
        <f t="shared" si="5"/>
        <v>1</v>
      </c>
      <c r="BB44" s="17">
        <f t="shared" si="6"/>
        <v>3.5</v>
      </c>
      <c r="BC44" s="209">
        <f t="shared" si="7"/>
        <v>44</v>
      </c>
      <c r="BD44" s="277">
        <f t="shared" si="8"/>
        <v>183.38499999999999</v>
      </c>
      <c r="BE44" s="17">
        <f t="shared" si="9"/>
        <v>0</v>
      </c>
      <c r="BF44" s="213">
        <f t="shared" si="10"/>
        <v>2727.3850000000002</v>
      </c>
      <c r="BG44" s="209">
        <f t="shared" si="11"/>
        <v>227.38499999999999</v>
      </c>
      <c r="CD44" s="17"/>
    </row>
    <row r="45" spans="1:82" s="23" customFormat="1" ht="39" thickBot="1" x14ac:dyDescent="0.3">
      <c r="A45" s="32" t="s">
        <v>169</v>
      </c>
      <c r="B45" s="32">
        <v>31</v>
      </c>
      <c r="C45" s="32" t="s">
        <v>231</v>
      </c>
      <c r="D45" s="32">
        <v>18</v>
      </c>
      <c r="E45" s="32">
        <v>1.5</v>
      </c>
      <c r="F45" s="88">
        <v>40</v>
      </c>
      <c r="G45" s="32" t="s">
        <v>43</v>
      </c>
      <c r="H45" s="37">
        <v>2015</v>
      </c>
      <c r="I45" s="4">
        <v>42544</v>
      </c>
      <c r="J45" s="37">
        <v>2016</v>
      </c>
      <c r="K45" s="31" t="s">
        <v>44</v>
      </c>
      <c r="L45" s="32" t="s">
        <v>54</v>
      </c>
      <c r="M45" s="37" t="s">
        <v>64</v>
      </c>
      <c r="N45" s="31" t="s">
        <v>60</v>
      </c>
      <c r="O45" s="32" t="s">
        <v>65</v>
      </c>
      <c r="P45" s="32" t="s">
        <v>232</v>
      </c>
      <c r="Q45" s="32" t="s">
        <v>104</v>
      </c>
      <c r="R45" s="32" t="str">
        <f t="shared" si="1"/>
        <v>Multiple</v>
      </c>
      <c r="S45" s="88">
        <f>2500+750</f>
        <v>3250</v>
      </c>
      <c r="T45" s="26">
        <v>42797</v>
      </c>
      <c r="U45" s="89">
        <f t="shared" si="2"/>
        <v>6</v>
      </c>
      <c r="V45" s="69" t="str">
        <f t="shared" si="3"/>
        <v>March</v>
      </c>
      <c r="AK45" s="18" t="s">
        <v>233</v>
      </c>
      <c r="AL45" s="165">
        <f t="shared" si="13"/>
        <v>2</v>
      </c>
      <c r="AM45" s="17">
        <f t="shared" si="12"/>
        <v>4000</v>
      </c>
      <c r="AX45" s="182"/>
      <c r="AY45" s="204"/>
      <c r="AZ45" s="204"/>
      <c r="BA45" s="17">
        <f t="shared" si="5"/>
        <v>1</v>
      </c>
      <c r="BB45" s="17">
        <f t="shared" si="6"/>
        <v>4</v>
      </c>
      <c r="BC45" s="209">
        <f t="shared" si="7"/>
        <v>80</v>
      </c>
      <c r="BD45" s="277">
        <f t="shared" si="8"/>
        <v>366.77</v>
      </c>
      <c r="BE45" s="17">
        <f t="shared" si="9"/>
        <v>0</v>
      </c>
      <c r="BF45" s="213">
        <f t="shared" si="10"/>
        <v>3696.77</v>
      </c>
      <c r="BG45" s="209">
        <f t="shared" si="11"/>
        <v>446.77</v>
      </c>
      <c r="BS45" s="182"/>
      <c r="BT45" s="182"/>
      <c r="CD45" s="17"/>
    </row>
    <row r="46" spans="1:82" s="8" customFormat="1" ht="39" thickBot="1" x14ac:dyDescent="0.3">
      <c r="A46" s="31" t="s">
        <v>169</v>
      </c>
      <c r="B46" s="32">
        <v>31</v>
      </c>
      <c r="C46" s="44" t="s">
        <v>231</v>
      </c>
      <c r="D46" s="32">
        <v>18</v>
      </c>
      <c r="E46" s="32">
        <v>1.5</v>
      </c>
      <c r="F46" s="88">
        <v>40</v>
      </c>
      <c r="G46" s="31" t="s">
        <v>43</v>
      </c>
      <c r="H46" s="37">
        <v>2015</v>
      </c>
      <c r="I46" s="1">
        <v>42544</v>
      </c>
      <c r="J46" s="52">
        <v>42544</v>
      </c>
      <c r="K46" s="31" t="s">
        <v>44</v>
      </c>
      <c r="L46" s="32" t="s">
        <v>54</v>
      </c>
      <c r="M46" s="31" t="s">
        <v>64</v>
      </c>
      <c r="N46" s="31" t="s">
        <v>60</v>
      </c>
      <c r="O46" s="31" t="s">
        <v>65</v>
      </c>
      <c r="P46" s="31" t="s">
        <v>234</v>
      </c>
      <c r="Q46" s="110" t="s">
        <v>67</v>
      </c>
      <c r="R46" s="32" t="str">
        <f t="shared" si="1"/>
        <v>Single</v>
      </c>
      <c r="S46" s="88">
        <v>2500</v>
      </c>
      <c r="T46" s="1">
        <v>42703</v>
      </c>
      <c r="U46" s="89">
        <f t="shared" si="2"/>
        <v>3</v>
      </c>
      <c r="V46" s="69" t="str">
        <f t="shared" si="3"/>
        <v>November</v>
      </c>
      <c r="AK46" s="17" t="s">
        <v>235</v>
      </c>
      <c r="AL46" s="165">
        <f t="shared" si="13"/>
        <v>3</v>
      </c>
      <c r="AM46" s="17">
        <f t="shared" si="12"/>
        <v>9850</v>
      </c>
      <c r="AX46" s="196"/>
      <c r="AY46" s="207"/>
      <c r="AZ46" s="207"/>
      <c r="BA46" s="17">
        <f t="shared" si="5"/>
        <v>1</v>
      </c>
      <c r="BB46" s="17">
        <f t="shared" si="6"/>
        <v>4</v>
      </c>
      <c r="BC46" s="209">
        <f t="shared" si="7"/>
        <v>80</v>
      </c>
      <c r="BD46" s="277">
        <f t="shared" si="8"/>
        <v>366.77</v>
      </c>
      <c r="BE46" s="17">
        <f t="shared" si="9"/>
        <v>0</v>
      </c>
      <c r="BF46" s="213">
        <f t="shared" si="10"/>
        <v>2946.77</v>
      </c>
      <c r="BG46" s="209">
        <f t="shared" si="11"/>
        <v>446.77</v>
      </c>
      <c r="BS46" s="196"/>
      <c r="BT46" s="196"/>
      <c r="CD46" s="17"/>
    </row>
    <row r="47" spans="1:82" s="23" customFormat="1" ht="39" thickBot="1" x14ac:dyDescent="0.3">
      <c r="A47" s="34" t="s">
        <v>169</v>
      </c>
      <c r="B47" s="32">
        <v>31</v>
      </c>
      <c r="C47" s="50" t="s">
        <v>231</v>
      </c>
      <c r="D47" s="32">
        <v>18</v>
      </c>
      <c r="E47" s="32">
        <v>1.5</v>
      </c>
      <c r="F47" s="88">
        <v>40</v>
      </c>
      <c r="G47" s="34" t="s">
        <v>43</v>
      </c>
      <c r="H47" s="33">
        <v>2015</v>
      </c>
      <c r="I47" s="3">
        <v>42544</v>
      </c>
      <c r="J47" s="53">
        <v>42544</v>
      </c>
      <c r="K47" s="34" t="s">
        <v>44</v>
      </c>
      <c r="L47" s="34" t="s">
        <v>54</v>
      </c>
      <c r="M47" s="34" t="s">
        <v>64</v>
      </c>
      <c r="N47" s="31" t="s">
        <v>60</v>
      </c>
      <c r="O47" s="34" t="s">
        <v>65</v>
      </c>
      <c r="P47" s="34" t="s">
        <v>236</v>
      </c>
      <c r="Q47" s="90" t="s">
        <v>91</v>
      </c>
      <c r="R47" s="32" t="str">
        <f t="shared" si="1"/>
        <v>Single</v>
      </c>
      <c r="S47" s="91">
        <v>5000</v>
      </c>
      <c r="T47" s="3">
        <v>42705</v>
      </c>
      <c r="U47" s="89">
        <f t="shared" si="2"/>
        <v>5</v>
      </c>
      <c r="V47" s="69" t="str">
        <f t="shared" si="3"/>
        <v>December</v>
      </c>
      <c r="AK47" s="17" t="s">
        <v>237</v>
      </c>
      <c r="AL47" s="165">
        <f t="shared" si="13"/>
        <v>1</v>
      </c>
      <c r="AM47" s="17">
        <f t="shared" si="12"/>
        <v>2500</v>
      </c>
      <c r="AX47" s="182"/>
      <c r="AY47" s="204"/>
      <c r="AZ47" s="204"/>
      <c r="BA47" s="17">
        <f t="shared" si="5"/>
        <v>8</v>
      </c>
      <c r="BB47" s="17">
        <f t="shared" si="6"/>
        <v>11</v>
      </c>
      <c r="BC47" s="209">
        <f t="shared" si="7"/>
        <v>80</v>
      </c>
      <c r="BD47" s="277">
        <f t="shared" si="8"/>
        <v>366.77</v>
      </c>
      <c r="BE47" s="17">
        <f t="shared" si="9"/>
        <v>0</v>
      </c>
      <c r="BF47" s="213">
        <f t="shared" si="10"/>
        <v>5446.77</v>
      </c>
      <c r="BG47" s="209">
        <f t="shared" si="11"/>
        <v>446.77</v>
      </c>
      <c r="BS47" s="182"/>
      <c r="BT47" s="182"/>
      <c r="CD47" s="17"/>
    </row>
    <row r="48" spans="1:82" s="22" customFormat="1" ht="39" thickBot="1" x14ac:dyDescent="0.3">
      <c r="A48" s="32" t="s">
        <v>173</v>
      </c>
      <c r="B48" s="32">
        <v>27</v>
      </c>
      <c r="C48" s="32" t="s">
        <v>238</v>
      </c>
      <c r="D48" s="32">
        <v>6</v>
      </c>
      <c r="E48" s="32">
        <v>0.5</v>
      </c>
      <c r="F48" s="88">
        <v>15</v>
      </c>
      <c r="G48" s="32" t="s">
        <v>43</v>
      </c>
      <c r="H48" s="37">
        <v>2016</v>
      </c>
      <c r="I48" s="4">
        <v>42486</v>
      </c>
      <c r="J48" s="37">
        <v>2016</v>
      </c>
      <c r="K48" s="32" t="s">
        <v>44</v>
      </c>
      <c r="L48" s="32" t="s">
        <v>54</v>
      </c>
      <c r="M48" s="37" t="s">
        <v>46</v>
      </c>
      <c r="N48" s="32" t="s">
        <v>47</v>
      </c>
      <c r="O48" s="32" t="s">
        <v>48</v>
      </c>
      <c r="P48" s="32" t="s">
        <v>239</v>
      </c>
      <c r="Q48" s="32" t="s">
        <v>104</v>
      </c>
      <c r="R48" s="32" t="str">
        <f t="shared" si="1"/>
        <v>Multiple</v>
      </c>
      <c r="S48" s="88">
        <f>750+200</f>
        <v>950</v>
      </c>
      <c r="T48" s="26">
        <v>43612</v>
      </c>
      <c r="U48" s="89">
        <f t="shared" si="2"/>
        <v>2</v>
      </c>
      <c r="V48" s="69" t="str">
        <f t="shared" si="3"/>
        <v>May</v>
      </c>
      <c r="AK48" s="18" t="s">
        <v>240</v>
      </c>
      <c r="AL48" s="165">
        <f t="shared" si="13"/>
        <v>1</v>
      </c>
      <c r="AM48" s="17">
        <f t="shared" si="12"/>
        <v>5000</v>
      </c>
      <c r="AX48" s="187"/>
      <c r="AY48" s="203"/>
      <c r="AZ48" s="203"/>
      <c r="BA48" s="17">
        <f t="shared" si="5"/>
        <v>1</v>
      </c>
      <c r="BB48" s="17">
        <f t="shared" si="6"/>
        <v>2</v>
      </c>
      <c r="BC48" s="209">
        <f t="shared" si="7"/>
        <v>30</v>
      </c>
      <c r="BD48" s="277">
        <f t="shared" si="8"/>
        <v>183.38499999999999</v>
      </c>
      <c r="BE48" s="17">
        <f t="shared" si="9"/>
        <v>0</v>
      </c>
      <c r="BF48" s="213">
        <f t="shared" si="10"/>
        <v>1163.385</v>
      </c>
      <c r="BG48" s="209">
        <f t="shared" si="11"/>
        <v>213.38499999999999</v>
      </c>
      <c r="BS48" s="187"/>
      <c r="BT48" s="187"/>
      <c r="CD48" s="17"/>
    </row>
    <row r="49" spans="1:82" ht="39" thickBot="1" x14ac:dyDescent="0.3">
      <c r="A49" s="34" t="s">
        <v>173</v>
      </c>
      <c r="B49" s="32">
        <v>27</v>
      </c>
      <c r="C49" s="34" t="s">
        <v>238</v>
      </c>
      <c r="D49" s="32">
        <v>6</v>
      </c>
      <c r="E49" s="32">
        <v>0.5</v>
      </c>
      <c r="F49" s="88">
        <v>15</v>
      </c>
      <c r="G49" s="34" t="s">
        <v>43</v>
      </c>
      <c r="H49" s="33">
        <v>2016</v>
      </c>
      <c r="I49" s="3">
        <v>42486</v>
      </c>
      <c r="J49" s="33">
        <v>2016</v>
      </c>
      <c r="K49" s="34" t="s">
        <v>44</v>
      </c>
      <c r="L49" s="34" t="s">
        <v>54</v>
      </c>
      <c r="M49" s="33" t="s">
        <v>46</v>
      </c>
      <c r="N49" s="34" t="s">
        <v>47</v>
      </c>
      <c r="O49" s="34" t="s">
        <v>48</v>
      </c>
      <c r="P49" s="34" t="s">
        <v>241</v>
      </c>
      <c r="Q49" s="34" t="s">
        <v>91</v>
      </c>
      <c r="R49" s="32" t="str">
        <f t="shared" si="1"/>
        <v>Single</v>
      </c>
      <c r="S49" s="91">
        <v>5000</v>
      </c>
      <c r="T49" s="28">
        <v>43301</v>
      </c>
      <c r="U49" s="89">
        <f t="shared" si="2"/>
        <v>6</v>
      </c>
      <c r="V49" s="69" t="str">
        <f t="shared" si="3"/>
        <v>July</v>
      </c>
      <c r="AK49" s="17" t="s">
        <v>242</v>
      </c>
      <c r="AL49" s="165">
        <f t="shared" si="13"/>
        <v>1</v>
      </c>
      <c r="AM49" s="17">
        <f t="shared" si="12"/>
        <v>750</v>
      </c>
      <c r="BA49" s="17">
        <f t="shared" si="5"/>
        <v>8</v>
      </c>
      <c r="BB49" s="17">
        <f t="shared" si="6"/>
        <v>9</v>
      </c>
      <c r="BC49" s="209">
        <f t="shared" si="7"/>
        <v>30</v>
      </c>
      <c r="BD49" s="277">
        <f t="shared" si="8"/>
        <v>366.77</v>
      </c>
      <c r="BE49" s="17">
        <f t="shared" si="9"/>
        <v>0</v>
      </c>
      <c r="BF49" s="213">
        <f t="shared" si="10"/>
        <v>5396.77</v>
      </c>
      <c r="BG49" s="209">
        <f t="shared" si="11"/>
        <v>396.77</v>
      </c>
      <c r="CD49" s="17"/>
    </row>
    <row r="50" spans="1:82" s="23" customFormat="1" ht="51.75" thickBot="1" x14ac:dyDescent="0.3">
      <c r="A50" s="32" t="s">
        <v>176</v>
      </c>
      <c r="B50" s="32">
        <v>46</v>
      </c>
      <c r="C50" s="32" t="s">
        <v>243</v>
      </c>
      <c r="D50" s="32">
        <v>3</v>
      </c>
      <c r="E50" s="32">
        <v>0.25</v>
      </c>
      <c r="F50" s="88">
        <v>10</v>
      </c>
      <c r="G50" s="32" t="s">
        <v>43</v>
      </c>
      <c r="H50" s="37">
        <v>2016</v>
      </c>
      <c r="I50" s="4">
        <v>42483</v>
      </c>
      <c r="J50" s="37">
        <v>2017</v>
      </c>
      <c r="K50" s="32" t="s">
        <v>63</v>
      </c>
      <c r="L50" s="32" t="s">
        <v>54</v>
      </c>
      <c r="M50" s="37" t="s">
        <v>46</v>
      </c>
      <c r="N50" s="32" t="s">
        <v>47</v>
      </c>
      <c r="O50" s="32" t="s">
        <v>48</v>
      </c>
      <c r="P50" s="32" t="s">
        <v>244</v>
      </c>
      <c r="Q50" s="32" t="s">
        <v>67</v>
      </c>
      <c r="R50" s="32" t="str">
        <f t="shared" si="1"/>
        <v>Single</v>
      </c>
      <c r="S50" s="88">
        <v>150</v>
      </c>
      <c r="T50" s="26">
        <v>43868</v>
      </c>
      <c r="U50" s="89">
        <f t="shared" si="2"/>
        <v>6</v>
      </c>
      <c r="V50" s="69" t="str">
        <f t="shared" si="3"/>
        <v>February</v>
      </c>
      <c r="AK50" s="17" t="s">
        <v>245</v>
      </c>
      <c r="AL50" s="165">
        <f t="shared" si="13"/>
        <v>2</v>
      </c>
      <c r="AM50" s="17">
        <f t="shared" si="12"/>
        <v>1500</v>
      </c>
      <c r="AX50" s="182"/>
      <c r="AY50" s="204"/>
      <c r="AZ50" s="204"/>
      <c r="BA50" s="17">
        <f t="shared" si="5"/>
        <v>1</v>
      </c>
      <c r="BB50" s="17">
        <f t="shared" si="6"/>
        <v>1.5</v>
      </c>
      <c r="BC50" s="209">
        <f t="shared" si="7"/>
        <v>20</v>
      </c>
      <c r="BD50" s="277">
        <f t="shared" si="8"/>
        <v>183.38499999999999</v>
      </c>
      <c r="BE50" s="17">
        <f t="shared" si="9"/>
        <v>0</v>
      </c>
      <c r="BF50" s="213">
        <f t="shared" si="10"/>
        <v>353.38499999999999</v>
      </c>
      <c r="BG50" s="209">
        <f t="shared" si="11"/>
        <v>203.38499999999999</v>
      </c>
      <c r="BS50" s="182"/>
      <c r="BT50" s="182"/>
      <c r="CD50" s="17"/>
    </row>
    <row r="51" spans="1:82" ht="51.75" thickBot="1" x14ac:dyDescent="0.3">
      <c r="A51" s="34" t="s">
        <v>176</v>
      </c>
      <c r="B51" s="32">
        <v>46</v>
      </c>
      <c r="C51" s="34" t="s">
        <v>243</v>
      </c>
      <c r="D51" s="32">
        <v>3</v>
      </c>
      <c r="E51" s="32">
        <v>0.25</v>
      </c>
      <c r="F51" s="88">
        <v>10</v>
      </c>
      <c r="G51" s="34" t="s">
        <v>43</v>
      </c>
      <c r="H51" s="33">
        <v>2016</v>
      </c>
      <c r="I51" s="3">
        <v>42483</v>
      </c>
      <c r="J51" s="33">
        <v>2017</v>
      </c>
      <c r="K51" s="34" t="s">
        <v>63</v>
      </c>
      <c r="L51" s="34" t="s">
        <v>54</v>
      </c>
      <c r="M51" s="33" t="s">
        <v>46</v>
      </c>
      <c r="N51" s="34" t="s">
        <v>47</v>
      </c>
      <c r="O51" s="34" t="s">
        <v>48</v>
      </c>
      <c r="P51" s="34" t="s">
        <v>246</v>
      </c>
      <c r="Q51" s="34" t="s">
        <v>104</v>
      </c>
      <c r="R51" s="32" t="str">
        <f t="shared" si="1"/>
        <v>Multiple</v>
      </c>
      <c r="S51" s="91">
        <f>150+150</f>
        <v>300</v>
      </c>
      <c r="T51" s="28">
        <v>43775</v>
      </c>
      <c r="U51" s="89">
        <f t="shared" si="2"/>
        <v>4</v>
      </c>
      <c r="V51" s="69" t="str">
        <f t="shared" si="3"/>
        <v>November</v>
      </c>
      <c r="AK51" s="18" t="s">
        <v>247</v>
      </c>
      <c r="AL51" s="165">
        <f t="shared" si="13"/>
        <v>2</v>
      </c>
      <c r="AM51" s="17">
        <f t="shared" si="12"/>
        <v>7500</v>
      </c>
      <c r="BA51" s="17">
        <f t="shared" si="5"/>
        <v>1</v>
      </c>
      <c r="BB51" s="17">
        <f t="shared" si="6"/>
        <v>1.5</v>
      </c>
      <c r="BC51" s="209">
        <f t="shared" si="7"/>
        <v>20</v>
      </c>
      <c r="BD51" s="277">
        <f t="shared" si="8"/>
        <v>183.38499999999999</v>
      </c>
      <c r="BE51" s="17">
        <f t="shared" si="9"/>
        <v>0</v>
      </c>
      <c r="BF51" s="213">
        <f t="shared" si="10"/>
        <v>503.38499999999999</v>
      </c>
      <c r="BG51" s="209">
        <f t="shared" si="11"/>
        <v>203.38499999999999</v>
      </c>
      <c r="CD51" s="17"/>
    </row>
    <row r="52" spans="1:82" ht="25.5" x14ac:dyDescent="0.25">
      <c r="A52" s="32" t="s">
        <v>180</v>
      </c>
      <c r="B52" s="32">
        <v>37</v>
      </c>
      <c r="C52" s="43" t="s">
        <v>248</v>
      </c>
      <c r="D52" s="109">
        <v>22</v>
      </c>
      <c r="E52" s="109">
        <v>1.5</v>
      </c>
      <c r="F52" s="145">
        <v>39</v>
      </c>
      <c r="G52" s="32" t="s">
        <v>43</v>
      </c>
      <c r="H52" s="4">
        <v>38166</v>
      </c>
      <c r="I52" s="4">
        <v>37987</v>
      </c>
      <c r="J52" s="4">
        <v>37987</v>
      </c>
      <c r="K52" s="37" t="s">
        <v>63</v>
      </c>
      <c r="L52" s="37" t="s">
        <v>54</v>
      </c>
      <c r="M52" s="37" t="s">
        <v>64</v>
      </c>
      <c r="N52" s="32" t="s">
        <v>60</v>
      </c>
      <c r="O52" s="37" t="s">
        <v>65</v>
      </c>
      <c r="P52" s="32" t="s">
        <v>249</v>
      </c>
      <c r="Q52" s="95" t="s">
        <v>67</v>
      </c>
      <c r="R52" s="32" t="str">
        <f t="shared" si="1"/>
        <v>Single</v>
      </c>
      <c r="S52" s="88">
        <v>750</v>
      </c>
      <c r="T52" s="4">
        <v>43782</v>
      </c>
      <c r="U52" s="89">
        <f t="shared" si="2"/>
        <v>4</v>
      </c>
      <c r="V52" s="69" t="str">
        <f t="shared" si="3"/>
        <v>November</v>
      </c>
      <c r="AK52" s="17" t="s">
        <v>250</v>
      </c>
      <c r="AL52" s="165">
        <f t="shared" si="13"/>
        <v>1</v>
      </c>
      <c r="AM52" s="17">
        <f t="shared" si="12"/>
        <v>750</v>
      </c>
      <c r="BA52" s="17">
        <f t="shared" si="5"/>
        <v>1</v>
      </c>
      <c r="BB52" s="17">
        <f t="shared" si="6"/>
        <v>4</v>
      </c>
      <c r="BC52" s="209">
        <f t="shared" si="7"/>
        <v>78</v>
      </c>
      <c r="BD52" s="277">
        <f t="shared" si="8"/>
        <v>366.77</v>
      </c>
      <c r="BE52" s="17">
        <f t="shared" si="9"/>
        <v>0</v>
      </c>
      <c r="BF52" s="213">
        <f t="shared" si="10"/>
        <v>1194.77</v>
      </c>
      <c r="BG52" s="209">
        <f t="shared" si="11"/>
        <v>444.77</v>
      </c>
      <c r="CD52" s="17"/>
    </row>
    <row r="53" spans="1:82" s="23" customFormat="1" ht="26.25" thickBot="1" x14ac:dyDescent="0.3">
      <c r="A53" s="31" t="s">
        <v>180</v>
      </c>
      <c r="B53" s="32">
        <v>37</v>
      </c>
      <c r="C53" s="31" t="s">
        <v>248</v>
      </c>
      <c r="D53" s="109">
        <v>22</v>
      </c>
      <c r="E53" s="109">
        <v>1.5</v>
      </c>
      <c r="F53" s="145">
        <v>39</v>
      </c>
      <c r="G53" s="31" t="s">
        <v>43</v>
      </c>
      <c r="H53" s="27">
        <v>38166</v>
      </c>
      <c r="I53" s="1">
        <v>37987</v>
      </c>
      <c r="J53" s="27">
        <v>37987</v>
      </c>
      <c r="K53" s="31" t="s">
        <v>63</v>
      </c>
      <c r="L53" s="31" t="s">
        <v>54</v>
      </c>
      <c r="M53" s="54" t="s">
        <v>64</v>
      </c>
      <c r="N53" s="31" t="s">
        <v>60</v>
      </c>
      <c r="O53" s="31" t="s">
        <v>65</v>
      </c>
      <c r="P53" s="31" t="s">
        <v>251</v>
      </c>
      <c r="Q53" s="31" t="s">
        <v>67</v>
      </c>
      <c r="R53" s="32" t="str">
        <f t="shared" si="1"/>
        <v>Single</v>
      </c>
      <c r="S53" s="88">
        <v>750</v>
      </c>
      <c r="T53" s="27">
        <v>42425</v>
      </c>
      <c r="U53" s="89">
        <f t="shared" si="2"/>
        <v>5</v>
      </c>
      <c r="V53" s="69" t="str">
        <f t="shared" si="3"/>
        <v>February</v>
      </c>
      <c r="AK53" s="17" t="s">
        <v>252</v>
      </c>
      <c r="AL53" s="165">
        <f t="shared" si="13"/>
        <v>4</v>
      </c>
      <c r="AM53" s="17">
        <f t="shared" si="12"/>
        <v>4100</v>
      </c>
      <c r="AX53" s="182"/>
      <c r="AY53" s="204"/>
      <c r="AZ53" s="204"/>
      <c r="BA53" s="17">
        <f t="shared" si="5"/>
        <v>1</v>
      </c>
      <c r="BB53" s="17">
        <f t="shared" si="6"/>
        <v>4</v>
      </c>
      <c r="BC53" s="209">
        <f t="shared" si="7"/>
        <v>78</v>
      </c>
      <c r="BD53" s="277">
        <f t="shared" si="8"/>
        <v>366.77</v>
      </c>
      <c r="BE53" s="17">
        <f t="shared" si="9"/>
        <v>0</v>
      </c>
      <c r="BF53" s="213">
        <f t="shared" si="10"/>
        <v>1194.77</v>
      </c>
      <c r="BG53" s="209">
        <f t="shared" si="11"/>
        <v>444.77</v>
      </c>
      <c r="BS53" s="182"/>
      <c r="BT53" s="182"/>
      <c r="CD53" s="17"/>
    </row>
    <row r="54" spans="1:82" ht="26.25" thickBot="1" x14ac:dyDescent="0.3">
      <c r="A54" s="34" t="s">
        <v>180</v>
      </c>
      <c r="B54" s="32">
        <v>37</v>
      </c>
      <c r="C54" s="33" t="s">
        <v>253</v>
      </c>
      <c r="D54" s="109">
        <v>22</v>
      </c>
      <c r="E54" s="109">
        <v>1.5</v>
      </c>
      <c r="F54" s="145">
        <v>39</v>
      </c>
      <c r="G54" s="33" t="s">
        <v>43</v>
      </c>
      <c r="H54" s="28">
        <v>38166</v>
      </c>
      <c r="I54" s="28">
        <v>37987</v>
      </c>
      <c r="J54" s="28">
        <v>37987</v>
      </c>
      <c r="K54" s="33" t="s">
        <v>63</v>
      </c>
      <c r="L54" s="33" t="s">
        <v>54</v>
      </c>
      <c r="M54" s="33" t="s">
        <v>64</v>
      </c>
      <c r="N54" s="34" t="s">
        <v>60</v>
      </c>
      <c r="O54" s="34" t="s">
        <v>65</v>
      </c>
      <c r="P54" s="33" t="s">
        <v>254</v>
      </c>
      <c r="Q54" s="33" t="s">
        <v>67</v>
      </c>
      <c r="R54" s="32" t="str">
        <f t="shared" si="1"/>
        <v>Single</v>
      </c>
      <c r="S54" s="91">
        <v>750</v>
      </c>
      <c r="T54" s="28">
        <v>43052</v>
      </c>
      <c r="U54" s="89">
        <f t="shared" si="2"/>
        <v>2</v>
      </c>
      <c r="V54" s="69" t="str">
        <f t="shared" si="3"/>
        <v>November</v>
      </c>
      <c r="AK54" s="18" t="s">
        <v>255</v>
      </c>
      <c r="AL54" s="165">
        <f t="shared" si="13"/>
        <v>2</v>
      </c>
      <c r="AM54" s="17">
        <f t="shared" si="12"/>
        <v>1650</v>
      </c>
      <c r="BA54" s="17">
        <f t="shared" si="5"/>
        <v>1</v>
      </c>
      <c r="BB54" s="17">
        <f t="shared" si="6"/>
        <v>4</v>
      </c>
      <c r="BC54" s="209">
        <f t="shared" si="7"/>
        <v>78</v>
      </c>
      <c r="BD54" s="277">
        <f t="shared" si="8"/>
        <v>366.77</v>
      </c>
      <c r="BE54" s="17">
        <f t="shared" si="9"/>
        <v>0</v>
      </c>
      <c r="BF54" s="213">
        <f t="shared" si="10"/>
        <v>1194.77</v>
      </c>
      <c r="BG54" s="209">
        <f t="shared" si="11"/>
        <v>444.77</v>
      </c>
      <c r="CD54" s="17"/>
    </row>
    <row r="55" spans="1:82" s="23" customFormat="1" ht="26.25" thickBot="1" x14ac:dyDescent="0.3">
      <c r="A55" s="64" t="s">
        <v>184</v>
      </c>
      <c r="B55" s="64">
        <v>72</v>
      </c>
      <c r="C55" s="64" t="s">
        <v>256</v>
      </c>
      <c r="D55" s="64">
        <v>15</v>
      </c>
      <c r="E55" s="64">
        <v>1.25</v>
      </c>
      <c r="F55" s="149">
        <v>37</v>
      </c>
      <c r="G55" s="64" t="s">
        <v>43</v>
      </c>
      <c r="H55" s="64">
        <v>2014</v>
      </c>
      <c r="I55" s="58">
        <v>42265</v>
      </c>
      <c r="J55" s="64">
        <v>2015</v>
      </c>
      <c r="K55" s="64" t="s">
        <v>63</v>
      </c>
      <c r="L55" s="64" t="s">
        <v>45</v>
      </c>
      <c r="M55" s="64" t="s">
        <v>64</v>
      </c>
      <c r="N55" s="64" t="s">
        <v>60</v>
      </c>
      <c r="O55" s="64" t="s">
        <v>65</v>
      </c>
      <c r="P55" s="64" t="s">
        <v>257</v>
      </c>
      <c r="Q55" s="64" t="s">
        <v>67</v>
      </c>
      <c r="R55" s="32" t="str">
        <f t="shared" si="1"/>
        <v>Single</v>
      </c>
      <c r="S55" s="91">
        <v>2500</v>
      </c>
      <c r="T55" s="58">
        <v>42631</v>
      </c>
      <c r="U55" s="89">
        <f t="shared" si="2"/>
        <v>1</v>
      </c>
      <c r="V55" s="69" t="str">
        <f t="shared" si="3"/>
        <v>September</v>
      </c>
      <c r="AK55" s="17" t="s">
        <v>258</v>
      </c>
      <c r="AL55" s="165">
        <f t="shared" si="13"/>
        <v>2</v>
      </c>
      <c r="AM55" s="17">
        <f t="shared" si="12"/>
        <v>12000</v>
      </c>
      <c r="AX55" s="182"/>
      <c r="AY55" s="204"/>
      <c r="AZ55" s="204"/>
      <c r="BA55" s="17">
        <f t="shared" si="5"/>
        <v>1</v>
      </c>
      <c r="BB55" s="17">
        <f t="shared" si="6"/>
        <v>3.5</v>
      </c>
      <c r="BC55" s="209">
        <f t="shared" si="7"/>
        <v>74</v>
      </c>
      <c r="BD55" s="277">
        <f t="shared" si="8"/>
        <v>183.38499999999999</v>
      </c>
      <c r="BE55" s="17">
        <f t="shared" si="9"/>
        <v>0</v>
      </c>
      <c r="BF55" s="213">
        <f t="shared" si="10"/>
        <v>2757.3850000000002</v>
      </c>
      <c r="BG55" s="209">
        <f t="shared" si="11"/>
        <v>257.38499999999999</v>
      </c>
      <c r="BS55" s="182"/>
      <c r="BT55" s="182"/>
      <c r="CD55" s="17"/>
    </row>
    <row r="56" spans="1:82" ht="26.25" thickBot="1" x14ac:dyDescent="0.3">
      <c r="A56" s="64" t="s">
        <v>186</v>
      </c>
      <c r="B56" s="64">
        <v>47</v>
      </c>
      <c r="C56" s="64" t="s">
        <v>259</v>
      </c>
      <c r="D56" s="114">
        <v>200</v>
      </c>
      <c r="E56" s="114">
        <v>4.75</v>
      </c>
      <c r="F56" s="150">
        <v>219</v>
      </c>
      <c r="G56" s="64" t="s">
        <v>43</v>
      </c>
      <c r="H56" s="64">
        <v>2015</v>
      </c>
      <c r="I56" s="58">
        <v>42261</v>
      </c>
      <c r="J56" s="64">
        <v>2015</v>
      </c>
      <c r="K56" s="64" t="s">
        <v>63</v>
      </c>
      <c r="L56" s="64" t="s">
        <v>54</v>
      </c>
      <c r="M56" s="64" t="s">
        <v>46</v>
      </c>
      <c r="N56" s="64" t="s">
        <v>60</v>
      </c>
      <c r="O56" s="64" t="s">
        <v>65</v>
      </c>
      <c r="P56" s="64" t="s">
        <v>260</v>
      </c>
      <c r="Q56" s="64" t="s">
        <v>67</v>
      </c>
      <c r="R56" s="32" t="str">
        <f t="shared" si="1"/>
        <v>Single</v>
      </c>
      <c r="S56" s="91">
        <v>5000</v>
      </c>
      <c r="T56" s="58">
        <v>42431</v>
      </c>
      <c r="U56" s="89">
        <f t="shared" si="2"/>
        <v>4</v>
      </c>
      <c r="V56" s="69" t="str">
        <f t="shared" si="3"/>
        <v>March</v>
      </c>
      <c r="AK56" s="17" t="s">
        <v>261</v>
      </c>
      <c r="AL56" s="165">
        <f t="shared" si="13"/>
        <v>1</v>
      </c>
      <c r="AM56" s="17">
        <f t="shared" si="12"/>
        <v>750</v>
      </c>
      <c r="BA56" s="17">
        <f t="shared" si="5"/>
        <v>1</v>
      </c>
      <c r="BB56" s="17">
        <f t="shared" si="6"/>
        <v>10.5</v>
      </c>
      <c r="BC56" s="209">
        <f t="shared" si="7"/>
        <v>438</v>
      </c>
      <c r="BD56" s="277">
        <f t="shared" si="8"/>
        <v>366.77</v>
      </c>
      <c r="BE56" s="17">
        <f t="shared" si="9"/>
        <v>0</v>
      </c>
      <c r="BF56" s="213">
        <f t="shared" si="10"/>
        <v>5804.77</v>
      </c>
      <c r="BG56" s="209">
        <f t="shared" si="11"/>
        <v>804.77</v>
      </c>
      <c r="CD56" s="17"/>
    </row>
    <row r="57" spans="1:82" s="23" customFormat="1" ht="26.25" thickBot="1" x14ac:dyDescent="0.3">
      <c r="A57" s="64" t="s">
        <v>188</v>
      </c>
      <c r="B57" s="64">
        <v>31</v>
      </c>
      <c r="C57" s="64" t="s">
        <v>262</v>
      </c>
      <c r="D57" s="115">
        <v>15</v>
      </c>
      <c r="E57" s="115">
        <v>1</v>
      </c>
      <c r="F57" s="151">
        <v>70</v>
      </c>
      <c r="G57" s="64" t="s">
        <v>43</v>
      </c>
      <c r="H57" s="64">
        <v>2009</v>
      </c>
      <c r="I57" s="58">
        <v>39814</v>
      </c>
      <c r="J57" s="64">
        <v>2009</v>
      </c>
      <c r="K57" s="64" t="s">
        <v>44</v>
      </c>
      <c r="L57" s="64" t="s">
        <v>263</v>
      </c>
      <c r="M57" s="64" t="s">
        <v>264</v>
      </c>
      <c r="N57" s="64" t="s">
        <v>60</v>
      </c>
      <c r="O57" s="64" t="s">
        <v>65</v>
      </c>
      <c r="P57" s="64" t="s">
        <v>265</v>
      </c>
      <c r="Q57" s="64" t="s">
        <v>104</v>
      </c>
      <c r="R57" s="32" t="str">
        <f t="shared" si="1"/>
        <v>Multiple</v>
      </c>
      <c r="S57" s="91">
        <f>2500+750</f>
        <v>3250</v>
      </c>
      <c r="T57" s="58">
        <v>42164</v>
      </c>
      <c r="U57" s="89">
        <f t="shared" si="2"/>
        <v>3</v>
      </c>
      <c r="V57" s="69" t="str">
        <f t="shared" si="3"/>
        <v>June</v>
      </c>
      <c r="AK57" s="18" t="s">
        <v>266</v>
      </c>
      <c r="AL57" s="165">
        <f t="shared" si="13"/>
        <v>1</v>
      </c>
      <c r="AM57" s="17">
        <f t="shared" si="12"/>
        <v>750</v>
      </c>
      <c r="AX57" s="182"/>
      <c r="AY57" s="204"/>
      <c r="AZ57" s="204"/>
      <c r="BA57" s="17">
        <f t="shared" si="5"/>
        <v>1</v>
      </c>
      <c r="BB57" s="17">
        <f t="shared" si="6"/>
        <v>3</v>
      </c>
      <c r="BC57" s="209">
        <f t="shared" si="7"/>
        <v>140</v>
      </c>
      <c r="BD57" s="277">
        <f t="shared" si="8"/>
        <v>183.38499999999999</v>
      </c>
      <c r="BE57" s="17">
        <f t="shared" si="9"/>
        <v>0</v>
      </c>
      <c r="BF57" s="213">
        <f t="shared" si="10"/>
        <v>3573.3850000000002</v>
      </c>
      <c r="BG57" s="209">
        <f t="shared" si="11"/>
        <v>323.38499999999999</v>
      </c>
      <c r="BS57" s="182"/>
      <c r="BT57" s="182"/>
      <c r="CD57" s="17"/>
    </row>
    <row r="58" spans="1:82" ht="26.25" thickBot="1" x14ac:dyDescent="0.3">
      <c r="A58" s="64" t="s">
        <v>193</v>
      </c>
      <c r="B58" s="64">
        <v>41</v>
      </c>
      <c r="C58" s="64" t="s">
        <v>267</v>
      </c>
      <c r="D58" s="115">
        <v>10</v>
      </c>
      <c r="E58" s="115">
        <v>1</v>
      </c>
      <c r="F58" s="151">
        <v>30</v>
      </c>
      <c r="G58" s="64" t="s">
        <v>43</v>
      </c>
      <c r="H58" s="64">
        <v>2014</v>
      </c>
      <c r="I58" s="58">
        <v>41927</v>
      </c>
      <c r="J58" s="64">
        <v>2014</v>
      </c>
      <c r="K58" s="64" t="s">
        <v>63</v>
      </c>
      <c r="L58" s="64" t="s">
        <v>54</v>
      </c>
      <c r="M58" s="64" t="s">
        <v>46</v>
      </c>
      <c r="N58" s="64" t="s">
        <v>47</v>
      </c>
      <c r="O58" s="64" t="s">
        <v>48</v>
      </c>
      <c r="P58" s="64" t="s">
        <v>152</v>
      </c>
      <c r="Q58" s="64" t="s">
        <v>67</v>
      </c>
      <c r="R58" s="32" t="str">
        <f t="shared" si="1"/>
        <v>Single</v>
      </c>
      <c r="S58" s="91">
        <v>750</v>
      </c>
      <c r="T58" s="58">
        <v>42292</v>
      </c>
      <c r="U58" s="89">
        <f t="shared" si="2"/>
        <v>5</v>
      </c>
      <c r="V58" s="69" t="str">
        <f t="shared" si="3"/>
        <v>October</v>
      </c>
      <c r="AK58" s="17" t="s">
        <v>268</v>
      </c>
      <c r="AL58" s="165">
        <f t="shared" si="13"/>
        <v>1</v>
      </c>
      <c r="AM58" s="17">
        <f t="shared" si="12"/>
        <v>1500</v>
      </c>
      <c r="BA58" s="17">
        <f t="shared" si="5"/>
        <v>1</v>
      </c>
      <c r="BB58" s="17">
        <f t="shared" si="6"/>
        <v>3</v>
      </c>
      <c r="BC58" s="209">
        <f t="shared" si="7"/>
        <v>60</v>
      </c>
      <c r="BD58" s="277">
        <f t="shared" si="8"/>
        <v>183.38499999999999</v>
      </c>
      <c r="BE58" s="17">
        <f t="shared" si="9"/>
        <v>0</v>
      </c>
      <c r="BF58" s="213">
        <f t="shared" si="10"/>
        <v>993.38499999999999</v>
      </c>
      <c r="BG58" s="209">
        <f t="shared" si="11"/>
        <v>243.38499999999999</v>
      </c>
      <c r="CD58" s="17"/>
    </row>
    <row r="59" spans="1:82" ht="26.25" thickBot="1" x14ac:dyDescent="0.3">
      <c r="A59" s="64" t="s">
        <v>196</v>
      </c>
      <c r="B59" s="64">
        <v>58</v>
      </c>
      <c r="C59" s="64" t="s">
        <v>269</v>
      </c>
      <c r="D59" s="115">
        <v>80</v>
      </c>
      <c r="E59" s="115">
        <v>3.25</v>
      </c>
      <c r="F59" s="151">
        <v>84</v>
      </c>
      <c r="G59" s="64" t="s">
        <v>89</v>
      </c>
      <c r="H59" s="64">
        <v>2014</v>
      </c>
      <c r="I59" s="58">
        <v>41927</v>
      </c>
      <c r="J59" s="64">
        <v>2014</v>
      </c>
      <c r="K59" s="64" t="s">
        <v>63</v>
      </c>
      <c r="L59" s="64" t="s">
        <v>45</v>
      </c>
      <c r="M59" s="64" t="s">
        <v>64</v>
      </c>
      <c r="N59" s="64" t="s">
        <v>47</v>
      </c>
      <c r="O59" s="64" t="s">
        <v>48</v>
      </c>
      <c r="P59" s="64" t="s">
        <v>270</v>
      </c>
      <c r="Q59" s="64" t="s">
        <v>91</v>
      </c>
      <c r="R59" s="32" t="str">
        <f t="shared" si="1"/>
        <v>Single</v>
      </c>
      <c r="S59" s="91">
        <v>4500</v>
      </c>
      <c r="T59" s="58">
        <v>42131</v>
      </c>
      <c r="U59" s="89">
        <f t="shared" si="2"/>
        <v>5</v>
      </c>
      <c r="V59" s="69" t="str">
        <f t="shared" si="3"/>
        <v>May</v>
      </c>
      <c r="AK59" s="17" t="s">
        <v>271</v>
      </c>
      <c r="AL59" s="165">
        <f t="shared" si="13"/>
        <v>1</v>
      </c>
      <c r="AM59" s="17">
        <f t="shared" si="12"/>
        <v>750</v>
      </c>
      <c r="BA59" s="17">
        <f t="shared" si="5"/>
        <v>8</v>
      </c>
      <c r="BB59" s="17">
        <f t="shared" si="6"/>
        <v>14.5</v>
      </c>
      <c r="BC59" s="209">
        <f t="shared" si="7"/>
        <v>168</v>
      </c>
      <c r="BD59" s="277">
        <f t="shared" si="8"/>
        <v>252.79</v>
      </c>
      <c r="BE59" s="17">
        <f t="shared" si="9"/>
        <v>0</v>
      </c>
      <c r="BF59" s="213">
        <f t="shared" si="10"/>
        <v>4920.79</v>
      </c>
      <c r="BG59" s="209">
        <f t="shared" si="11"/>
        <v>420.78999999999996</v>
      </c>
      <c r="CD59" s="17"/>
    </row>
    <row r="60" spans="1:82" s="23" customFormat="1" ht="26.25" thickBot="1" x14ac:dyDescent="0.3">
      <c r="A60" s="64" t="s">
        <v>199</v>
      </c>
      <c r="B60" s="64">
        <v>31</v>
      </c>
      <c r="C60" s="64" t="s">
        <v>267</v>
      </c>
      <c r="D60" s="115">
        <v>10</v>
      </c>
      <c r="E60" s="115">
        <v>1</v>
      </c>
      <c r="F60" s="151">
        <v>30</v>
      </c>
      <c r="G60" s="64" t="s">
        <v>89</v>
      </c>
      <c r="H60" s="64">
        <v>2014</v>
      </c>
      <c r="I60" s="58">
        <v>41793</v>
      </c>
      <c r="J60" s="64">
        <v>2014</v>
      </c>
      <c r="K60" s="64" t="s">
        <v>63</v>
      </c>
      <c r="L60" s="64" t="s">
        <v>54</v>
      </c>
      <c r="M60" s="64" t="s">
        <v>46</v>
      </c>
      <c r="N60" s="64" t="s">
        <v>47</v>
      </c>
      <c r="O60" s="64" t="s">
        <v>48</v>
      </c>
      <c r="P60" s="64" t="s">
        <v>152</v>
      </c>
      <c r="Q60" s="64" t="s">
        <v>67</v>
      </c>
      <c r="R60" s="32" t="str">
        <f t="shared" si="1"/>
        <v>Single</v>
      </c>
      <c r="S60" s="91">
        <v>750</v>
      </c>
      <c r="T60" s="58">
        <v>42307</v>
      </c>
      <c r="U60" s="89">
        <f t="shared" si="2"/>
        <v>6</v>
      </c>
      <c r="V60" s="69" t="str">
        <f t="shared" si="3"/>
        <v>October</v>
      </c>
      <c r="AK60" s="18" t="s">
        <v>272</v>
      </c>
      <c r="AL60" s="165">
        <f t="shared" si="13"/>
        <v>2</v>
      </c>
      <c r="AM60" s="17">
        <f t="shared" si="12"/>
        <v>2500</v>
      </c>
      <c r="AX60" s="182"/>
      <c r="AY60" s="204"/>
      <c r="AZ60" s="204"/>
      <c r="BA60" s="17">
        <f t="shared" si="5"/>
        <v>1</v>
      </c>
      <c r="BB60" s="17">
        <f t="shared" si="6"/>
        <v>3</v>
      </c>
      <c r="BC60" s="209">
        <f t="shared" si="7"/>
        <v>60</v>
      </c>
      <c r="BD60" s="277">
        <f t="shared" si="8"/>
        <v>126.395</v>
      </c>
      <c r="BE60" s="17">
        <f t="shared" si="9"/>
        <v>0</v>
      </c>
      <c r="BF60" s="213">
        <f t="shared" si="10"/>
        <v>936.39499999999998</v>
      </c>
      <c r="BG60" s="209">
        <f t="shared" si="11"/>
        <v>186.39499999999998</v>
      </c>
      <c r="BS60" s="182"/>
      <c r="BT60" s="182"/>
      <c r="CD60" s="17"/>
    </row>
    <row r="61" spans="1:82" s="22" customFormat="1" ht="26.25" thickBot="1" x14ac:dyDescent="0.3">
      <c r="A61" s="64" t="s">
        <v>201</v>
      </c>
      <c r="B61" s="64">
        <v>28</v>
      </c>
      <c r="C61" s="64" t="s">
        <v>273</v>
      </c>
      <c r="D61" s="115">
        <v>800</v>
      </c>
      <c r="E61" s="115">
        <v>17</v>
      </c>
      <c r="F61" s="151">
        <v>500</v>
      </c>
      <c r="G61" s="64" t="s">
        <v>43</v>
      </c>
      <c r="H61" s="64">
        <v>2014</v>
      </c>
      <c r="I61" s="58">
        <v>41785</v>
      </c>
      <c r="J61" s="64">
        <v>2015</v>
      </c>
      <c r="K61" s="64" t="s">
        <v>44</v>
      </c>
      <c r="L61" s="64" t="s">
        <v>45</v>
      </c>
      <c r="M61" s="64" t="s">
        <v>264</v>
      </c>
      <c r="N61" s="64" t="s">
        <v>60</v>
      </c>
      <c r="O61" s="64" t="s">
        <v>65</v>
      </c>
      <c r="P61" s="64" t="s">
        <v>274</v>
      </c>
      <c r="Q61" s="64" t="s">
        <v>275</v>
      </c>
      <c r="R61" s="32" t="str">
        <f t="shared" ref="R61:R120" si="14">IF(OR(ISNUMBER(SEARCH("&amp;", Q61)), ISNUMBER(SEARCH(",", Q61))), "Multiple", "Single")</f>
        <v>Multiple</v>
      </c>
      <c r="S61" s="91">
        <f>750+1500</f>
        <v>2250</v>
      </c>
      <c r="T61" s="58">
        <v>42353</v>
      </c>
      <c r="U61" s="89">
        <f t="shared" ref="U61:U120" si="15">WEEKDAY(T61)</f>
        <v>3</v>
      </c>
      <c r="V61" s="69" t="str">
        <f t="shared" ref="V61:V120" si="16">TEXT(T61,"mmmm")</f>
        <v>December</v>
      </c>
      <c r="AK61" s="17" t="s">
        <v>276</v>
      </c>
      <c r="AL61" s="165">
        <f t="shared" si="13"/>
        <v>10</v>
      </c>
      <c r="AM61" s="17">
        <f t="shared" si="12"/>
        <v>25000</v>
      </c>
      <c r="AX61" s="187"/>
      <c r="AY61" s="203"/>
      <c r="AZ61" s="203"/>
      <c r="BA61" s="17">
        <f t="shared" si="5"/>
        <v>8</v>
      </c>
      <c r="BB61" s="17">
        <f t="shared" si="6"/>
        <v>42</v>
      </c>
      <c r="BC61" s="209">
        <f t="shared" si="7"/>
        <v>1000</v>
      </c>
      <c r="BD61" s="277">
        <f t="shared" si="8"/>
        <v>733.54</v>
      </c>
      <c r="BE61" s="17">
        <f t="shared" si="9"/>
        <v>366.77</v>
      </c>
      <c r="BF61" s="213">
        <f t="shared" si="10"/>
        <v>4350.3099999999995</v>
      </c>
      <c r="BG61" s="209">
        <f t="shared" si="11"/>
        <v>2100.31</v>
      </c>
      <c r="BS61" s="187"/>
      <c r="BT61" s="187"/>
      <c r="CD61" s="17"/>
    </row>
    <row r="62" spans="1:82" s="22" customFormat="1" ht="26.25" thickBot="1" x14ac:dyDescent="0.3">
      <c r="A62" s="116" t="s">
        <v>203</v>
      </c>
      <c r="B62" s="64">
        <v>49</v>
      </c>
      <c r="C62" s="116" t="s">
        <v>267</v>
      </c>
      <c r="D62" s="117">
        <v>10</v>
      </c>
      <c r="E62" s="117">
        <v>1</v>
      </c>
      <c r="F62" s="151">
        <v>30</v>
      </c>
      <c r="G62" s="64" t="s">
        <v>43</v>
      </c>
      <c r="H62" s="64">
        <v>2014</v>
      </c>
      <c r="I62" s="58">
        <v>41763</v>
      </c>
      <c r="J62" s="64">
        <v>2014</v>
      </c>
      <c r="K62" s="64" t="s">
        <v>63</v>
      </c>
      <c r="L62" s="64" t="s">
        <v>45</v>
      </c>
      <c r="M62" s="64" t="s">
        <v>46</v>
      </c>
      <c r="N62" s="64" t="s">
        <v>60</v>
      </c>
      <c r="O62" s="64" t="s">
        <v>65</v>
      </c>
      <c r="P62" s="64" t="s">
        <v>277</v>
      </c>
      <c r="Q62" s="64" t="s">
        <v>67</v>
      </c>
      <c r="R62" s="32" t="str">
        <f t="shared" si="14"/>
        <v>Single</v>
      </c>
      <c r="S62" s="91">
        <v>2500</v>
      </c>
      <c r="T62" s="58">
        <v>42128</v>
      </c>
      <c r="U62" s="89">
        <f t="shared" si="15"/>
        <v>2</v>
      </c>
      <c r="V62" s="69" t="str">
        <f t="shared" si="16"/>
        <v>May</v>
      </c>
      <c r="AK62" s="17" t="s">
        <v>278</v>
      </c>
      <c r="AL62" s="165">
        <f t="shared" si="13"/>
        <v>1</v>
      </c>
      <c r="AM62" s="17">
        <f t="shared" si="12"/>
        <v>750</v>
      </c>
      <c r="AX62" s="187"/>
      <c r="AY62" s="203"/>
      <c r="AZ62" s="203"/>
      <c r="BA62" s="17">
        <f t="shared" si="5"/>
        <v>1</v>
      </c>
      <c r="BB62" s="17">
        <f t="shared" si="6"/>
        <v>3</v>
      </c>
      <c r="BC62" s="209">
        <f t="shared" si="7"/>
        <v>60</v>
      </c>
      <c r="BD62" s="277">
        <f t="shared" si="8"/>
        <v>183.38499999999999</v>
      </c>
      <c r="BE62" s="17">
        <f t="shared" si="9"/>
        <v>0</v>
      </c>
      <c r="BF62" s="213">
        <f t="shared" si="10"/>
        <v>2743.3850000000002</v>
      </c>
      <c r="BG62" s="209">
        <f t="shared" si="11"/>
        <v>243.38499999999999</v>
      </c>
      <c r="BS62" s="187"/>
      <c r="BT62" s="187"/>
      <c r="CD62" s="17"/>
    </row>
    <row r="63" spans="1:82" s="22" customFormat="1" ht="39" thickBot="1" x14ac:dyDescent="0.3">
      <c r="A63" s="49" t="s">
        <v>207</v>
      </c>
      <c r="B63" s="49">
        <v>46</v>
      </c>
      <c r="C63" s="49" t="s">
        <v>279</v>
      </c>
      <c r="D63" s="49">
        <v>160</v>
      </c>
      <c r="E63" s="49">
        <v>6</v>
      </c>
      <c r="F63" s="146">
        <v>106</v>
      </c>
      <c r="G63" s="49" t="s">
        <v>43</v>
      </c>
      <c r="H63" s="64">
        <v>2013</v>
      </c>
      <c r="I63" s="6">
        <v>41674</v>
      </c>
      <c r="J63" s="64">
        <v>2014</v>
      </c>
      <c r="K63" s="49" t="s">
        <v>44</v>
      </c>
      <c r="L63" s="32" t="s">
        <v>205</v>
      </c>
      <c r="M63" s="64" t="s">
        <v>46</v>
      </c>
      <c r="N63" s="49" t="s">
        <v>222</v>
      </c>
      <c r="O63" s="49" t="s">
        <v>65</v>
      </c>
      <c r="P63" s="49" t="s">
        <v>280</v>
      </c>
      <c r="Q63" s="49" t="s">
        <v>281</v>
      </c>
      <c r="R63" s="32" t="str">
        <f t="shared" si="14"/>
        <v>Multiple</v>
      </c>
      <c r="S63" s="91">
        <f>750+1500</f>
        <v>2250</v>
      </c>
      <c r="T63" s="58">
        <v>43347</v>
      </c>
      <c r="U63" s="89">
        <f t="shared" si="15"/>
        <v>3</v>
      </c>
      <c r="V63" s="69" t="str">
        <f t="shared" si="16"/>
        <v>September</v>
      </c>
      <c r="AK63" s="18" t="s">
        <v>282</v>
      </c>
      <c r="AL63" s="165">
        <f t="shared" si="13"/>
        <v>1</v>
      </c>
      <c r="AM63" s="17">
        <f t="shared" si="12"/>
        <v>500</v>
      </c>
      <c r="AX63" s="187"/>
      <c r="AY63" s="203"/>
      <c r="AZ63" s="203"/>
      <c r="BA63" s="17">
        <f t="shared" si="5"/>
        <v>8</v>
      </c>
      <c r="BB63" s="17">
        <f t="shared" si="6"/>
        <v>20</v>
      </c>
      <c r="BC63" s="209">
        <f t="shared" si="7"/>
        <v>212</v>
      </c>
      <c r="BD63" s="277">
        <f t="shared" si="8"/>
        <v>366.77</v>
      </c>
      <c r="BE63" s="17">
        <f t="shared" si="9"/>
        <v>0</v>
      </c>
      <c r="BF63" s="213">
        <f t="shared" si="10"/>
        <v>2828.77</v>
      </c>
      <c r="BG63" s="209">
        <f t="shared" si="11"/>
        <v>578.77</v>
      </c>
      <c r="BS63" s="187"/>
      <c r="BT63" s="187"/>
      <c r="CD63" s="17"/>
    </row>
    <row r="64" spans="1:82" s="22" customFormat="1" ht="26.25" thickBot="1" x14ac:dyDescent="0.3">
      <c r="A64" s="64" t="s">
        <v>210</v>
      </c>
      <c r="B64" s="64">
        <v>50</v>
      </c>
      <c r="C64" s="64" t="s">
        <v>283</v>
      </c>
      <c r="D64" s="115">
        <v>250</v>
      </c>
      <c r="E64" s="115">
        <v>6</v>
      </c>
      <c r="F64" s="151">
        <v>190</v>
      </c>
      <c r="G64" s="64" t="s">
        <v>43</v>
      </c>
      <c r="H64" s="64">
        <v>2014</v>
      </c>
      <c r="I64" s="58">
        <v>41672</v>
      </c>
      <c r="J64" s="64">
        <v>2014</v>
      </c>
      <c r="K64" s="64" t="s">
        <v>63</v>
      </c>
      <c r="L64" s="64" t="s">
        <v>54</v>
      </c>
      <c r="M64" s="64" t="s">
        <v>46</v>
      </c>
      <c r="N64" s="64" t="s">
        <v>47</v>
      </c>
      <c r="O64" s="64" t="s">
        <v>48</v>
      </c>
      <c r="P64" s="64" t="s">
        <v>152</v>
      </c>
      <c r="Q64" s="64" t="s">
        <v>67</v>
      </c>
      <c r="R64" s="32" t="str">
        <f t="shared" si="14"/>
        <v>Single</v>
      </c>
      <c r="S64" s="91">
        <v>750</v>
      </c>
      <c r="T64" s="58">
        <v>42037</v>
      </c>
      <c r="U64" s="89">
        <f t="shared" si="15"/>
        <v>2</v>
      </c>
      <c r="V64" s="69" t="str">
        <f t="shared" si="16"/>
        <v>February</v>
      </c>
      <c r="AK64" s="17" t="s">
        <v>284</v>
      </c>
      <c r="AL64" s="165">
        <f t="shared" si="13"/>
        <v>3</v>
      </c>
      <c r="AM64" s="17">
        <f t="shared" si="12"/>
        <v>8850</v>
      </c>
      <c r="AX64" s="187"/>
      <c r="AY64" s="203"/>
      <c r="AZ64" s="203"/>
      <c r="BA64" s="17">
        <f t="shared" si="5"/>
        <v>1</v>
      </c>
      <c r="BB64" s="17">
        <f t="shared" si="6"/>
        <v>13</v>
      </c>
      <c r="BC64" s="209">
        <f t="shared" si="7"/>
        <v>380</v>
      </c>
      <c r="BD64" s="277">
        <f t="shared" si="8"/>
        <v>366.77</v>
      </c>
      <c r="BE64" s="17">
        <f t="shared" si="9"/>
        <v>0</v>
      </c>
      <c r="BF64" s="213">
        <f t="shared" si="10"/>
        <v>1496.77</v>
      </c>
      <c r="BG64" s="209">
        <f t="shared" si="11"/>
        <v>746.77</v>
      </c>
      <c r="BS64" s="187"/>
      <c r="BT64" s="187"/>
      <c r="CD64" s="17"/>
    </row>
    <row r="65" spans="1:82" s="22" customFormat="1" ht="39" thickBot="1" x14ac:dyDescent="0.3">
      <c r="A65" s="49" t="s">
        <v>212</v>
      </c>
      <c r="B65" s="49">
        <v>42</v>
      </c>
      <c r="C65" s="49" t="s">
        <v>285</v>
      </c>
      <c r="D65" s="49">
        <v>467</v>
      </c>
      <c r="E65" s="49">
        <v>11</v>
      </c>
      <c r="F65" s="146">
        <v>190</v>
      </c>
      <c r="G65" s="49" t="s">
        <v>43</v>
      </c>
      <c r="H65" s="64">
        <v>2013</v>
      </c>
      <c r="I65" s="6">
        <v>41618</v>
      </c>
      <c r="J65" s="64">
        <v>2013</v>
      </c>
      <c r="K65" s="49" t="s">
        <v>44</v>
      </c>
      <c r="L65" s="32" t="s">
        <v>205</v>
      </c>
      <c r="M65" s="64" t="s">
        <v>46</v>
      </c>
      <c r="N65" s="49" t="s">
        <v>222</v>
      </c>
      <c r="O65" s="49" t="s">
        <v>65</v>
      </c>
      <c r="P65" s="49" t="s">
        <v>286</v>
      </c>
      <c r="Q65" s="49" t="s">
        <v>91</v>
      </c>
      <c r="R65" s="32" t="str">
        <f t="shared" si="14"/>
        <v>Single</v>
      </c>
      <c r="S65" s="91">
        <v>1000</v>
      </c>
      <c r="T65" s="58">
        <v>42478</v>
      </c>
      <c r="U65" s="89">
        <f t="shared" si="15"/>
        <v>2</v>
      </c>
      <c r="V65" s="69" t="str">
        <f t="shared" si="16"/>
        <v>April</v>
      </c>
      <c r="AK65" s="17" t="s">
        <v>287</v>
      </c>
      <c r="AL65" s="165">
        <f t="shared" si="13"/>
        <v>1</v>
      </c>
      <c r="AM65" s="17">
        <f t="shared" si="12"/>
        <v>2500</v>
      </c>
      <c r="AX65" s="187"/>
      <c r="AY65" s="203"/>
      <c r="AZ65" s="203"/>
      <c r="BA65" s="17">
        <f t="shared" si="5"/>
        <v>8</v>
      </c>
      <c r="BB65" s="17">
        <f t="shared" si="6"/>
        <v>30</v>
      </c>
      <c r="BC65" s="209">
        <f t="shared" si="7"/>
        <v>380</v>
      </c>
      <c r="BD65" s="277">
        <f t="shared" si="8"/>
        <v>733.54</v>
      </c>
      <c r="BE65" s="17">
        <f t="shared" si="9"/>
        <v>366.77</v>
      </c>
      <c r="BF65" s="213">
        <f t="shared" si="10"/>
        <v>2480.31</v>
      </c>
      <c r="BG65" s="209">
        <f t="shared" si="11"/>
        <v>1480.31</v>
      </c>
      <c r="BS65" s="187"/>
      <c r="BT65" s="187"/>
      <c r="CD65" s="17"/>
    </row>
    <row r="66" spans="1:82" s="22" customFormat="1" ht="26.25" thickBot="1" x14ac:dyDescent="0.3">
      <c r="A66" s="118" t="s">
        <v>214</v>
      </c>
      <c r="B66" s="37">
        <v>32</v>
      </c>
      <c r="C66" s="37" t="s">
        <v>269</v>
      </c>
      <c r="D66" s="115">
        <v>80</v>
      </c>
      <c r="E66" s="115">
        <v>3.25</v>
      </c>
      <c r="F66" s="151">
        <v>84</v>
      </c>
      <c r="G66" s="37" t="s">
        <v>43</v>
      </c>
      <c r="H66" s="37">
        <v>2011</v>
      </c>
      <c r="I66" s="26">
        <v>41581</v>
      </c>
      <c r="J66" s="37">
        <v>2011</v>
      </c>
      <c r="K66" s="37" t="s">
        <v>63</v>
      </c>
      <c r="L66" s="37" t="s">
        <v>54</v>
      </c>
      <c r="M66" s="37" t="s">
        <v>64</v>
      </c>
      <c r="N66" s="37" t="s">
        <v>60</v>
      </c>
      <c r="O66" s="37" t="s">
        <v>65</v>
      </c>
      <c r="P66" s="37" t="s">
        <v>288</v>
      </c>
      <c r="Q66" s="37" t="s">
        <v>289</v>
      </c>
      <c r="R66" s="32" t="str">
        <f t="shared" si="14"/>
        <v>Multiple</v>
      </c>
      <c r="S66" s="88">
        <f>2500+750</f>
        <v>3250</v>
      </c>
      <c r="T66" s="26">
        <v>42144</v>
      </c>
      <c r="U66" s="89">
        <f t="shared" si="15"/>
        <v>4</v>
      </c>
      <c r="V66" s="69" t="str">
        <f t="shared" si="16"/>
        <v>May</v>
      </c>
      <c r="AK66" s="18" t="s">
        <v>290</v>
      </c>
      <c r="AL66" s="165">
        <f t="shared" ref="AL66:AL97" si="17">COUNTIF(A$2:A$179,AK66)*1</f>
        <v>1</v>
      </c>
      <c r="AM66" s="17">
        <f t="shared" si="12"/>
        <v>750</v>
      </c>
      <c r="AX66" s="187"/>
      <c r="AY66" s="203"/>
      <c r="AZ66" s="203"/>
      <c r="BA66" s="17">
        <f t="shared" si="5"/>
        <v>1</v>
      </c>
      <c r="BB66" s="17">
        <f t="shared" si="6"/>
        <v>7.5</v>
      </c>
      <c r="BC66" s="209">
        <f t="shared" si="7"/>
        <v>168</v>
      </c>
      <c r="BD66" s="277">
        <f t="shared" si="8"/>
        <v>366.77</v>
      </c>
      <c r="BE66" s="17">
        <f t="shared" si="9"/>
        <v>0</v>
      </c>
      <c r="BF66" s="213">
        <f t="shared" si="10"/>
        <v>3784.77</v>
      </c>
      <c r="BG66" s="209">
        <f t="shared" si="11"/>
        <v>534.77</v>
      </c>
      <c r="BS66" s="187"/>
      <c r="BT66" s="187"/>
      <c r="CD66" s="17"/>
    </row>
    <row r="67" spans="1:82" s="22" customFormat="1" ht="26.25" thickBot="1" x14ac:dyDescent="0.3">
      <c r="A67" s="119" t="s">
        <v>214</v>
      </c>
      <c r="B67" s="33">
        <v>32</v>
      </c>
      <c r="C67" s="33" t="s">
        <v>269</v>
      </c>
      <c r="D67" s="115">
        <v>80</v>
      </c>
      <c r="E67" s="115">
        <v>3.25</v>
      </c>
      <c r="F67" s="151">
        <v>84</v>
      </c>
      <c r="G67" s="33" t="s">
        <v>43</v>
      </c>
      <c r="H67" s="33">
        <v>2011</v>
      </c>
      <c r="I67" s="28">
        <v>41581</v>
      </c>
      <c r="J67" s="33">
        <v>2011</v>
      </c>
      <c r="K67" s="33" t="s">
        <v>63</v>
      </c>
      <c r="L67" s="33" t="s">
        <v>54</v>
      </c>
      <c r="M67" s="33" t="s">
        <v>64</v>
      </c>
      <c r="N67" s="33" t="s">
        <v>60</v>
      </c>
      <c r="O67" s="33" t="s">
        <v>65</v>
      </c>
      <c r="P67" s="33" t="s">
        <v>152</v>
      </c>
      <c r="Q67" s="33" t="s">
        <v>67</v>
      </c>
      <c r="R67" s="32" t="str">
        <f t="shared" si="14"/>
        <v>Single</v>
      </c>
      <c r="S67" s="91">
        <v>750</v>
      </c>
      <c r="T67" s="28">
        <v>41926</v>
      </c>
      <c r="U67" s="89">
        <f t="shared" si="15"/>
        <v>3</v>
      </c>
      <c r="V67" s="69" t="str">
        <f t="shared" si="16"/>
        <v>October</v>
      </c>
      <c r="AK67" s="17" t="s">
        <v>291</v>
      </c>
      <c r="AL67" s="165">
        <f t="shared" si="17"/>
        <v>1</v>
      </c>
      <c r="AM67" s="17">
        <f t="shared" si="12"/>
        <v>750</v>
      </c>
      <c r="AX67" s="187"/>
      <c r="AY67" s="203"/>
      <c r="AZ67" s="203"/>
      <c r="BA67" s="17">
        <f t="shared" ref="BA67:BA130" si="18">IF(OR(ISNUMBER(SEARCH("major", Q67))), 8, 1)</f>
        <v>1</v>
      </c>
      <c r="BB67" s="17">
        <f t="shared" ref="BB67:BB130" si="19">(E67*2)+BA67</f>
        <v>7.5</v>
      </c>
      <c r="BC67" s="209">
        <f t="shared" ref="BC67:BC130" si="20">IF(B67&lt;18, 4*F67, 2*F67)</f>
        <v>168</v>
      </c>
      <c r="BD67" s="277">
        <f t="shared" ref="BD67:BD130" si="21">IF(B67&gt;=18, IF(G67="Male", IF(BB67&gt;24, 2*366.77, IF(BB67&gt;=4, 366.77, 0.5*366.77)), IF(BB67&gt;24, 2*252.79, IF(BB67&gt;=4, 252.79, 0.5*252.79))), IF(BB67&gt;24, 2*309.89, IF(BB67&gt;=4, 309.89, 0.5*309.89)))</f>
        <v>366.77</v>
      </c>
      <c r="BE67" s="17">
        <f t="shared" ref="BE67:BE130" si="22">IF(B67&gt;=18, IF(G67="Male", IF(BB67&gt;24, 366.77, 0), IF(BB67&gt;24, 252.79, 0)), 2*309.89)</f>
        <v>0</v>
      </c>
      <c r="BF67" s="213">
        <f t="shared" ref="BF67:BF130" si="23">S67+BC67+BD67+BE67</f>
        <v>1284.77</v>
      </c>
      <c r="BG67" s="209">
        <f t="shared" ref="BG67:BG130" si="24">BC67+BD67+BE67</f>
        <v>534.77</v>
      </c>
      <c r="BS67" s="187"/>
      <c r="BT67" s="187"/>
      <c r="CD67" s="17"/>
    </row>
    <row r="68" spans="1:82" s="22" customFormat="1" ht="26.25" thickBot="1" x14ac:dyDescent="0.3">
      <c r="A68" s="64" t="s">
        <v>217</v>
      </c>
      <c r="B68" s="64">
        <v>25</v>
      </c>
      <c r="C68" s="64" t="s">
        <v>267</v>
      </c>
      <c r="D68" s="115">
        <v>10</v>
      </c>
      <c r="E68" s="115">
        <v>1</v>
      </c>
      <c r="F68" s="151">
        <v>30</v>
      </c>
      <c r="G68" s="64" t="s">
        <v>43</v>
      </c>
      <c r="H68" s="64">
        <v>2013</v>
      </c>
      <c r="I68" s="58">
        <v>41577</v>
      </c>
      <c r="J68" s="64">
        <v>2014</v>
      </c>
      <c r="K68" s="64" t="s">
        <v>63</v>
      </c>
      <c r="L68" s="64" t="s">
        <v>54</v>
      </c>
      <c r="M68" s="64" t="s">
        <v>64</v>
      </c>
      <c r="N68" s="64" t="s">
        <v>60</v>
      </c>
      <c r="O68" s="64" t="s">
        <v>65</v>
      </c>
      <c r="P68" s="64" t="s">
        <v>292</v>
      </c>
      <c r="Q68" s="64" t="s">
        <v>91</v>
      </c>
      <c r="R68" s="32" t="str">
        <f t="shared" si="14"/>
        <v>Single</v>
      </c>
      <c r="S68" s="91">
        <v>5000</v>
      </c>
      <c r="T68" s="58">
        <v>42571</v>
      </c>
      <c r="U68" s="89">
        <f t="shared" si="15"/>
        <v>4</v>
      </c>
      <c r="V68" s="69" t="str">
        <f t="shared" si="16"/>
        <v>July</v>
      </c>
      <c r="AK68" s="17" t="s">
        <v>293</v>
      </c>
      <c r="AL68" s="165">
        <f t="shared" si="17"/>
        <v>6</v>
      </c>
      <c r="AM68" s="17">
        <f t="shared" ref="AM68:AM100" si="25">SUMIF($A$2:$A$179, AK68, $S$2:$S$179)</f>
        <v>23250</v>
      </c>
      <c r="AX68" s="187"/>
      <c r="AY68" s="203"/>
      <c r="AZ68" s="203"/>
      <c r="BA68" s="17">
        <f t="shared" si="18"/>
        <v>8</v>
      </c>
      <c r="BB68" s="17">
        <f t="shared" si="19"/>
        <v>10</v>
      </c>
      <c r="BC68" s="209">
        <f t="shared" si="20"/>
        <v>60</v>
      </c>
      <c r="BD68" s="277">
        <f t="shared" si="21"/>
        <v>366.77</v>
      </c>
      <c r="BE68" s="17">
        <f t="shared" si="22"/>
        <v>0</v>
      </c>
      <c r="BF68" s="213">
        <f t="shared" si="23"/>
        <v>5426.77</v>
      </c>
      <c r="BG68" s="209">
        <f t="shared" si="24"/>
        <v>426.77</v>
      </c>
      <c r="BS68" s="187"/>
      <c r="BT68" s="187"/>
      <c r="CD68" s="17"/>
    </row>
    <row r="69" spans="1:82" s="22" customFormat="1" ht="39" thickBot="1" x14ac:dyDescent="0.3">
      <c r="A69" s="32" t="s">
        <v>220</v>
      </c>
      <c r="B69" s="37">
        <v>27</v>
      </c>
      <c r="C69" s="43" t="s">
        <v>294</v>
      </c>
      <c r="D69" s="115">
        <v>80</v>
      </c>
      <c r="E69" s="115">
        <v>3.25</v>
      </c>
      <c r="F69" s="151">
        <v>84</v>
      </c>
      <c r="G69" s="32" t="s">
        <v>43</v>
      </c>
      <c r="H69" s="37">
        <v>2013</v>
      </c>
      <c r="I69" s="26">
        <v>41463</v>
      </c>
      <c r="J69" s="54">
        <v>2013</v>
      </c>
      <c r="K69" s="31" t="s">
        <v>44</v>
      </c>
      <c r="L69" s="31" t="s">
        <v>45</v>
      </c>
      <c r="M69" s="32" t="s">
        <v>46</v>
      </c>
      <c r="N69" s="32" t="s">
        <v>60</v>
      </c>
      <c r="O69" s="32" t="s">
        <v>65</v>
      </c>
      <c r="P69" s="32" t="s">
        <v>295</v>
      </c>
      <c r="Q69" s="95" t="s">
        <v>296</v>
      </c>
      <c r="R69" s="32" t="str">
        <f t="shared" si="14"/>
        <v>Multiple</v>
      </c>
      <c r="S69" s="88">
        <f>5000+750+2500+750</f>
        <v>9000</v>
      </c>
      <c r="T69" s="4">
        <v>43643</v>
      </c>
      <c r="U69" s="89">
        <f t="shared" si="15"/>
        <v>5</v>
      </c>
      <c r="V69" s="69" t="str">
        <f t="shared" si="16"/>
        <v>June</v>
      </c>
      <c r="AK69" s="18" t="s">
        <v>297</v>
      </c>
      <c r="AL69" s="165">
        <f t="shared" si="17"/>
        <v>1</v>
      </c>
      <c r="AM69" s="17">
        <f t="shared" si="25"/>
        <v>750</v>
      </c>
      <c r="AX69" s="187"/>
      <c r="AY69" s="203"/>
      <c r="AZ69" s="203"/>
      <c r="BA69" s="17">
        <f t="shared" si="18"/>
        <v>8</v>
      </c>
      <c r="BB69" s="17">
        <f t="shared" si="19"/>
        <v>14.5</v>
      </c>
      <c r="BC69" s="209">
        <f t="shared" si="20"/>
        <v>168</v>
      </c>
      <c r="BD69" s="277">
        <f t="shared" si="21"/>
        <v>366.77</v>
      </c>
      <c r="BE69" s="17">
        <f t="shared" si="22"/>
        <v>0</v>
      </c>
      <c r="BF69" s="213">
        <f t="shared" si="23"/>
        <v>9534.77</v>
      </c>
      <c r="BG69" s="209">
        <f t="shared" si="24"/>
        <v>534.77</v>
      </c>
      <c r="BS69" s="187"/>
      <c r="BT69" s="187"/>
      <c r="CD69" s="17"/>
    </row>
    <row r="70" spans="1:82" s="22" customFormat="1" ht="26.25" thickBot="1" x14ac:dyDescent="0.3">
      <c r="A70" s="32" t="s">
        <v>220</v>
      </c>
      <c r="B70" s="37">
        <v>27</v>
      </c>
      <c r="C70" s="54" t="s">
        <v>269</v>
      </c>
      <c r="D70" s="115">
        <v>80</v>
      </c>
      <c r="E70" s="115">
        <v>3.25</v>
      </c>
      <c r="F70" s="151">
        <v>84</v>
      </c>
      <c r="G70" s="32" t="s">
        <v>43</v>
      </c>
      <c r="H70" s="54">
        <v>2013</v>
      </c>
      <c r="I70" s="27">
        <v>41463</v>
      </c>
      <c r="J70" s="54">
        <v>2013</v>
      </c>
      <c r="K70" s="31" t="s">
        <v>44</v>
      </c>
      <c r="L70" s="31" t="s">
        <v>45</v>
      </c>
      <c r="M70" s="54" t="s">
        <v>46</v>
      </c>
      <c r="N70" s="54" t="s">
        <v>60</v>
      </c>
      <c r="O70" s="54" t="s">
        <v>65</v>
      </c>
      <c r="P70" s="54" t="s">
        <v>298</v>
      </c>
      <c r="Q70" s="54" t="s">
        <v>299</v>
      </c>
      <c r="R70" s="32" t="str">
        <f t="shared" si="14"/>
        <v>Multiple</v>
      </c>
      <c r="S70" s="88">
        <f>5000+5000+2500</f>
        <v>12500</v>
      </c>
      <c r="T70" s="27">
        <v>42147</v>
      </c>
      <c r="U70" s="89">
        <f t="shared" si="15"/>
        <v>7</v>
      </c>
      <c r="V70" s="69" t="str">
        <f t="shared" si="16"/>
        <v>May</v>
      </c>
      <c r="AK70" s="17" t="s">
        <v>300</v>
      </c>
      <c r="AL70" s="165">
        <f t="shared" si="17"/>
        <v>1</v>
      </c>
      <c r="AM70" s="17">
        <f t="shared" si="25"/>
        <v>5000</v>
      </c>
      <c r="AX70" s="187"/>
      <c r="AY70" s="203"/>
      <c r="AZ70" s="203"/>
      <c r="BA70" s="17">
        <f t="shared" si="18"/>
        <v>8</v>
      </c>
      <c r="BB70" s="17">
        <f t="shared" si="19"/>
        <v>14.5</v>
      </c>
      <c r="BC70" s="209">
        <f t="shared" si="20"/>
        <v>168</v>
      </c>
      <c r="BD70" s="277">
        <f t="shared" si="21"/>
        <v>366.77</v>
      </c>
      <c r="BE70" s="17">
        <f t="shared" si="22"/>
        <v>0</v>
      </c>
      <c r="BF70" s="213">
        <f t="shared" si="23"/>
        <v>13034.77</v>
      </c>
      <c r="BG70" s="209">
        <f t="shared" si="24"/>
        <v>534.77</v>
      </c>
      <c r="BS70" s="187"/>
      <c r="BT70" s="187"/>
      <c r="CD70" s="17"/>
    </row>
    <row r="71" spans="1:82" s="22" customFormat="1" ht="26.25" thickBot="1" x14ac:dyDescent="0.3">
      <c r="A71" s="32" t="s">
        <v>220</v>
      </c>
      <c r="B71" s="37">
        <v>27</v>
      </c>
      <c r="C71" s="54" t="s">
        <v>301</v>
      </c>
      <c r="D71" s="115">
        <v>80</v>
      </c>
      <c r="E71" s="115">
        <v>3.25</v>
      </c>
      <c r="F71" s="151">
        <v>84</v>
      </c>
      <c r="G71" s="32" t="s">
        <v>43</v>
      </c>
      <c r="H71" s="54">
        <v>2013</v>
      </c>
      <c r="I71" s="27">
        <v>41463</v>
      </c>
      <c r="J71" s="54">
        <v>2013</v>
      </c>
      <c r="K71" s="31" t="s">
        <v>44</v>
      </c>
      <c r="L71" s="31" t="s">
        <v>45</v>
      </c>
      <c r="M71" s="54" t="s">
        <v>46</v>
      </c>
      <c r="N71" s="31" t="s">
        <v>60</v>
      </c>
      <c r="O71" s="54" t="s">
        <v>65</v>
      </c>
      <c r="P71" s="54" t="s">
        <v>302</v>
      </c>
      <c r="Q71" s="54" t="s">
        <v>91</v>
      </c>
      <c r="R71" s="32" t="str">
        <f t="shared" si="14"/>
        <v>Single</v>
      </c>
      <c r="S71" s="88">
        <v>5000</v>
      </c>
      <c r="T71" s="27">
        <v>41985</v>
      </c>
      <c r="U71" s="89">
        <f t="shared" si="15"/>
        <v>6</v>
      </c>
      <c r="V71" s="69" t="str">
        <f t="shared" si="16"/>
        <v>December</v>
      </c>
      <c r="AK71" s="17" t="s">
        <v>303</v>
      </c>
      <c r="AL71" s="165">
        <f t="shared" si="17"/>
        <v>1</v>
      </c>
      <c r="AM71" s="17">
        <f t="shared" si="25"/>
        <v>200</v>
      </c>
      <c r="AX71" s="187"/>
      <c r="AY71" s="203"/>
      <c r="AZ71" s="203"/>
      <c r="BA71" s="17">
        <f t="shared" si="18"/>
        <v>8</v>
      </c>
      <c r="BB71" s="17">
        <f t="shared" si="19"/>
        <v>14.5</v>
      </c>
      <c r="BC71" s="209">
        <f t="shared" si="20"/>
        <v>168</v>
      </c>
      <c r="BD71" s="277">
        <f t="shared" si="21"/>
        <v>366.77</v>
      </c>
      <c r="BE71" s="17">
        <f t="shared" si="22"/>
        <v>0</v>
      </c>
      <c r="BF71" s="213">
        <f t="shared" si="23"/>
        <v>5534.77</v>
      </c>
      <c r="BG71" s="209">
        <f t="shared" si="24"/>
        <v>534.77</v>
      </c>
      <c r="BS71" s="187"/>
      <c r="BT71" s="187"/>
      <c r="CD71" s="17"/>
    </row>
    <row r="72" spans="1:82" ht="26.25" thickBot="1" x14ac:dyDescent="0.3">
      <c r="A72" s="31" t="s">
        <v>220</v>
      </c>
      <c r="B72" s="37">
        <v>27</v>
      </c>
      <c r="C72" s="54" t="s">
        <v>301</v>
      </c>
      <c r="D72" s="115">
        <v>80</v>
      </c>
      <c r="E72" s="115">
        <v>3.25</v>
      </c>
      <c r="F72" s="151">
        <v>84</v>
      </c>
      <c r="G72" s="31" t="s">
        <v>43</v>
      </c>
      <c r="H72" s="54">
        <v>2013</v>
      </c>
      <c r="I72" s="27">
        <v>41463</v>
      </c>
      <c r="J72" s="54">
        <v>2013</v>
      </c>
      <c r="K72" s="31" t="s">
        <v>44</v>
      </c>
      <c r="L72" s="31" t="s">
        <v>45</v>
      </c>
      <c r="M72" s="31" t="s">
        <v>46</v>
      </c>
      <c r="N72" s="31" t="s">
        <v>60</v>
      </c>
      <c r="O72" s="31" t="s">
        <v>65</v>
      </c>
      <c r="P72" s="31" t="s">
        <v>304</v>
      </c>
      <c r="Q72" s="110" t="s">
        <v>67</v>
      </c>
      <c r="R72" s="32" t="str">
        <f t="shared" si="14"/>
        <v>Single</v>
      </c>
      <c r="S72" s="88">
        <v>150</v>
      </c>
      <c r="T72" s="1">
        <v>41954</v>
      </c>
      <c r="U72" s="89">
        <f t="shared" si="15"/>
        <v>3</v>
      </c>
      <c r="V72" s="69" t="str">
        <f t="shared" si="16"/>
        <v>November</v>
      </c>
      <c r="AK72" s="18" t="s">
        <v>305</v>
      </c>
      <c r="AL72" s="165">
        <f t="shared" si="17"/>
        <v>1</v>
      </c>
      <c r="AM72" s="17">
        <f t="shared" si="25"/>
        <v>750</v>
      </c>
      <c r="BA72" s="17">
        <f t="shared" si="18"/>
        <v>1</v>
      </c>
      <c r="BB72" s="17">
        <f t="shared" si="19"/>
        <v>7.5</v>
      </c>
      <c r="BC72" s="209">
        <f t="shared" si="20"/>
        <v>168</v>
      </c>
      <c r="BD72" s="277">
        <f t="shared" si="21"/>
        <v>366.77</v>
      </c>
      <c r="BE72" s="17">
        <f t="shared" si="22"/>
        <v>0</v>
      </c>
      <c r="BF72" s="213">
        <f t="shared" si="23"/>
        <v>684.77</v>
      </c>
      <c r="BG72" s="209">
        <f t="shared" si="24"/>
        <v>534.77</v>
      </c>
      <c r="CD72" s="17"/>
    </row>
    <row r="73" spans="1:82" s="23" customFormat="1" ht="26.25" thickBot="1" x14ac:dyDescent="0.3">
      <c r="A73" s="32" t="s">
        <v>220</v>
      </c>
      <c r="B73" s="37">
        <v>27</v>
      </c>
      <c r="C73" s="54" t="s">
        <v>301</v>
      </c>
      <c r="D73" s="115">
        <v>80</v>
      </c>
      <c r="E73" s="115">
        <v>3.25</v>
      </c>
      <c r="F73" s="151">
        <v>84</v>
      </c>
      <c r="G73" s="32" t="s">
        <v>43</v>
      </c>
      <c r="H73" s="54">
        <v>2013</v>
      </c>
      <c r="I73" s="27">
        <v>41463</v>
      </c>
      <c r="J73" s="54">
        <v>2013</v>
      </c>
      <c r="K73" s="31" t="s">
        <v>44</v>
      </c>
      <c r="L73" s="31" t="s">
        <v>45</v>
      </c>
      <c r="M73" s="31" t="s">
        <v>46</v>
      </c>
      <c r="N73" s="31" t="s">
        <v>60</v>
      </c>
      <c r="O73" s="31" t="s">
        <v>65</v>
      </c>
      <c r="P73" s="31" t="s">
        <v>306</v>
      </c>
      <c r="Q73" s="110" t="s">
        <v>91</v>
      </c>
      <c r="R73" s="32" t="str">
        <f t="shared" si="14"/>
        <v>Single</v>
      </c>
      <c r="S73" s="88">
        <v>5000</v>
      </c>
      <c r="T73" s="1">
        <v>41830</v>
      </c>
      <c r="U73" s="89">
        <f t="shared" si="15"/>
        <v>5</v>
      </c>
      <c r="V73" s="69" t="str">
        <f t="shared" si="16"/>
        <v>July</v>
      </c>
      <c r="AK73" s="17" t="s">
        <v>307</v>
      </c>
      <c r="AL73" s="165">
        <f t="shared" si="17"/>
        <v>1</v>
      </c>
      <c r="AM73" s="17">
        <f t="shared" si="25"/>
        <v>2500</v>
      </c>
      <c r="AX73" s="182"/>
      <c r="AY73" s="204"/>
      <c r="AZ73" s="204"/>
      <c r="BA73" s="17">
        <f t="shared" si="18"/>
        <v>8</v>
      </c>
      <c r="BB73" s="17">
        <f t="shared" si="19"/>
        <v>14.5</v>
      </c>
      <c r="BC73" s="209">
        <f t="shared" si="20"/>
        <v>168</v>
      </c>
      <c r="BD73" s="277">
        <f t="shared" si="21"/>
        <v>366.77</v>
      </c>
      <c r="BE73" s="17">
        <f t="shared" si="22"/>
        <v>0</v>
      </c>
      <c r="BF73" s="213">
        <f t="shared" si="23"/>
        <v>5534.77</v>
      </c>
      <c r="BG73" s="209">
        <f t="shared" si="24"/>
        <v>534.77</v>
      </c>
      <c r="BS73" s="182"/>
      <c r="BT73" s="182"/>
      <c r="CD73" s="17"/>
    </row>
    <row r="74" spans="1:82" s="22" customFormat="1" ht="26.25" thickBot="1" x14ac:dyDescent="0.3">
      <c r="A74" s="31" t="s">
        <v>220</v>
      </c>
      <c r="B74" s="37">
        <v>27</v>
      </c>
      <c r="C74" s="54" t="s">
        <v>301</v>
      </c>
      <c r="D74" s="115">
        <v>80</v>
      </c>
      <c r="E74" s="115">
        <v>3.25</v>
      </c>
      <c r="F74" s="151">
        <v>84</v>
      </c>
      <c r="G74" s="31" t="s">
        <v>43</v>
      </c>
      <c r="H74" s="54">
        <v>2013</v>
      </c>
      <c r="I74" s="27">
        <v>41463</v>
      </c>
      <c r="J74" s="54">
        <v>2013</v>
      </c>
      <c r="K74" s="31" t="s">
        <v>44</v>
      </c>
      <c r="L74" s="31" t="s">
        <v>45</v>
      </c>
      <c r="M74" s="31" t="s">
        <v>46</v>
      </c>
      <c r="N74" s="31" t="s">
        <v>60</v>
      </c>
      <c r="O74" s="31" t="s">
        <v>65</v>
      </c>
      <c r="P74" s="31" t="s">
        <v>277</v>
      </c>
      <c r="Q74" s="110" t="s">
        <v>308</v>
      </c>
      <c r="R74" s="32" t="str">
        <f t="shared" si="14"/>
        <v>Multiple</v>
      </c>
      <c r="S74" s="88">
        <v>2500</v>
      </c>
      <c r="T74" s="1">
        <v>41807</v>
      </c>
      <c r="U74" s="89">
        <f t="shared" si="15"/>
        <v>3</v>
      </c>
      <c r="V74" s="69" t="str">
        <f t="shared" si="16"/>
        <v>June</v>
      </c>
      <c r="AK74" s="17" t="s">
        <v>309</v>
      </c>
      <c r="AL74" s="165">
        <f t="shared" si="17"/>
        <v>1</v>
      </c>
      <c r="AM74" s="17">
        <f t="shared" si="25"/>
        <v>750</v>
      </c>
      <c r="AX74" s="187"/>
      <c r="AY74" s="203"/>
      <c r="AZ74" s="203"/>
      <c r="BA74" s="17">
        <f t="shared" si="18"/>
        <v>8</v>
      </c>
      <c r="BB74" s="17">
        <f t="shared" si="19"/>
        <v>14.5</v>
      </c>
      <c r="BC74" s="209">
        <f t="shared" si="20"/>
        <v>168</v>
      </c>
      <c r="BD74" s="277">
        <f t="shared" si="21"/>
        <v>366.77</v>
      </c>
      <c r="BE74" s="17">
        <f t="shared" si="22"/>
        <v>0</v>
      </c>
      <c r="BF74" s="213">
        <f t="shared" si="23"/>
        <v>3034.77</v>
      </c>
      <c r="BG74" s="209">
        <f t="shared" si="24"/>
        <v>534.77</v>
      </c>
      <c r="BS74" s="187"/>
      <c r="BT74" s="187"/>
      <c r="CD74" s="17"/>
    </row>
    <row r="75" spans="1:82" ht="26.25" thickBot="1" x14ac:dyDescent="0.3">
      <c r="A75" s="32" t="s">
        <v>220</v>
      </c>
      <c r="B75" s="37">
        <v>27</v>
      </c>
      <c r="C75" s="54" t="s">
        <v>269</v>
      </c>
      <c r="D75" s="115">
        <v>80</v>
      </c>
      <c r="E75" s="115">
        <v>3.25</v>
      </c>
      <c r="F75" s="151">
        <v>84</v>
      </c>
      <c r="G75" s="32" t="s">
        <v>43</v>
      </c>
      <c r="H75" s="54">
        <v>2013</v>
      </c>
      <c r="I75" s="27">
        <v>41463</v>
      </c>
      <c r="J75" s="54">
        <v>2013</v>
      </c>
      <c r="K75" s="31" t="s">
        <v>44</v>
      </c>
      <c r="L75" s="31" t="s">
        <v>45</v>
      </c>
      <c r="M75" s="54" t="s">
        <v>46</v>
      </c>
      <c r="N75" s="31" t="s">
        <v>60</v>
      </c>
      <c r="O75" s="54" t="s">
        <v>65</v>
      </c>
      <c r="P75" s="54" t="s">
        <v>310</v>
      </c>
      <c r="Q75" s="54" t="s">
        <v>67</v>
      </c>
      <c r="R75" s="32" t="str">
        <f t="shared" si="14"/>
        <v>Single</v>
      </c>
      <c r="S75" s="88">
        <v>200</v>
      </c>
      <c r="T75" s="27">
        <v>41554</v>
      </c>
      <c r="U75" s="89">
        <f t="shared" si="15"/>
        <v>2</v>
      </c>
      <c r="V75" s="69" t="str">
        <f t="shared" si="16"/>
        <v>October</v>
      </c>
      <c r="AK75" s="18" t="s">
        <v>311</v>
      </c>
      <c r="AL75" s="165">
        <f t="shared" si="17"/>
        <v>1</v>
      </c>
      <c r="AM75" s="17">
        <f t="shared" si="25"/>
        <v>750</v>
      </c>
      <c r="BA75" s="17">
        <f t="shared" si="18"/>
        <v>1</v>
      </c>
      <c r="BB75" s="17">
        <f t="shared" si="19"/>
        <v>7.5</v>
      </c>
      <c r="BC75" s="209">
        <f t="shared" si="20"/>
        <v>168</v>
      </c>
      <c r="BD75" s="277">
        <f t="shared" si="21"/>
        <v>366.77</v>
      </c>
      <c r="BE75" s="17">
        <f t="shared" si="22"/>
        <v>0</v>
      </c>
      <c r="BF75" s="213">
        <f t="shared" si="23"/>
        <v>734.77</v>
      </c>
      <c r="BG75" s="209">
        <f t="shared" si="24"/>
        <v>534.77</v>
      </c>
      <c r="CD75" s="17"/>
    </row>
    <row r="76" spans="1:82" ht="26.25" thickBot="1" x14ac:dyDescent="0.3">
      <c r="A76" s="32" t="s">
        <v>220</v>
      </c>
      <c r="B76" s="37">
        <v>27</v>
      </c>
      <c r="C76" s="120" t="s">
        <v>269</v>
      </c>
      <c r="D76" s="115">
        <v>80</v>
      </c>
      <c r="E76" s="115">
        <v>3.25</v>
      </c>
      <c r="F76" s="151">
        <v>84</v>
      </c>
      <c r="G76" s="31" t="s">
        <v>43</v>
      </c>
      <c r="H76" s="54">
        <v>2013</v>
      </c>
      <c r="I76" s="59">
        <v>41463</v>
      </c>
      <c r="J76" s="54">
        <v>2013</v>
      </c>
      <c r="K76" s="31" t="s">
        <v>44</v>
      </c>
      <c r="L76" s="31" t="s">
        <v>45</v>
      </c>
      <c r="M76" s="120" t="s">
        <v>46</v>
      </c>
      <c r="N76" s="31" t="s">
        <v>60</v>
      </c>
      <c r="O76" s="120" t="s">
        <v>65</v>
      </c>
      <c r="P76" s="120" t="s">
        <v>312</v>
      </c>
      <c r="Q76" s="120" t="s">
        <v>91</v>
      </c>
      <c r="R76" s="32" t="str">
        <f t="shared" si="14"/>
        <v>Single</v>
      </c>
      <c r="S76" s="91">
        <v>1500</v>
      </c>
      <c r="T76" s="59">
        <v>41647</v>
      </c>
      <c r="U76" s="89">
        <f t="shared" si="15"/>
        <v>4</v>
      </c>
      <c r="V76" s="69" t="str">
        <f t="shared" si="16"/>
        <v>January</v>
      </c>
      <c r="AK76" s="17" t="s">
        <v>313</v>
      </c>
      <c r="AL76" s="165">
        <f t="shared" si="17"/>
        <v>1</v>
      </c>
      <c r="AM76" s="17">
        <f t="shared" si="25"/>
        <v>750</v>
      </c>
      <c r="BA76" s="17">
        <f t="shared" si="18"/>
        <v>8</v>
      </c>
      <c r="BB76" s="17">
        <f t="shared" si="19"/>
        <v>14.5</v>
      </c>
      <c r="BC76" s="209">
        <f t="shared" si="20"/>
        <v>168</v>
      </c>
      <c r="BD76" s="277">
        <f t="shared" si="21"/>
        <v>366.77</v>
      </c>
      <c r="BE76" s="17">
        <f t="shared" si="22"/>
        <v>0</v>
      </c>
      <c r="BF76" s="213">
        <f t="shared" si="23"/>
        <v>2034.77</v>
      </c>
      <c r="BG76" s="209">
        <f t="shared" si="24"/>
        <v>534.77</v>
      </c>
      <c r="CD76" s="17"/>
    </row>
    <row r="77" spans="1:82" ht="26.25" thickBot="1" x14ac:dyDescent="0.3">
      <c r="A77" s="64" t="s">
        <v>224</v>
      </c>
      <c r="B77" s="64">
        <v>40</v>
      </c>
      <c r="C77" s="116" t="s">
        <v>267</v>
      </c>
      <c r="D77" s="117">
        <v>10</v>
      </c>
      <c r="E77" s="117">
        <v>1</v>
      </c>
      <c r="F77" s="151">
        <v>30</v>
      </c>
      <c r="G77" s="64" t="s">
        <v>43</v>
      </c>
      <c r="H77" s="64">
        <v>2013</v>
      </c>
      <c r="I77" s="58">
        <v>41446</v>
      </c>
      <c r="J77" s="64">
        <v>2013</v>
      </c>
      <c r="K77" s="64" t="s">
        <v>63</v>
      </c>
      <c r="L77" s="64" t="s">
        <v>45</v>
      </c>
      <c r="M77" s="64" t="s">
        <v>64</v>
      </c>
      <c r="N77" s="64" t="s">
        <v>60</v>
      </c>
      <c r="O77" s="64" t="s">
        <v>65</v>
      </c>
      <c r="P77" s="64" t="s">
        <v>314</v>
      </c>
      <c r="Q77" s="64" t="s">
        <v>275</v>
      </c>
      <c r="R77" s="32" t="str">
        <f t="shared" si="14"/>
        <v>Multiple</v>
      </c>
      <c r="S77" s="91">
        <f>5000+1500</f>
        <v>6500</v>
      </c>
      <c r="T77" s="58">
        <v>41755</v>
      </c>
      <c r="U77" s="89">
        <f t="shared" si="15"/>
        <v>7</v>
      </c>
      <c r="V77" s="69" t="str">
        <f t="shared" si="16"/>
        <v>April</v>
      </c>
      <c r="AK77" s="17" t="s">
        <v>315</v>
      </c>
      <c r="AL77" s="165">
        <f t="shared" si="17"/>
        <v>4</v>
      </c>
      <c r="AM77" s="17">
        <f t="shared" si="25"/>
        <v>5450</v>
      </c>
      <c r="BA77" s="17">
        <f t="shared" si="18"/>
        <v>8</v>
      </c>
      <c r="BB77" s="17">
        <f t="shared" si="19"/>
        <v>10</v>
      </c>
      <c r="BC77" s="209">
        <f t="shared" si="20"/>
        <v>60</v>
      </c>
      <c r="BD77" s="277">
        <f t="shared" si="21"/>
        <v>366.77</v>
      </c>
      <c r="BE77" s="17">
        <f t="shared" si="22"/>
        <v>0</v>
      </c>
      <c r="BF77" s="213">
        <f t="shared" si="23"/>
        <v>6926.77</v>
      </c>
      <c r="BG77" s="209">
        <f t="shared" si="24"/>
        <v>426.77</v>
      </c>
      <c r="CD77" s="17"/>
    </row>
    <row r="78" spans="1:82" ht="39" thickBot="1" x14ac:dyDescent="0.3">
      <c r="A78" s="32" t="s">
        <v>227</v>
      </c>
      <c r="B78" s="60">
        <v>29</v>
      </c>
      <c r="C78" s="32" t="s">
        <v>316</v>
      </c>
      <c r="D78" s="32">
        <v>166</v>
      </c>
      <c r="E78" s="32">
        <v>4.5</v>
      </c>
      <c r="F78" s="88">
        <v>151</v>
      </c>
      <c r="G78" s="32" t="s">
        <v>43</v>
      </c>
      <c r="H78" s="221">
        <v>2016</v>
      </c>
      <c r="I78" s="222">
        <v>41437</v>
      </c>
      <c r="J78" s="37">
        <v>2016</v>
      </c>
      <c r="K78" s="32" t="s">
        <v>44</v>
      </c>
      <c r="L78" s="32" t="s">
        <v>54</v>
      </c>
      <c r="M78" s="37" t="s">
        <v>46</v>
      </c>
      <c r="N78" s="32" t="s">
        <v>60</v>
      </c>
      <c r="O78" s="32" t="s">
        <v>65</v>
      </c>
      <c r="P78" s="32" t="s">
        <v>317</v>
      </c>
      <c r="Q78" s="32" t="s">
        <v>67</v>
      </c>
      <c r="R78" s="32" t="str">
        <f t="shared" si="14"/>
        <v>Single</v>
      </c>
      <c r="S78" s="88">
        <v>150</v>
      </c>
      <c r="T78" s="26">
        <v>44145</v>
      </c>
      <c r="U78" s="89">
        <f t="shared" si="15"/>
        <v>3</v>
      </c>
      <c r="V78" s="69" t="str">
        <f t="shared" si="16"/>
        <v>November</v>
      </c>
      <c r="AK78" s="18" t="s">
        <v>318</v>
      </c>
      <c r="AL78" s="165">
        <f t="shared" si="17"/>
        <v>1</v>
      </c>
      <c r="AM78" s="17">
        <f t="shared" si="25"/>
        <v>1250</v>
      </c>
      <c r="BA78" s="17">
        <f t="shared" si="18"/>
        <v>1</v>
      </c>
      <c r="BB78" s="17">
        <f t="shared" si="19"/>
        <v>10</v>
      </c>
      <c r="BC78" s="209">
        <f t="shared" si="20"/>
        <v>302</v>
      </c>
      <c r="BD78" s="277">
        <f t="shared" si="21"/>
        <v>366.77</v>
      </c>
      <c r="BE78" s="17">
        <f t="shared" si="22"/>
        <v>0</v>
      </c>
      <c r="BF78" s="213">
        <f t="shared" si="23"/>
        <v>818.77</v>
      </c>
      <c r="BG78" s="209">
        <f t="shared" si="24"/>
        <v>668.77</v>
      </c>
      <c r="CD78" s="17"/>
    </row>
    <row r="79" spans="1:82" ht="38.25" x14ac:dyDescent="0.25">
      <c r="A79" s="31" t="s">
        <v>227</v>
      </c>
      <c r="B79" s="54">
        <v>29</v>
      </c>
      <c r="C79" s="31" t="s">
        <v>316</v>
      </c>
      <c r="D79" s="32">
        <v>166</v>
      </c>
      <c r="E79" s="32">
        <v>4.5</v>
      </c>
      <c r="F79" s="88">
        <v>151</v>
      </c>
      <c r="G79" s="31" t="s">
        <v>43</v>
      </c>
      <c r="H79" s="223">
        <v>2016</v>
      </c>
      <c r="I79" s="224">
        <v>41437</v>
      </c>
      <c r="J79" s="54">
        <v>2016</v>
      </c>
      <c r="K79" s="31" t="s">
        <v>44</v>
      </c>
      <c r="L79" s="31" t="s">
        <v>54</v>
      </c>
      <c r="M79" s="54" t="s">
        <v>46</v>
      </c>
      <c r="N79" s="31" t="s">
        <v>60</v>
      </c>
      <c r="O79" s="31" t="s">
        <v>65</v>
      </c>
      <c r="P79" s="31" t="s">
        <v>319</v>
      </c>
      <c r="Q79" s="31" t="s">
        <v>67</v>
      </c>
      <c r="R79" s="32" t="str">
        <f t="shared" si="14"/>
        <v>Single</v>
      </c>
      <c r="S79" s="88">
        <f>2500+150</f>
        <v>2650</v>
      </c>
      <c r="T79" s="27">
        <v>44025</v>
      </c>
      <c r="U79" s="89">
        <f t="shared" si="15"/>
        <v>2</v>
      </c>
      <c r="V79" s="69" t="str">
        <f t="shared" si="16"/>
        <v>July</v>
      </c>
      <c r="AK79" s="17" t="s">
        <v>320</v>
      </c>
      <c r="AL79" s="165">
        <f t="shared" si="17"/>
        <v>1</v>
      </c>
      <c r="AM79" s="17">
        <f t="shared" si="25"/>
        <v>750</v>
      </c>
      <c r="BA79" s="17">
        <f t="shared" si="18"/>
        <v>1</v>
      </c>
      <c r="BB79" s="17">
        <f t="shared" si="19"/>
        <v>10</v>
      </c>
      <c r="BC79" s="209">
        <f t="shared" si="20"/>
        <v>302</v>
      </c>
      <c r="BD79" s="277">
        <f t="shared" si="21"/>
        <v>366.77</v>
      </c>
      <c r="BE79" s="17">
        <f t="shared" si="22"/>
        <v>0</v>
      </c>
      <c r="BF79" s="213">
        <f t="shared" si="23"/>
        <v>3318.77</v>
      </c>
      <c r="BG79" s="209">
        <f t="shared" si="24"/>
        <v>668.77</v>
      </c>
      <c r="CD79" s="17"/>
    </row>
    <row r="80" spans="1:82" ht="38.25" x14ac:dyDescent="0.25">
      <c r="A80" s="32" t="s">
        <v>227</v>
      </c>
      <c r="B80" s="54">
        <v>29</v>
      </c>
      <c r="C80" s="31" t="s">
        <v>316</v>
      </c>
      <c r="D80" s="32">
        <v>166</v>
      </c>
      <c r="E80" s="32">
        <v>4.5</v>
      </c>
      <c r="F80" s="88">
        <v>151</v>
      </c>
      <c r="G80" s="31" t="s">
        <v>43</v>
      </c>
      <c r="H80" s="223">
        <v>2016</v>
      </c>
      <c r="I80" s="224">
        <v>41437</v>
      </c>
      <c r="J80" s="54">
        <v>2016</v>
      </c>
      <c r="K80" s="31" t="s">
        <v>44</v>
      </c>
      <c r="L80" s="31" t="s">
        <v>54</v>
      </c>
      <c r="M80" s="54" t="s">
        <v>46</v>
      </c>
      <c r="N80" s="31" t="s">
        <v>60</v>
      </c>
      <c r="O80" s="31" t="s">
        <v>65</v>
      </c>
      <c r="P80" s="31" t="s">
        <v>321</v>
      </c>
      <c r="Q80" s="31" t="s">
        <v>67</v>
      </c>
      <c r="R80" s="32" t="str">
        <f t="shared" si="14"/>
        <v>Single</v>
      </c>
      <c r="S80" s="88">
        <v>750</v>
      </c>
      <c r="T80" s="27">
        <v>43995</v>
      </c>
      <c r="U80" s="89">
        <f t="shared" si="15"/>
        <v>7</v>
      </c>
      <c r="V80" s="69" t="str">
        <f t="shared" si="16"/>
        <v>June</v>
      </c>
      <c r="AK80" s="17" t="s">
        <v>322</v>
      </c>
      <c r="AL80" s="165">
        <f t="shared" si="17"/>
        <v>1</v>
      </c>
      <c r="AM80" s="17">
        <f t="shared" si="25"/>
        <v>1500</v>
      </c>
      <c r="BA80" s="17">
        <f t="shared" si="18"/>
        <v>1</v>
      </c>
      <c r="BB80" s="17">
        <f t="shared" si="19"/>
        <v>10</v>
      </c>
      <c r="BC80" s="209">
        <f t="shared" si="20"/>
        <v>302</v>
      </c>
      <c r="BD80" s="277">
        <f t="shared" si="21"/>
        <v>366.77</v>
      </c>
      <c r="BE80" s="17">
        <f t="shared" si="22"/>
        <v>0</v>
      </c>
      <c r="BF80" s="213">
        <f t="shared" si="23"/>
        <v>1418.77</v>
      </c>
      <c r="BG80" s="209">
        <f t="shared" si="24"/>
        <v>668.77</v>
      </c>
      <c r="CD80" s="17"/>
    </row>
    <row r="81" spans="1:82" ht="39" thickBot="1" x14ac:dyDescent="0.3">
      <c r="A81" s="31" t="s">
        <v>227</v>
      </c>
      <c r="B81" s="54">
        <v>29</v>
      </c>
      <c r="C81" s="31" t="s">
        <v>316</v>
      </c>
      <c r="D81" s="32">
        <v>166</v>
      </c>
      <c r="E81" s="32">
        <v>4.5</v>
      </c>
      <c r="F81" s="88">
        <v>151</v>
      </c>
      <c r="G81" s="31" t="s">
        <v>43</v>
      </c>
      <c r="H81" s="223">
        <v>2016</v>
      </c>
      <c r="I81" s="224">
        <v>41437</v>
      </c>
      <c r="J81" s="54">
        <v>2016</v>
      </c>
      <c r="K81" s="31" t="s">
        <v>44</v>
      </c>
      <c r="L81" s="31" t="s">
        <v>54</v>
      </c>
      <c r="M81" s="54" t="s">
        <v>46</v>
      </c>
      <c r="N81" s="31" t="s">
        <v>60</v>
      </c>
      <c r="O81" s="31" t="s">
        <v>65</v>
      </c>
      <c r="P81" s="31" t="s">
        <v>323</v>
      </c>
      <c r="Q81" s="31" t="s">
        <v>67</v>
      </c>
      <c r="R81" s="32" t="str">
        <f t="shared" si="14"/>
        <v>Single</v>
      </c>
      <c r="S81" s="88">
        <v>2500</v>
      </c>
      <c r="T81" s="27">
        <v>43416</v>
      </c>
      <c r="U81" s="89">
        <f t="shared" si="15"/>
        <v>2</v>
      </c>
      <c r="V81" s="69" t="str">
        <f t="shared" si="16"/>
        <v>November</v>
      </c>
      <c r="AK81" s="18" t="s">
        <v>324</v>
      </c>
      <c r="AL81" s="165">
        <f t="shared" si="17"/>
        <v>1</v>
      </c>
      <c r="AM81" s="17">
        <f t="shared" si="25"/>
        <v>350</v>
      </c>
      <c r="BA81" s="17">
        <f t="shared" si="18"/>
        <v>1</v>
      </c>
      <c r="BB81" s="17">
        <f t="shared" si="19"/>
        <v>10</v>
      </c>
      <c r="BC81" s="209">
        <f t="shared" si="20"/>
        <v>302</v>
      </c>
      <c r="BD81" s="277">
        <f t="shared" si="21"/>
        <v>366.77</v>
      </c>
      <c r="BE81" s="17">
        <f t="shared" si="22"/>
        <v>0</v>
      </c>
      <c r="BF81" s="213">
        <f t="shared" si="23"/>
        <v>3168.77</v>
      </c>
      <c r="BG81" s="209">
        <f t="shared" si="24"/>
        <v>668.77</v>
      </c>
      <c r="CD81" s="17"/>
    </row>
    <row r="82" spans="1:82" ht="38.25" x14ac:dyDescent="0.25">
      <c r="A82" s="32" t="s">
        <v>227</v>
      </c>
      <c r="B82" s="37">
        <v>29</v>
      </c>
      <c r="C82" s="31" t="s">
        <v>316</v>
      </c>
      <c r="D82" s="32">
        <v>166</v>
      </c>
      <c r="E82" s="32">
        <v>4.5</v>
      </c>
      <c r="F82" s="88">
        <v>151</v>
      </c>
      <c r="G82" s="31" t="s">
        <v>43</v>
      </c>
      <c r="H82" s="223">
        <v>2016</v>
      </c>
      <c r="I82" s="224">
        <v>41437</v>
      </c>
      <c r="J82" s="54">
        <v>2016</v>
      </c>
      <c r="K82" s="31" t="s">
        <v>44</v>
      </c>
      <c r="L82" s="31" t="s">
        <v>54</v>
      </c>
      <c r="M82" s="54" t="s">
        <v>46</v>
      </c>
      <c r="N82" s="31" t="s">
        <v>60</v>
      </c>
      <c r="O82" s="31" t="s">
        <v>65</v>
      </c>
      <c r="P82" s="31" t="s">
        <v>325</v>
      </c>
      <c r="Q82" s="31" t="s">
        <v>67</v>
      </c>
      <c r="R82" s="32" t="str">
        <f t="shared" si="14"/>
        <v>Single</v>
      </c>
      <c r="S82" s="88">
        <v>7000</v>
      </c>
      <c r="T82" s="27">
        <v>44011</v>
      </c>
      <c r="U82" s="89">
        <f t="shared" si="15"/>
        <v>2</v>
      </c>
      <c r="V82" s="69" t="str">
        <f t="shared" si="16"/>
        <v>June</v>
      </c>
      <c r="AK82" s="17" t="s">
        <v>326</v>
      </c>
      <c r="AL82" s="165">
        <f t="shared" si="17"/>
        <v>1</v>
      </c>
      <c r="AM82" s="17">
        <f t="shared" si="25"/>
        <v>750</v>
      </c>
      <c r="BA82" s="17">
        <f t="shared" si="18"/>
        <v>1</v>
      </c>
      <c r="BB82" s="17">
        <f t="shared" si="19"/>
        <v>10</v>
      </c>
      <c r="BC82" s="209">
        <f t="shared" si="20"/>
        <v>302</v>
      </c>
      <c r="BD82" s="277">
        <f t="shared" si="21"/>
        <v>366.77</v>
      </c>
      <c r="BE82" s="17">
        <f t="shared" si="22"/>
        <v>0</v>
      </c>
      <c r="BF82" s="213">
        <f t="shared" si="23"/>
        <v>7668.77</v>
      </c>
      <c r="BG82" s="209">
        <f t="shared" si="24"/>
        <v>668.77</v>
      </c>
      <c r="CD82" s="17"/>
    </row>
    <row r="83" spans="1:82" ht="26.25" thickBot="1" x14ac:dyDescent="0.3">
      <c r="A83" s="34" t="s">
        <v>227</v>
      </c>
      <c r="B83" s="61">
        <v>29</v>
      </c>
      <c r="C83" s="33" t="s">
        <v>327</v>
      </c>
      <c r="D83" s="32">
        <v>166</v>
      </c>
      <c r="E83" s="32">
        <v>4.5</v>
      </c>
      <c r="F83" s="88">
        <v>151</v>
      </c>
      <c r="G83" s="33" t="s">
        <v>43</v>
      </c>
      <c r="H83" s="225">
        <v>2016</v>
      </c>
      <c r="I83" s="226">
        <v>41437</v>
      </c>
      <c r="J83" s="33">
        <v>2016</v>
      </c>
      <c r="K83" s="34" t="s">
        <v>44</v>
      </c>
      <c r="L83" s="33" t="s">
        <v>54</v>
      </c>
      <c r="M83" s="33" t="s">
        <v>46</v>
      </c>
      <c r="N83" s="33" t="s">
        <v>60</v>
      </c>
      <c r="O83" s="33" t="s">
        <v>65</v>
      </c>
      <c r="P83" s="33" t="s">
        <v>328</v>
      </c>
      <c r="Q83" s="33" t="s">
        <v>67</v>
      </c>
      <c r="R83" s="32" t="str">
        <f t="shared" si="14"/>
        <v>Single</v>
      </c>
      <c r="S83" s="91">
        <v>750</v>
      </c>
      <c r="T83" s="28">
        <v>42564</v>
      </c>
      <c r="U83" s="89">
        <f t="shared" si="15"/>
        <v>4</v>
      </c>
      <c r="V83" s="69" t="str">
        <f t="shared" si="16"/>
        <v>July</v>
      </c>
      <c r="AK83" s="17" t="s">
        <v>329</v>
      </c>
      <c r="AL83" s="165">
        <f t="shared" si="17"/>
        <v>2</v>
      </c>
      <c r="AM83" s="17">
        <f t="shared" si="25"/>
        <v>1500</v>
      </c>
      <c r="BA83" s="17">
        <f t="shared" si="18"/>
        <v>1</v>
      </c>
      <c r="BB83" s="17">
        <f t="shared" si="19"/>
        <v>10</v>
      </c>
      <c r="BC83" s="209">
        <f t="shared" si="20"/>
        <v>302</v>
      </c>
      <c r="BD83" s="277">
        <f t="shared" si="21"/>
        <v>366.77</v>
      </c>
      <c r="BE83" s="17">
        <f t="shared" si="22"/>
        <v>0</v>
      </c>
      <c r="BF83" s="213">
        <f t="shared" si="23"/>
        <v>1418.77</v>
      </c>
      <c r="BG83" s="209">
        <f t="shared" si="24"/>
        <v>668.77</v>
      </c>
      <c r="CD83" s="17"/>
    </row>
    <row r="84" spans="1:82" ht="26.25" thickBot="1" x14ac:dyDescent="0.3">
      <c r="A84" s="64" t="s">
        <v>230</v>
      </c>
      <c r="B84" s="64">
        <v>27</v>
      </c>
      <c r="C84" s="64" t="s">
        <v>330</v>
      </c>
      <c r="D84" s="115">
        <v>368</v>
      </c>
      <c r="E84" s="115">
        <v>9.5</v>
      </c>
      <c r="F84" s="151">
        <v>155</v>
      </c>
      <c r="G84" s="64" t="s">
        <v>43</v>
      </c>
      <c r="H84" s="64">
        <v>2013</v>
      </c>
      <c r="I84" s="58">
        <v>41421</v>
      </c>
      <c r="J84" s="64">
        <v>2013</v>
      </c>
      <c r="K84" s="64" t="s">
        <v>63</v>
      </c>
      <c r="L84" s="64" t="s">
        <v>54</v>
      </c>
      <c r="M84" s="64" t="s">
        <v>64</v>
      </c>
      <c r="N84" s="64" t="s">
        <v>60</v>
      </c>
      <c r="O84" s="64" t="s">
        <v>65</v>
      </c>
      <c r="P84" s="64" t="s">
        <v>152</v>
      </c>
      <c r="Q84" s="64" t="s">
        <v>67</v>
      </c>
      <c r="R84" s="32" t="str">
        <f t="shared" si="14"/>
        <v>Single</v>
      </c>
      <c r="S84" s="91">
        <v>750</v>
      </c>
      <c r="T84" s="58">
        <v>42142</v>
      </c>
      <c r="U84" s="89">
        <f t="shared" si="15"/>
        <v>2</v>
      </c>
      <c r="V84" s="69" t="str">
        <f t="shared" si="16"/>
        <v>May</v>
      </c>
      <c r="AK84" s="18" t="s">
        <v>331</v>
      </c>
      <c r="AL84" s="165">
        <f t="shared" si="17"/>
        <v>1</v>
      </c>
      <c r="AM84" s="17">
        <f t="shared" si="25"/>
        <v>750</v>
      </c>
      <c r="BA84" s="17">
        <f t="shared" si="18"/>
        <v>1</v>
      </c>
      <c r="BB84" s="17">
        <f t="shared" si="19"/>
        <v>20</v>
      </c>
      <c r="BC84" s="209">
        <f t="shared" si="20"/>
        <v>310</v>
      </c>
      <c r="BD84" s="277">
        <f t="shared" si="21"/>
        <v>366.77</v>
      </c>
      <c r="BE84" s="17">
        <f t="shared" si="22"/>
        <v>0</v>
      </c>
      <c r="BF84" s="213">
        <f t="shared" si="23"/>
        <v>1426.77</v>
      </c>
      <c r="BG84" s="209">
        <f t="shared" si="24"/>
        <v>676.77</v>
      </c>
      <c r="CD84" s="17"/>
    </row>
    <row r="85" spans="1:82" s="29" customFormat="1" ht="39" thickBot="1" x14ac:dyDescent="0.3">
      <c r="A85" s="32" t="s">
        <v>233</v>
      </c>
      <c r="B85" s="32">
        <v>41</v>
      </c>
      <c r="C85" s="43" t="s">
        <v>332</v>
      </c>
      <c r="D85" s="109">
        <v>12</v>
      </c>
      <c r="E85" s="109">
        <v>0.75</v>
      </c>
      <c r="F85" s="145">
        <v>20</v>
      </c>
      <c r="G85" s="32" t="s">
        <v>43</v>
      </c>
      <c r="H85" s="32">
        <v>2013</v>
      </c>
      <c r="I85" s="4">
        <v>41341</v>
      </c>
      <c r="J85" s="32">
        <v>2013</v>
      </c>
      <c r="K85" s="32" t="s">
        <v>115</v>
      </c>
      <c r="L85" s="55" t="s">
        <v>45</v>
      </c>
      <c r="M85" s="32" t="s">
        <v>64</v>
      </c>
      <c r="N85" s="32" t="s">
        <v>60</v>
      </c>
      <c r="O85" s="32" t="s">
        <v>65</v>
      </c>
      <c r="P85" s="32" t="s">
        <v>333</v>
      </c>
      <c r="Q85" s="95" t="s">
        <v>67</v>
      </c>
      <c r="R85" s="32" t="str">
        <f t="shared" si="14"/>
        <v>Single</v>
      </c>
      <c r="S85" s="88">
        <v>2500</v>
      </c>
      <c r="T85" s="4">
        <v>44043</v>
      </c>
      <c r="U85" s="89">
        <f t="shared" si="15"/>
        <v>6</v>
      </c>
      <c r="V85" s="69" t="str">
        <f t="shared" si="16"/>
        <v>July</v>
      </c>
      <c r="AK85" s="17" t="s">
        <v>334</v>
      </c>
      <c r="AL85" s="165">
        <f t="shared" si="17"/>
        <v>1</v>
      </c>
      <c r="AM85" s="17">
        <f t="shared" si="25"/>
        <v>750</v>
      </c>
      <c r="AX85" s="197"/>
      <c r="AY85" s="208"/>
      <c r="AZ85" s="208"/>
      <c r="BA85" s="17">
        <f t="shared" si="18"/>
        <v>1</v>
      </c>
      <c r="BB85" s="17">
        <f t="shared" si="19"/>
        <v>2.5</v>
      </c>
      <c r="BC85" s="209">
        <f t="shared" si="20"/>
        <v>40</v>
      </c>
      <c r="BD85" s="277">
        <f t="shared" si="21"/>
        <v>183.38499999999999</v>
      </c>
      <c r="BE85" s="17">
        <f t="shared" si="22"/>
        <v>0</v>
      </c>
      <c r="BF85" s="213">
        <f t="shared" si="23"/>
        <v>2723.3850000000002</v>
      </c>
      <c r="BG85" s="209">
        <f t="shared" si="24"/>
        <v>223.38499999999999</v>
      </c>
      <c r="BS85" s="197"/>
      <c r="BT85" s="197"/>
      <c r="CD85" s="17"/>
    </row>
    <row r="86" spans="1:82" s="22" customFormat="1" ht="39" thickBot="1" x14ac:dyDescent="0.3">
      <c r="A86" s="119" t="s">
        <v>233</v>
      </c>
      <c r="B86" s="33">
        <v>41</v>
      </c>
      <c r="C86" s="50" t="s">
        <v>332</v>
      </c>
      <c r="D86" s="109">
        <v>12</v>
      </c>
      <c r="E86" s="109">
        <v>0.75</v>
      </c>
      <c r="F86" s="145">
        <v>20</v>
      </c>
      <c r="G86" s="33" t="s">
        <v>43</v>
      </c>
      <c r="H86" s="33">
        <v>2013</v>
      </c>
      <c r="I86" s="28">
        <v>41341</v>
      </c>
      <c r="J86" s="33">
        <v>2013</v>
      </c>
      <c r="K86" s="34" t="s">
        <v>115</v>
      </c>
      <c r="L86" s="61" t="s">
        <v>45</v>
      </c>
      <c r="M86" s="33" t="s">
        <v>64</v>
      </c>
      <c r="N86" s="34" t="s">
        <v>60</v>
      </c>
      <c r="O86" s="33" t="s">
        <v>65</v>
      </c>
      <c r="P86" s="33" t="s">
        <v>335</v>
      </c>
      <c r="Q86" s="33" t="s">
        <v>67</v>
      </c>
      <c r="R86" s="32" t="str">
        <f t="shared" si="14"/>
        <v>Single</v>
      </c>
      <c r="S86" s="91">
        <v>1500</v>
      </c>
      <c r="T86" s="28">
        <v>41999</v>
      </c>
      <c r="U86" s="89">
        <f t="shared" si="15"/>
        <v>6</v>
      </c>
      <c r="V86" s="69" t="str">
        <f t="shared" si="16"/>
        <v>December</v>
      </c>
      <c r="AK86" s="17" t="s">
        <v>336</v>
      </c>
      <c r="AL86" s="165">
        <f t="shared" si="17"/>
        <v>1</v>
      </c>
      <c r="AM86" s="17">
        <f t="shared" si="25"/>
        <v>1100</v>
      </c>
      <c r="AX86" s="187"/>
      <c r="AY86" s="203"/>
      <c r="AZ86" s="203"/>
      <c r="BA86" s="17">
        <f t="shared" si="18"/>
        <v>1</v>
      </c>
      <c r="BB86" s="17">
        <f t="shared" si="19"/>
        <v>2.5</v>
      </c>
      <c r="BC86" s="209">
        <f t="shared" si="20"/>
        <v>40</v>
      </c>
      <c r="BD86" s="277">
        <f t="shared" si="21"/>
        <v>183.38499999999999</v>
      </c>
      <c r="BE86" s="17">
        <f t="shared" si="22"/>
        <v>0</v>
      </c>
      <c r="BF86" s="213">
        <f t="shared" si="23"/>
        <v>1723.385</v>
      </c>
      <c r="BG86" s="209">
        <f t="shared" si="24"/>
        <v>223.38499999999999</v>
      </c>
      <c r="BS86" s="187"/>
      <c r="BT86" s="187"/>
      <c r="CD86" s="17"/>
    </row>
    <row r="87" spans="1:82" ht="26.25" thickBot="1" x14ac:dyDescent="0.3">
      <c r="A87" s="32" t="s">
        <v>235</v>
      </c>
      <c r="B87" s="32">
        <v>30</v>
      </c>
      <c r="C87" s="43" t="s">
        <v>337</v>
      </c>
      <c r="D87" s="49">
        <v>160</v>
      </c>
      <c r="E87" s="49">
        <v>6</v>
      </c>
      <c r="F87" s="146">
        <v>106</v>
      </c>
      <c r="G87" s="32" t="s">
        <v>43</v>
      </c>
      <c r="H87" s="32">
        <v>2012</v>
      </c>
      <c r="I87" s="4">
        <v>41307</v>
      </c>
      <c r="J87" s="54">
        <v>2012</v>
      </c>
      <c r="K87" s="32" t="s">
        <v>63</v>
      </c>
      <c r="L87" s="31" t="s">
        <v>54</v>
      </c>
      <c r="M87" s="32" t="s">
        <v>64</v>
      </c>
      <c r="N87" s="32" t="s">
        <v>47</v>
      </c>
      <c r="O87" s="32" t="s">
        <v>48</v>
      </c>
      <c r="P87" s="32" t="s">
        <v>338</v>
      </c>
      <c r="Q87" s="95" t="s">
        <v>339</v>
      </c>
      <c r="R87" s="32" t="str">
        <f t="shared" si="14"/>
        <v>Single</v>
      </c>
      <c r="S87" s="88">
        <v>8000</v>
      </c>
      <c r="T87" s="4">
        <v>43829</v>
      </c>
      <c r="U87" s="89">
        <f t="shared" si="15"/>
        <v>2</v>
      </c>
      <c r="V87" s="69" t="str">
        <f t="shared" si="16"/>
        <v>December</v>
      </c>
      <c r="AK87" s="18" t="s">
        <v>340</v>
      </c>
      <c r="AL87" s="165">
        <f t="shared" si="17"/>
        <v>1</v>
      </c>
      <c r="AM87" s="17">
        <f t="shared" si="25"/>
        <v>5000</v>
      </c>
      <c r="BA87" s="17">
        <f t="shared" si="18"/>
        <v>1</v>
      </c>
      <c r="BB87" s="17">
        <f t="shared" si="19"/>
        <v>13</v>
      </c>
      <c r="BC87" s="209">
        <f t="shared" si="20"/>
        <v>212</v>
      </c>
      <c r="BD87" s="277">
        <f t="shared" si="21"/>
        <v>366.77</v>
      </c>
      <c r="BE87" s="17">
        <f t="shared" si="22"/>
        <v>0</v>
      </c>
      <c r="BF87" s="213">
        <f t="shared" si="23"/>
        <v>8578.77</v>
      </c>
      <c r="BG87" s="209">
        <f t="shared" si="24"/>
        <v>578.77</v>
      </c>
      <c r="CD87" s="17"/>
    </row>
    <row r="88" spans="1:82" ht="26.25" thickBot="1" x14ac:dyDescent="0.3">
      <c r="A88" s="31" t="s">
        <v>235</v>
      </c>
      <c r="B88" s="32">
        <v>30</v>
      </c>
      <c r="C88" s="31" t="s">
        <v>341</v>
      </c>
      <c r="D88" s="49">
        <v>160</v>
      </c>
      <c r="E88" s="49">
        <v>6</v>
      </c>
      <c r="F88" s="146">
        <v>106</v>
      </c>
      <c r="G88" s="31" t="s">
        <v>43</v>
      </c>
      <c r="H88" s="54">
        <v>2012</v>
      </c>
      <c r="I88" s="1">
        <v>41307</v>
      </c>
      <c r="J88" s="54">
        <v>2012</v>
      </c>
      <c r="K88" s="31" t="s">
        <v>63</v>
      </c>
      <c r="L88" s="31" t="s">
        <v>54</v>
      </c>
      <c r="M88" s="54" t="s">
        <v>64</v>
      </c>
      <c r="N88" s="32" t="s">
        <v>47</v>
      </c>
      <c r="O88" s="31" t="s">
        <v>48</v>
      </c>
      <c r="P88" s="31" t="s">
        <v>342</v>
      </c>
      <c r="Q88" s="31" t="s">
        <v>275</v>
      </c>
      <c r="R88" s="32" t="str">
        <f t="shared" si="14"/>
        <v>Multiple</v>
      </c>
      <c r="S88" s="88">
        <f>750+350</f>
        <v>1100</v>
      </c>
      <c r="T88" s="27">
        <v>44282</v>
      </c>
      <c r="U88" s="89">
        <f t="shared" si="15"/>
        <v>7</v>
      </c>
      <c r="V88" s="69" t="str">
        <f t="shared" si="16"/>
        <v>March</v>
      </c>
      <c r="AK88" s="17" t="s">
        <v>343</v>
      </c>
      <c r="AL88" s="165">
        <f t="shared" si="17"/>
        <v>1</v>
      </c>
      <c r="AM88" s="17">
        <f t="shared" si="25"/>
        <v>750</v>
      </c>
      <c r="BA88" s="17">
        <f t="shared" si="18"/>
        <v>8</v>
      </c>
      <c r="BB88" s="17">
        <f t="shared" si="19"/>
        <v>20</v>
      </c>
      <c r="BC88" s="209">
        <f t="shared" si="20"/>
        <v>212</v>
      </c>
      <c r="BD88" s="277">
        <f t="shared" si="21"/>
        <v>366.77</v>
      </c>
      <c r="BE88" s="17">
        <f t="shared" si="22"/>
        <v>0</v>
      </c>
      <c r="BF88" s="213">
        <f t="shared" si="23"/>
        <v>1678.77</v>
      </c>
      <c r="BG88" s="209">
        <f t="shared" si="24"/>
        <v>578.77</v>
      </c>
      <c r="CD88" s="17"/>
    </row>
    <row r="89" spans="1:82" ht="38.1" customHeight="1" thickBot="1" x14ac:dyDescent="0.3">
      <c r="A89" s="34" t="s">
        <v>235</v>
      </c>
      <c r="B89" s="33">
        <v>30</v>
      </c>
      <c r="C89" s="33" t="s">
        <v>344</v>
      </c>
      <c r="D89" s="49">
        <v>160</v>
      </c>
      <c r="E89" s="49">
        <v>6</v>
      </c>
      <c r="F89" s="146">
        <v>106</v>
      </c>
      <c r="G89" s="33" t="s">
        <v>43</v>
      </c>
      <c r="H89" s="33">
        <v>2012</v>
      </c>
      <c r="I89" s="28">
        <v>41307</v>
      </c>
      <c r="J89" s="33">
        <v>2012</v>
      </c>
      <c r="K89" s="33" t="s">
        <v>63</v>
      </c>
      <c r="L89" s="33" t="s">
        <v>54</v>
      </c>
      <c r="M89" s="33" t="s">
        <v>64</v>
      </c>
      <c r="N89" s="32" t="s">
        <v>47</v>
      </c>
      <c r="O89" s="33" t="s">
        <v>48</v>
      </c>
      <c r="P89" s="33" t="s">
        <v>345</v>
      </c>
      <c r="Q89" s="33" t="s">
        <v>67</v>
      </c>
      <c r="R89" s="32" t="str">
        <f t="shared" si="14"/>
        <v>Single</v>
      </c>
      <c r="S89" s="91">
        <v>750</v>
      </c>
      <c r="T89" s="28">
        <v>42551</v>
      </c>
      <c r="U89" s="89">
        <f t="shared" si="15"/>
        <v>5</v>
      </c>
      <c r="V89" s="69" t="str">
        <f t="shared" si="16"/>
        <v>June</v>
      </c>
      <c r="AK89" s="17" t="s">
        <v>346</v>
      </c>
      <c r="AL89" s="165">
        <f t="shared" si="17"/>
        <v>1</v>
      </c>
      <c r="AM89" s="17">
        <f t="shared" si="25"/>
        <v>750</v>
      </c>
      <c r="BA89" s="17">
        <f t="shared" si="18"/>
        <v>1</v>
      </c>
      <c r="BB89" s="17">
        <f t="shared" si="19"/>
        <v>13</v>
      </c>
      <c r="BC89" s="209">
        <f t="shared" si="20"/>
        <v>212</v>
      </c>
      <c r="BD89" s="277">
        <f t="shared" si="21"/>
        <v>366.77</v>
      </c>
      <c r="BE89" s="17">
        <f t="shared" si="22"/>
        <v>0</v>
      </c>
      <c r="BF89" s="213">
        <f t="shared" si="23"/>
        <v>1328.77</v>
      </c>
      <c r="BG89" s="209">
        <f t="shared" si="24"/>
        <v>578.77</v>
      </c>
      <c r="CD89" s="17"/>
    </row>
    <row r="90" spans="1:82" ht="26.25" thickBot="1" x14ac:dyDescent="0.3">
      <c r="A90" s="64" t="s">
        <v>237</v>
      </c>
      <c r="B90" s="64">
        <v>46</v>
      </c>
      <c r="C90" s="64" t="s">
        <v>267</v>
      </c>
      <c r="D90" s="115">
        <v>10</v>
      </c>
      <c r="E90" s="115">
        <v>1</v>
      </c>
      <c r="F90" s="151">
        <v>30</v>
      </c>
      <c r="G90" s="64" t="s">
        <v>43</v>
      </c>
      <c r="H90" s="64">
        <v>2012</v>
      </c>
      <c r="I90" s="58">
        <v>41264</v>
      </c>
      <c r="J90" s="64">
        <v>2013</v>
      </c>
      <c r="K90" s="64" t="s">
        <v>63</v>
      </c>
      <c r="L90" s="64" t="s">
        <v>54</v>
      </c>
      <c r="M90" s="64" t="s">
        <v>46</v>
      </c>
      <c r="N90" s="64" t="s">
        <v>60</v>
      </c>
      <c r="O90" s="64" t="s">
        <v>65</v>
      </c>
      <c r="P90" s="64" t="s">
        <v>277</v>
      </c>
      <c r="Q90" s="64" t="s">
        <v>67</v>
      </c>
      <c r="R90" s="32" t="str">
        <f t="shared" si="14"/>
        <v>Single</v>
      </c>
      <c r="S90" s="91">
        <v>2500</v>
      </c>
      <c r="T90" s="58">
        <v>41884</v>
      </c>
      <c r="U90" s="89">
        <f t="shared" si="15"/>
        <v>3</v>
      </c>
      <c r="V90" s="69" t="str">
        <f t="shared" si="16"/>
        <v>September</v>
      </c>
      <c r="AK90" s="18" t="s">
        <v>347</v>
      </c>
      <c r="AL90" s="165">
        <f t="shared" si="17"/>
        <v>2</v>
      </c>
      <c r="AM90" s="17">
        <f t="shared" si="25"/>
        <v>6500</v>
      </c>
      <c r="BA90" s="17">
        <f t="shared" si="18"/>
        <v>1</v>
      </c>
      <c r="BB90" s="17">
        <f t="shared" si="19"/>
        <v>3</v>
      </c>
      <c r="BC90" s="209">
        <f t="shared" si="20"/>
        <v>60</v>
      </c>
      <c r="BD90" s="277">
        <f t="shared" si="21"/>
        <v>183.38499999999999</v>
      </c>
      <c r="BE90" s="17">
        <f t="shared" si="22"/>
        <v>0</v>
      </c>
      <c r="BF90" s="213">
        <f t="shared" si="23"/>
        <v>2743.3850000000002</v>
      </c>
      <c r="BG90" s="209">
        <f t="shared" si="24"/>
        <v>243.38499999999999</v>
      </c>
      <c r="CD90" s="17"/>
    </row>
    <row r="91" spans="1:82" ht="26.25" thickBot="1" x14ac:dyDescent="0.3">
      <c r="A91" s="116" t="s">
        <v>240</v>
      </c>
      <c r="B91" s="64">
        <v>12</v>
      </c>
      <c r="C91" s="64" t="s">
        <v>348</v>
      </c>
      <c r="D91" s="115">
        <v>90</v>
      </c>
      <c r="E91" s="115">
        <v>5.75</v>
      </c>
      <c r="F91" s="151">
        <v>109</v>
      </c>
      <c r="G91" s="64" t="s">
        <v>43</v>
      </c>
      <c r="H91" s="64">
        <v>2012</v>
      </c>
      <c r="I91" s="58">
        <v>41255</v>
      </c>
      <c r="J91" s="64">
        <v>2012</v>
      </c>
      <c r="K91" s="64" t="s">
        <v>63</v>
      </c>
      <c r="L91" s="64" t="s">
        <v>54</v>
      </c>
      <c r="M91" s="64" t="s">
        <v>264</v>
      </c>
      <c r="N91" s="64" t="s">
        <v>60</v>
      </c>
      <c r="O91" s="64" t="s">
        <v>65</v>
      </c>
      <c r="P91" s="64" t="s">
        <v>302</v>
      </c>
      <c r="Q91" s="64" t="s">
        <v>91</v>
      </c>
      <c r="R91" s="32" t="str">
        <f t="shared" si="14"/>
        <v>Single</v>
      </c>
      <c r="S91" s="91">
        <v>5000</v>
      </c>
      <c r="T91" s="58">
        <v>41344</v>
      </c>
      <c r="U91" s="89">
        <f t="shared" si="15"/>
        <v>2</v>
      </c>
      <c r="V91" s="69" t="str">
        <f t="shared" si="16"/>
        <v>March</v>
      </c>
      <c r="AK91" s="17" t="s">
        <v>349</v>
      </c>
      <c r="AL91" s="165">
        <f t="shared" si="17"/>
        <v>5</v>
      </c>
      <c r="AM91" s="17">
        <f t="shared" si="25"/>
        <v>4250</v>
      </c>
      <c r="BA91" s="17">
        <f t="shared" si="18"/>
        <v>8</v>
      </c>
      <c r="BB91" s="17">
        <f t="shared" si="19"/>
        <v>19.5</v>
      </c>
      <c r="BC91" s="209">
        <f t="shared" si="20"/>
        <v>436</v>
      </c>
      <c r="BD91" s="277">
        <f t="shared" si="21"/>
        <v>309.89</v>
      </c>
      <c r="BE91" s="17">
        <f t="shared" si="22"/>
        <v>619.78</v>
      </c>
      <c r="BF91" s="213">
        <f t="shared" si="23"/>
        <v>6365.67</v>
      </c>
      <c r="BG91" s="209">
        <f t="shared" si="24"/>
        <v>1365.67</v>
      </c>
      <c r="CD91" s="17"/>
    </row>
    <row r="92" spans="1:82" s="23" customFormat="1" ht="39" thickBot="1" x14ac:dyDescent="0.3">
      <c r="A92" s="49" t="s">
        <v>242</v>
      </c>
      <c r="B92" s="49">
        <v>44</v>
      </c>
      <c r="C92" s="49" t="s">
        <v>350</v>
      </c>
      <c r="D92" s="115">
        <v>250</v>
      </c>
      <c r="E92" s="115">
        <v>6</v>
      </c>
      <c r="F92" s="151">
        <v>190</v>
      </c>
      <c r="G92" s="49" t="s">
        <v>43</v>
      </c>
      <c r="H92" s="64">
        <v>2012</v>
      </c>
      <c r="I92" s="6">
        <v>41190</v>
      </c>
      <c r="J92" s="64">
        <v>2012</v>
      </c>
      <c r="K92" s="49" t="s">
        <v>63</v>
      </c>
      <c r="L92" s="49" t="s">
        <v>54</v>
      </c>
      <c r="M92" s="64" t="s">
        <v>46</v>
      </c>
      <c r="N92" s="49" t="s">
        <v>47</v>
      </c>
      <c r="O92" s="49" t="s">
        <v>48</v>
      </c>
      <c r="P92" s="49" t="s">
        <v>351</v>
      </c>
      <c r="Q92" s="49" t="s">
        <v>67</v>
      </c>
      <c r="R92" s="32" t="str">
        <f t="shared" si="14"/>
        <v>Single</v>
      </c>
      <c r="S92" s="91">
        <v>750</v>
      </c>
      <c r="T92" s="58">
        <v>42021</v>
      </c>
      <c r="U92" s="89">
        <f t="shared" si="15"/>
        <v>7</v>
      </c>
      <c r="V92" s="69" t="str">
        <f t="shared" si="16"/>
        <v>January</v>
      </c>
      <c r="AK92" s="17" t="s">
        <v>352</v>
      </c>
      <c r="AL92" s="165">
        <f t="shared" si="17"/>
        <v>1</v>
      </c>
      <c r="AM92" s="17">
        <f t="shared" si="25"/>
        <v>950</v>
      </c>
      <c r="AX92" s="182"/>
      <c r="AY92" s="204"/>
      <c r="AZ92" s="204"/>
      <c r="BA92" s="17">
        <f t="shared" si="18"/>
        <v>1</v>
      </c>
      <c r="BB92" s="17">
        <f t="shared" si="19"/>
        <v>13</v>
      </c>
      <c r="BC92" s="209">
        <f t="shared" si="20"/>
        <v>380</v>
      </c>
      <c r="BD92" s="277">
        <f t="shared" si="21"/>
        <v>366.77</v>
      </c>
      <c r="BE92" s="17">
        <f t="shared" si="22"/>
        <v>0</v>
      </c>
      <c r="BF92" s="213">
        <f t="shared" si="23"/>
        <v>1496.77</v>
      </c>
      <c r="BG92" s="209">
        <f t="shared" si="24"/>
        <v>746.77</v>
      </c>
      <c r="BS92" s="182"/>
      <c r="BT92" s="182"/>
      <c r="CD92" s="17"/>
    </row>
    <row r="93" spans="1:82" s="22" customFormat="1" ht="51.75" thickBot="1" x14ac:dyDescent="0.3">
      <c r="A93" s="32" t="s">
        <v>245</v>
      </c>
      <c r="B93" s="32">
        <v>72</v>
      </c>
      <c r="C93" s="32" t="s">
        <v>353</v>
      </c>
      <c r="D93" s="32">
        <v>20</v>
      </c>
      <c r="E93" s="32">
        <v>1.5</v>
      </c>
      <c r="F93" s="88">
        <v>65</v>
      </c>
      <c r="G93" s="32" t="s">
        <v>43</v>
      </c>
      <c r="H93" s="37">
        <v>2012</v>
      </c>
      <c r="I93" s="4">
        <v>41086</v>
      </c>
      <c r="J93" s="37">
        <v>2012</v>
      </c>
      <c r="K93" s="32" t="s">
        <v>63</v>
      </c>
      <c r="L93" s="32" t="s">
        <v>54</v>
      </c>
      <c r="M93" s="37" t="s">
        <v>64</v>
      </c>
      <c r="N93" s="37" t="s">
        <v>60</v>
      </c>
      <c r="O93" s="32" t="s">
        <v>65</v>
      </c>
      <c r="P93" s="32" t="s">
        <v>354</v>
      </c>
      <c r="Q93" s="32" t="s">
        <v>67</v>
      </c>
      <c r="R93" s="32" t="str">
        <f t="shared" si="14"/>
        <v>Single</v>
      </c>
      <c r="S93" s="88">
        <v>750</v>
      </c>
      <c r="T93" s="26">
        <v>43663</v>
      </c>
      <c r="U93" s="89">
        <f t="shared" si="15"/>
        <v>4</v>
      </c>
      <c r="V93" s="69" t="str">
        <f t="shared" si="16"/>
        <v>July</v>
      </c>
      <c r="AK93" s="18" t="s">
        <v>355</v>
      </c>
      <c r="AL93" s="165">
        <f t="shared" si="17"/>
        <v>1</v>
      </c>
      <c r="AM93" s="17">
        <f t="shared" si="25"/>
        <v>2250</v>
      </c>
      <c r="AX93" s="187"/>
      <c r="AY93" s="203"/>
      <c r="AZ93" s="203"/>
      <c r="BA93" s="17">
        <f t="shared" si="18"/>
        <v>1</v>
      </c>
      <c r="BB93" s="17">
        <f t="shared" si="19"/>
        <v>4</v>
      </c>
      <c r="BC93" s="209">
        <f t="shared" si="20"/>
        <v>130</v>
      </c>
      <c r="BD93" s="277">
        <f t="shared" si="21"/>
        <v>366.77</v>
      </c>
      <c r="BE93" s="17">
        <f t="shared" si="22"/>
        <v>0</v>
      </c>
      <c r="BF93" s="213">
        <f t="shared" si="23"/>
        <v>1246.77</v>
      </c>
      <c r="BG93" s="209">
        <f t="shared" si="24"/>
        <v>496.77</v>
      </c>
      <c r="BS93" s="187"/>
      <c r="BT93" s="187"/>
      <c r="CD93" s="17"/>
    </row>
    <row r="94" spans="1:82" ht="51.75" thickBot="1" x14ac:dyDescent="0.3">
      <c r="A94" s="34" t="s">
        <v>245</v>
      </c>
      <c r="B94" s="33">
        <v>72</v>
      </c>
      <c r="C94" s="34" t="s">
        <v>353</v>
      </c>
      <c r="D94" s="32">
        <v>20</v>
      </c>
      <c r="E94" s="32">
        <v>1.5</v>
      </c>
      <c r="F94" s="88">
        <v>65</v>
      </c>
      <c r="G94" s="33" t="s">
        <v>43</v>
      </c>
      <c r="H94" s="33">
        <v>2012</v>
      </c>
      <c r="I94" s="28">
        <v>41086</v>
      </c>
      <c r="J94" s="33">
        <v>2012</v>
      </c>
      <c r="K94" s="33" t="s">
        <v>63</v>
      </c>
      <c r="L94" s="33" t="s">
        <v>54</v>
      </c>
      <c r="M94" s="33" t="s">
        <v>64</v>
      </c>
      <c r="N94" s="33" t="s">
        <v>60</v>
      </c>
      <c r="O94" s="33" t="s">
        <v>65</v>
      </c>
      <c r="P94" s="33" t="s">
        <v>356</v>
      </c>
      <c r="Q94" s="33" t="s">
        <v>91</v>
      </c>
      <c r="R94" s="32" t="str">
        <f t="shared" si="14"/>
        <v>Single</v>
      </c>
      <c r="S94" s="91">
        <v>750</v>
      </c>
      <c r="T94" s="28">
        <v>41451</v>
      </c>
      <c r="U94" s="89">
        <f t="shared" si="15"/>
        <v>4</v>
      </c>
      <c r="V94" s="69" t="str">
        <f t="shared" si="16"/>
        <v>June</v>
      </c>
      <c r="AK94" s="17" t="s">
        <v>357</v>
      </c>
      <c r="AL94" s="165">
        <f t="shared" si="17"/>
        <v>1</v>
      </c>
      <c r="AM94" s="17">
        <f t="shared" si="25"/>
        <v>5000</v>
      </c>
      <c r="BA94" s="17">
        <f t="shared" si="18"/>
        <v>8</v>
      </c>
      <c r="BB94" s="17">
        <f t="shared" si="19"/>
        <v>11</v>
      </c>
      <c r="BC94" s="209">
        <f t="shared" si="20"/>
        <v>130</v>
      </c>
      <c r="BD94" s="277">
        <f t="shared" si="21"/>
        <v>366.77</v>
      </c>
      <c r="BE94" s="17">
        <f t="shared" si="22"/>
        <v>0</v>
      </c>
      <c r="BF94" s="213">
        <f t="shared" si="23"/>
        <v>1246.77</v>
      </c>
      <c r="BG94" s="209">
        <f t="shared" si="24"/>
        <v>496.77</v>
      </c>
      <c r="CD94" s="17"/>
    </row>
    <row r="95" spans="1:82" s="23" customFormat="1" ht="39" thickBot="1" x14ac:dyDescent="0.3">
      <c r="A95" s="32" t="s">
        <v>247</v>
      </c>
      <c r="B95" s="32">
        <v>57</v>
      </c>
      <c r="C95" s="32" t="s">
        <v>358</v>
      </c>
      <c r="D95" s="32">
        <v>450</v>
      </c>
      <c r="E95" s="32">
        <v>10</v>
      </c>
      <c r="F95" s="88">
        <v>450</v>
      </c>
      <c r="G95" s="32" t="s">
        <v>43</v>
      </c>
      <c r="H95" s="37">
        <v>2012</v>
      </c>
      <c r="I95" s="4">
        <v>41059</v>
      </c>
      <c r="J95" s="37">
        <v>2012</v>
      </c>
      <c r="K95" s="32" t="s">
        <v>115</v>
      </c>
      <c r="L95" s="32" t="s">
        <v>45</v>
      </c>
      <c r="M95" s="37" t="s">
        <v>64</v>
      </c>
      <c r="N95" s="32" t="s">
        <v>60</v>
      </c>
      <c r="O95" s="32" t="s">
        <v>65</v>
      </c>
      <c r="P95" s="32" t="s">
        <v>359</v>
      </c>
      <c r="Q95" s="32" t="s">
        <v>91</v>
      </c>
      <c r="R95" s="32" t="str">
        <f t="shared" si="14"/>
        <v>Single</v>
      </c>
      <c r="S95" s="88">
        <v>5000</v>
      </c>
      <c r="T95" s="26">
        <v>42631</v>
      </c>
      <c r="U95" s="89">
        <f t="shared" si="15"/>
        <v>1</v>
      </c>
      <c r="V95" s="69" t="str">
        <f t="shared" si="16"/>
        <v>September</v>
      </c>
      <c r="AK95" s="17" t="s">
        <v>360</v>
      </c>
      <c r="AL95" s="165">
        <f t="shared" si="17"/>
        <v>3</v>
      </c>
      <c r="AM95" s="17">
        <f t="shared" si="25"/>
        <v>6000</v>
      </c>
      <c r="AX95" s="182"/>
      <c r="AY95" s="204"/>
      <c r="AZ95" s="204"/>
      <c r="BA95" s="17">
        <f t="shared" si="18"/>
        <v>8</v>
      </c>
      <c r="BB95" s="17">
        <f t="shared" si="19"/>
        <v>28</v>
      </c>
      <c r="BC95" s="209">
        <f t="shared" si="20"/>
        <v>900</v>
      </c>
      <c r="BD95" s="277">
        <f t="shared" si="21"/>
        <v>733.54</v>
      </c>
      <c r="BE95" s="17">
        <f t="shared" si="22"/>
        <v>366.77</v>
      </c>
      <c r="BF95" s="213">
        <f t="shared" si="23"/>
        <v>7000.3099999999995</v>
      </c>
      <c r="BG95" s="209">
        <f t="shared" si="24"/>
        <v>2000.31</v>
      </c>
      <c r="BS95" s="182"/>
      <c r="BT95" s="182"/>
      <c r="CD95" s="17"/>
    </row>
    <row r="96" spans="1:82" ht="39" thickBot="1" x14ac:dyDescent="0.3">
      <c r="A96" s="34" t="s">
        <v>247</v>
      </c>
      <c r="B96" s="33">
        <v>57</v>
      </c>
      <c r="C96" s="33" t="s">
        <v>361</v>
      </c>
      <c r="D96" s="32">
        <v>450</v>
      </c>
      <c r="E96" s="32">
        <v>10</v>
      </c>
      <c r="F96" s="88">
        <v>450</v>
      </c>
      <c r="G96" s="33" t="s">
        <v>43</v>
      </c>
      <c r="H96" s="33">
        <v>2012</v>
      </c>
      <c r="I96" s="28">
        <v>41059</v>
      </c>
      <c r="J96" s="33">
        <v>2012</v>
      </c>
      <c r="K96" s="33" t="s">
        <v>115</v>
      </c>
      <c r="L96" s="33" t="s">
        <v>45</v>
      </c>
      <c r="M96" s="33" t="s">
        <v>64</v>
      </c>
      <c r="N96" s="33" t="s">
        <v>60</v>
      </c>
      <c r="O96" s="33" t="s">
        <v>65</v>
      </c>
      <c r="P96" s="33" t="s">
        <v>277</v>
      </c>
      <c r="Q96" s="33" t="s">
        <v>67</v>
      </c>
      <c r="R96" s="32" t="str">
        <f t="shared" si="14"/>
        <v>Single</v>
      </c>
      <c r="S96" s="91">
        <v>2500</v>
      </c>
      <c r="T96" s="28">
        <v>42205</v>
      </c>
      <c r="U96" s="89">
        <f t="shared" si="15"/>
        <v>2</v>
      </c>
      <c r="V96" s="69" t="str">
        <f t="shared" si="16"/>
        <v>July</v>
      </c>
      <c r="AK96" s="18" t="s">
        <v>362</v>
      </c>
      <c r="AL96" s="165">
        <f t="shared" si="17"/>
        <v>1</v>
      </c>
      <c r="AM96" s="17">
        <f t="shared" si="25"/>
        <v>750</v>
      </c>
      <c r="BA96" s="17">
        <f t="shared" si="18"/>
        <v>1</v>
      </c>
      <c r="BB96" s="17">
        <f t="shared" si="19"/>
        <v>21</v>
      </c>
      <c r="BC96" s="209">
        <f t="shared" si="20"/>
        <v>900</v>
      </c>
      <c r="BD96" s="277">
        <f t="shared" si="21"/>
        <v>366.77</v>
      </c>
      <c r="BE96" s="17">
        <f t="shared" si="22"/>
        <v>0</v>
      </c>
      <c r="BF96" s="213">
        <f t="shared" si="23"/>
        <v>3766.77</v>
      </c>
      <c r="BG96" s="209">
        <f t="shared" si="24"/>
        <v>1266.77</v>
      </c>
      <c r="CD96" s="17"/>
    </row>
    <row r="97" spans="1:82" ht="26.25" thickBot="1" x14ac:dyDescent="0.3">
      <c r="A97" s="49" t="s">
        <v>250</v>
      </c>
      <c r="B97" s="49">
        <v>29</v>
      </c>
      <c r="C97" s="49" t="s">
        <v>363</v>
      </c>
      <c r="D97" s="49">
        <v>9</v>
      </c>
      <c r="E97" s="49">
        <v>1</v>
      </c>
      <c r="F97" s="146">
        <v>19</v>
      </c>
      <c r="G97" s="49" t="s">
        <v>43</v>
      </c>
      <c r="H97" s="64">
        <v>2012</v>
      </c>
      <c r="I97" s="6">
        <v>41039</v>
      </c>
      <c r="J97" s="64">
        <v>2013</v>
      </c>
      <c r="K97" s="49" t="s">
        <v>63</v>
      </c>
      <c r="L97" s="49" t="s">
        <v>54</v>
      </c>
      <c r="M97" s="64" t="s">
        <v>64</v>
      </c>
      <c r="N97" s="49" t="s">
        <v>47</v>
      </c>
      <c r="O97" s="49" t="s">
        <v>48</v>
      </c>
      <c r="P97" s="49" t="s">
        <v>364</v>
      </c>
      <c r="Q97" s="49" t="s">
        <v>67</v>
      </c>
      <c r="R97" s="32" t="str">
        <f t="shared" si="14"/>
        <v>Single</v>
      </c>
      <c r="S97" s="91">
        <v>750</v>
      </c>
      <c r="T97" s="58">
        <v>43208</v>
      </c>
      <c r="U97" s="89">
        <f t="shared" si="15"/>
        <v>4</v>
      </c>
      <c r="V97" s="69" t="str">
        <f t="shared" si="16"/>
        <v>April</v>
      </c>
      <c r="AK97" s="17" t="s">
        <v>365</v>
      </c>
      <c r="AL97" s="165">
        <f t="shared" si="17"/>
        <v>2</v>
      </c>
      <c r="AM97" s="17">
        <f t="shared" si="25"/>
        <v>1500</v>
      </c>
      <c r="BA97" s="17">
        <f t="shared" si="18"/>
        <v>1</v>
      </c>
      <c r="BB97" s="17">
        <f t="shared" si="19"/>
        <v>3</v>
      </c>
      <c r="BC97" s="209">
        <f t="shared" si="20"/>
        <v>38</v>
      </c>
      <c r="BD97" s="277">
        <f t="shared" si="21"/>
        <v>183.38499999999999</v>
      </c>
      <c r="BE97" s="17">
        <f t="shared" si="22"/>
        <v>0</v>
      </c>
      <c r="BF97" s="213">
        <f t="shared" si="23"/>
        <v>971.38499999999999</v>
      </c>
      <c r="BG97" s="209">
        <f t="shared" si="24"/>
        <v>221.38499999999999</v>
      </c>
      <c r="CD97" s="17"/>
    </row>
    <row r="98" spans="1:82" s="23" customFormat="1" ht="26.25" thickBot="1" x14ac:dyDescent="0.3">
      <c r="A98" s="37" t="s">
        <v>252</v>
      </c>
      <c r="B98" s="37">
        <v>45</v>
      </c>
      <c r="C98" s="108" t="s">
        <v>267</v>
      </c>
      <c r="D98" s="121">
        <v>10</v>
      </c>
      <c r="E98" s="121">
        <v>1</v>
      </c>
      <c r="F98" s="152">
        <v>30</v>
      </c>
      <c r="G98" s="37" t="s">
        <v>43</v>
      </c>
      <c r="H98" s="37">
        <v>2005</v>
      </c>
      <c r="I98" s="26">
        <v>38353</v>
      </c>
      <c r="J98" s="54">
        <v>2006</v>
      </c>
      <c r="K98" s="37" t="s">
        <v>63</v>
      </c>
      <c r="L98" s="37" t="s">
        <v>45</v>
      </c>
      <c r="M98" s="37" t="s">
        <v>46</v>
      </c>
      <c r="N98" s="37" t="s">
        <v>60</v>
      </c>
      <c r="O98" s="37" t="s">
        <v>65</v>
      </c>
      <c r="P98" s="37" t="s">
        <v>366</v>
      </c>
      <c r="Q98" s="37" t="s">
        <v>67</v>
      </c>
      <c r="R98" s="32" t="str">
        <f t="shared" si="14"/>
        <v>Single</v>
      </c>
      <c r="S98" s="88">
        <v>500</v>
      </c>
      <c r="T98" s="26">
        <v>40485</v>
      </c>
      <c r="U98" s="89">
        <f t="shared" si="15"/>
        <v>4</v>
      </c>
      <c r="V98" s="69" t="str">
        <f t="shared" si="16"/>
        <v>November</v>
      </c>
      <c r="AK98" s="17" t="s">
        <v>367</v>
      </c>
      <c r="AL98" s="165">
        <f>COUNTIF(A$2:A$179,AK98)*1</f>
        <v>1</v>
      </c>
      <c r="AM98" s="17">
        <f t="shared" si="25"/>
        <v>750</v>
      </c>
      <c r="AX98" s="182"/>
      <c r="AY98" s="204"/>
      <c r="AZ98" s="204"/>
      <c r="BA98" s="17">
        <f t="shared" si="18"/>
        <v>1</v>
      </c>
      <c r="BB98" s="17">
        <f t="shared" si="19"/>
        <v>3</v>
      </c>
      <c r="BC98" s="209">
        <f t="shared" si="20"/>
        <v>60</v>
      </c>
      <c r="BD98" s="277">
        <f t="shared" si="21"/>
        <v>183.38499999999999</v>
      </c>
      <c r="BE98" s="17">
        <f t="shared" si="22"/>
        <v>0</v>
      </c>
      <c r="BF98" s="213">
        <f t="shared" si="23"/>
        <v>743.38499999999999</v>
      </c>
      <c r="BG98" s="209">
        <f t="shared" si="24"/>
        <v>243.38499999999999</v>
      </c>
      <c r="BS98" s="182"/>
      <c r="BT98" s="182"/>
      <c r="CD98" s="17"/>
    </row>
    <row r="99" spans="1:82" s="22" customFormat="1" ht="26.25" thickBot="1" x14ac:dyDescent="0.3">
      <c r="A99" s="54" t="s">
        <v>252</v>
      </c>
      <c r="B99" s="54">
        <v>45</v>
      </c>
      <c r="C99" s="107" t="s">
        <v>267</v>
      </c>
      <c r="D99" s="121">
        <v>10</v>
      </c>
      <c r="E99" s="121">
        <v>1</v>
      </c>
      <c r="F99" s="152">
        <v>30</v>
      </c>
      <c r="G99" s="54" t="s">
        <v>43</v>
      </c>
      <c r="H99" s="54">
        <v>2005</v>
      </c>
      <c r="I99" s="26">
        <v>38353</v>
      </c>
      <c r="J99" s="54">
        <v>2006</v>
      </c>
      <c r="K99" s="54" t="s">
        <v>63</v>
      </c>
      <c r="L99" s="54" t="s">
        <v>45</v>
      </c>
      <c r="M99" s="54" t="s">
        <v>46</v>
      </c>
      <c r="N99" s="54" t="s">
        <v>60</v>
      </c>
      <c r="O99" s="54" t="s">
        <v>65</v>
      </c>
      <c r="P99" s="54" t="s">
        <v>277</v>
      </c>
      <c r="Q99" s="54" t="s">
        <v>67</v>
      </c>
      <c r="R99" s="32" t="str">
        <f t="shared" si="14"/>
        <v>Single</v>
      </c>
      <c r="S99" s="88">
        <v>2500</v>
      </c>
      <c r="T99" s="27">
        <v>40335</v>
      </c>
      <c r="U99" s="89">
        <f t="shared" si="15"/>
        <v>1</v>
      </c>
      <c r="V99" s="69" t="str">
        <f t="shared" si="16"/>
        <v>June</v>
      </c>
      <c r="AK99" s="18" t="s">
        <v>368</v>
      </c>
      <c r="AL99" s="165">
        <f>COUNTIF(A$2:A$179,AK99)*1</f>
        <v>1</v>
      </c>
      <c r="AM99" s="17">
        <f t="shared" si="25"/>
        <v>750</v>
      </c>
      <c r="AX99" s="187"/>
      <c r="AY99" s="203"/>
      <c r="AZ99" s="203"/>
      <c r="BA99" s="17">
        <f t="shared" si="18"/>
        <v>1</v>
      </c>
      <c r="BB99" s="17">
        <f t="shared" si="19"/>
        <v>3</v>
      </c>
      <c r="BC99" s="209">
        <f t="shared" si="20"/>
        <v>60</v>
      </c>
      <c r="BD99" s="277">
        <f t="shared" si="21"/>
        <v>183.38499999999999</v>
      </c>
      <c r="BE99" s="17">
        <f t="shared" si="22"/>
        <v>0</v>
      </c>
      <c r="BF99" s="213">
        <f t="shared" si="23"/>
        <v>2743.3850000000002</v>
      </c>
      <c r="BG99" s="209">
        <f t="shared" si="24"/>
        <v>243.38499999999999</v>
      </c>
      <c r="BS99" s="187"/>
      <c r="BT99" s="187"/>
      <c r="CD99" s="17"/>
    </row>
    <row r="100" spans="1:82" s="22" customFormat="1" ht="26.25" thickBot="1" x14ac:dyDescent="0.3">
      <c r="A100" s="122" t="s">
        <v>252</v>
      </c>
      <c r="B100" s="54">
        <v>45</v>
      </c>
      <c r="C100" s="107" t="s">
        <v>267</v>
      </c>
      <c r="D100" s="121">
        <v>10</v>
      </c>
      <c r="E100" s="121">
        <v>1</v>
      </c>
      <c r="F100" s="152">
        <v>30</v>
      </c>
      <c r="G100" s="54" t="s">
        <v>43</v>
      </c>
      <c r="H100" s="54">
        <v>2005</v>
      </c>
      <c r="I100" s="26">
        <v>38353</v>
      </c>
      <c r="J100" s="54">
        <v>2006</v>
      </c>
      <c r="K100" s="54" t="s">
        <v>63</v>
      </c>
      <c r="L100" s="54" t="s">
        <v>45</v>
      </c>
      <c r="M100" s="54" t="s">
        <v>46</v>
      </c>
      <c r="N100" s="54" t="s">
        <v>60</v>
      </c>
      <c r="O100" s="54" t="s">
        <v>65</v>
      </c>
      <c r="P100" s="54" t="s">
        <v>152</v>
      </c>
      <c r="Q100" s="54" t="s">
        <v>67</v>
      </c>
      <c r="R100" s="32" t="str">
        <f t="shared" si="14"/>
        <v>Single</v>
      </c>
      <c r="S100" s="88">
        <v>750</v>
      </c>
      <c r="T100" s="27">
        <v>39799</v>
      </c>
      <c r="U100" s="89">
        <f t="shared" si="15"/>
        <v>4</v>
      </c>
      <c r="V100" s="69" t="str">
        <f t="shared" si="16"/>
        <v>December</v>
      </c>
      <c r="AK100" s="17" t="s">
        <v>369</v>
      </c>
      <c r="AL100" s="165">
        <f>COUNTIF(A$2:A$179,AK100)*1</f>
        <v>1</v>
      </c>
      <c r="AM100" s="17">
        <f t="shared" si="25"/>
        <v>7750</v>
      </c>
      <c r="AX100" s="187"/>
      <c r="AY100" s="203"/>
      <c r="AZ100" s="203"/>
      <c r="BA100" s="17">
        <f t="shared" si="18"/>
        <v>1</v>
      </c>
      <c r="BB100" s="17">
        <f t="shared" si="19"/>
        <v>3</v>
      </c>
      <c r="BC100" s="209">
        <f t="shared" si="20"/>
        <v>60</v>
      </c>
      <c r="BD100" s="277">
        <f t="shared" si="21"/>
        <v>183.38499999999999</v>
      </c>
      <c r="BE100" s="17">
        <f t="shared" si="22"/>
        <v>0</v>
      </c>
      <c r="BF100" s="213">
        <f t="shared" si="23"/>
        <v>993.38499999999999</v>
      </c>
      <c r="BG100" s="209">
        <f t="shared" si="24"/>
        <v>243.38499999999999</v>
      </c>
      <c r="BS100" s="187"/>
      <c r="BT100" s="187"/>
      <c r="CD100" s="17"/>
    </row>
    <row r="101" spans="1:82" s="22" customFormat="1" ht="26.25" thickBot="1" x14ac:dyDescent="0.3">
      <c r="A101" s="119" t="s">
        <v>252</v>
      </c>
      <c r="B101" s="33">
        <v>45</v>
      </c>
      <c r="C101" s="123" t="s">
        <v>267</v>
      </c>
      <c r="D101" s="121">
        <v>10</v>
      </c>
      <c r="E101" s="121">
        <v>1</v>
      </c>
      <c r="F101" s="152">
        <v>30</v>
      </c>
      <c r="G101" s="33" t="s">
        <v>43</v>
      </c>
      <c r="H101" s="33">
        <v>2005</v>
      </c>
      <c r="I101" s="26">
        <v>38353</v>
      </c>
      <c r="J101" s="54">
        <v>2006</v>
      </c>
      <c r="K101" s="33" t="s">
        <v>63</v>
      </c>
      <c r="L101" s="33" t="s">
        <v>45</v>
      </c>
      <c r="M101" s="33" t="s">
        <v>46</v>
      </c>
      <c r="N101" s="33" t="s">
        <v>60</v>
      </c>
      <c r="O101" s="33" t="s">
        <v>65</v>
      </c>
      <c r="P101" s="33" t="s">
        <v>370</v>
      </c>
      <c r="Q101" s="33" t="s">
        <v>67</v>
      </c>
      <c r="R101" s="32" t="str">
        <f t="shared" si="14"/>
        <v>Single</v>
      </c>
      <c r="S101" s="91">
        <v>350</v>
      </c>
      <c r="T101" s="28">
        <v>39549</v>
      </c>
      <c r="U101" s="89">
        <f t="shared" si="15"/>
        <v>6</v>
      </c>
      <c r="V101" s="69" t="str">
        <f t="shared" si="16"/>
        <v>April</v>
      </c>
      <c r="AL101" s="177"/>
      <c r="AX101" s="187"/>
      <c r="AY101" s="203"/>
      <c r="AZ101" s="203"/>
      <c r="BA101" s="17">
        <f t="shared" si="18"/>
        <v>1</v>
      </c>
      <c r="BB101" s="17">
        <f t="shared" si="19"/>
        <v>3</v>
      </c>
      <c r="BC101" s="209">
        <f t="shared" si="20"/>
        <v>60</v>
      </c>
      <c r="BD101" s="277">
        <f t="shared" si="21"/>
        <v>183.38499999999999</v>
      </c>
      <c r="BE101" s="17">
        <f t="shared" si="22"/>
        <v>0</v>
      </c>
      <c r="BF101" s="213">
        <f t="shared" si="23"/>
        <v>593.38499999999999</v>
      </c>
      <c r="BG101" s="209">
        <f t="shared" si="24"/>
        <v>243.38499999999999</v>
      </c>
      <c r="BS101" s="187"/>
      <c r="BT101" s="187"/>
    </row>
    <row r="102" spans="1:82" ht="25.5" x14ac:dyDescent="0.25">
      <c r="A102" s="32" t="s">
        <v>255</v>
      </c>
      <c r="B102" s="32">
        <v>36</v>
      </c>
      <c r="C102" s="43" t="s">
        <v>371</v>
      </c>
      <c r="D102" s="109">
        <v>380</v>
      </c>
      <c r="E102" s="109">
        <v>8</v>
      </c>
      <c r="F102" s="145">
        <v>407</v>
      </c>
      <c r="G102" s="32" t="s">
        <v>43</v>
      </c>
      <c r="H102" s="32">
        <v>2012</v>
      </c>
      <c r="I102" s="4">
        <v>40970</v>
      </c>
      <c r="J102" s="32">
        <v>2015</v>
      </c>
      <c r="K102" s="32" t="s">
        <v>63</v>
      </c>
      <c r="L102" s="32" t="s">
        <v>45</v>
      </c>
      <c r="M102" s="32" t="s">
        <v>64</v>
      </c>
      <c r="N102" s="32" t="s">
        <v>60</v>
      </c>
      <c r="O102" s="32" t="s">
        <v>65</v>
      </c>
      <c r="P102" s="32" t="s">
        <v>372</v>
      </c>
      <c r="Q102" s="95" t="s">
        <v>67</v>
      </c>
      <c r="R102" s="32" t="str">
        <f t="shared" si="14"/>
        <v>Single</v>
      </c>
      <c r="S102" s="88">
        <v>750</v>
      </c>
      <c r="T102" s="4">
        <v>43829</v>
      </c>
      <c r="U102" s="89">
        <f t="shared" si="15"/>
        <v>2</v>
      </c>
      <c r="V102" s="69" t="str">
        <f t="shared" si="16"/>
        <v>December</v>
      </c>
      <c r="BA102" s="17">
        <f t="shared" si="18"/>
        <v>1</v>
      </c>
      <c r="BB102" s="17">
        <f t="shared" si="19"/>
        <v>17</v>
      </c>
      <c r="BC102" s="209">
        <f t="shared" si="20"/>
        <v>814</v>
      </c>
      <c r="BD102" s="277">
        <f t="shared" si="21"/>
        <v>366.77</v>
      </c>
      <c r="BE102" s="17">
        <f t="shared" si="22"/>
        <v>0</v>
      </c>
      <c r="BF102" s="213">
        <f t="shared" si="23"/>
        <v>1930.77</v>
      </c>
      <c r="BG102" s="209">
        <f t="shared" si="24"/>
        <v>1180.77</v>
      </c>
    </row>
    <row r="103" spans="1:82" s="23" customFormat="1" ht="39" thickBot="1" x14ac:dyDescent="0.3">
      <c r="A103" s="34" t="s">
        <v>255</v>
      </c>
      <c r="B103" s="34">
        <v>36</v>
      </c>
      <c r="C103" s="50" t="s">
        <v>371</v>
      </c>
      <c r="D103" s="306">
        <v>380</v>
      </c>
      <c r="E103" s="306">
        <v>8</v>
      </c>
      <c r="F103" s="307">
        <v>407</v>
      </c>
      <c r="G103" s="34" t="s">
        <v>43</v>
      </c>
      <c r="H103" s="34">
        <v>2012</v>
      </c>
      <c r="I103" s="3">
        <v>40970</v>
      </c>
      <c r="J103" s="36">
        <v>2015</v>
      </c>
      <c r="K103" s="34" t="s">
        <v>63</v>
      </c>
      <c r="L103" s="34" t="s">
        <v>45</v>
      </c>
      <c r="M103" s="34" t="s">
        <v>64</v>
      </c>
      <c r="N103" s="34" t="s">
        <v>60</v>
      </c>
      <c r="O103" s="34" t="s">
        <v>65</v>
      </c>
      <c r="P103" s="34" t="s">
        <v>373</v>
      </c>
      <c r="Q103" s="90" t="s">
        <v>104</v>
      </c>
      <c r="R103" s="36" t="str">
        <f t="shared" si="14"/>
        <v>Multiple</v>
      </c>
      <c r="S103" s="147">
        <f>750+150</f>
        <v>900</v>
      </c>
      <c r="T103" s="3">
        <v>43558</v>
      </c>
      <c r="U103" s="330">
        <f t="shared" si="15"/>
        <v>4</v>
      </c>
      <c r="V103" s="331" t="str">
        <f t="shared" si="16"/>
        <v>April</v>
      </c>
      <c r="AL103" s="179"/>
      <c r="AX103" s="182"/>
      <c r="AY103" s="204"/>
      <c r="AZ103" s="204"/>
      <c r="BA103" s="29">
        <f t="shared" si="18"/>
        <v>1</v>
      </c>
      <c r="BB103" s="29">
        <f t="shared" si="19"/>
        <v>17</v>
      </c>
      <c r="BC103" s="293">
        <f t="shared" si="20"/>
        <v>814</v>
      </c>
      <c r="BD103" s="332">
        <f t="shared" si="21"/>
        <v>366.77</v>
      </c>
      <c r="BE103" s="29">
        <f t="shared" si="22"/>
        <v>0</v>
      </c>
      <c r="BF103" s="294">
        <f t="shared" si="23"/>
        <v>2080.77</v>
      </c>
      <c r="BG103" s="293">
        <f t="shared" si="24"/>
        <v>1180.77</v>
      </c>
      <c r="BS103" s="182"/>
      <c r="BT103" s="182"/>
    </row>
    <row r="104" spans="1:82" ht="25.5" x14ac:dyDescent="0.25">
      <c r="A104" s="118" t="s">
        <v>258</v>
      </c>
      <c r="B104" s="37">
        <v>30</v>
      </c>
      <c r="C104" s="108" t="s">
        <v>374</v>
      </c>
      <c r="D104" s="121">
        <v>450</v>
      </c>
      <c r="E104" s="121">
        <v>8</v>
      </c>
      <c r="F104" s="152">
        <v>150</v>
      </c>
      <c r="G104" s="37" t="s">
        <v>43</v>
      </c>
      <c r="H104" s="37">
        <v>2011</v>
      </c>
      <c r="I104" s="26">
        <v>40943</v>
      </c>
      <c r="J104" s="37">
        <v>2011</v>
      </c>
      <c r="K104" s="37" t="s">
        <v>44</v>
      </c>
      <c r="L104" s="37" t="s">
        <v>54</v>
      </c>
      <c r="M104" s="37" t="s">
        <v>46</v>
      </c>
      <c r="N104" s="37" t="s">
        <v>60</v>
      </c>
      <c r="O104" s="37" t="s">
        <v>65</v>
      </c>
      <c r="P104" s="37" t="s">
        <v>302</v>
      </c>
      <c r="Q104" s="37" t="s">
        <v>91</v>
      </c>
      <c r="R104" s="32" t="str">
        <f t="shared" si="14"/>
        <v>Single</v>
      </c>
      <c r="S104" s="88">
        <v>5000</v>
      </c>
      <c r="T104" s="26">
        <v>41785</v>
      </c>
      <c r="U104" s="325">
        <f t="shared" si="15"/>
        <v>2</v>
      </c>
      <c r="V104" s="326" t="str">
        <f t="shared" si="16"/>
        <v>May</v>
      </c>
      <c r="BA104" s="19">
        <f t="shared" si="18"/>
        <v>8</v>
      </c>
      <c r="BB104" s="19">
        <f t="shared" si="19"/>
        <v>24</v>
      </c>
      <c r="BC104" s="327">
        <f t="shared" si="20"/>
        <v>300</v>
      </c>
      <c r="BD104" s="328">
        <f t="shared" si="21"/>
        <v>366.77</v>
      </c>
      <c r="BE104" s="19">
        <f t="shared" si="22"/>
        <v>0</v>
      </c>
      <c r="BF104" s="329">
        <f t="shared" si="23"/>
        <v>5666.77</v>
      </c>
      <c r="BG104" s="327">
        <f t="shared" si="24"/>
        <v>666.77</v>
      </c>
    </row>
    <row r="105" spans="1:82" s="23" customFormat="1" ht="26.25" thickBot="1" x14ac:dyDescent="0.3">
      <c r="A105" s="119" t="s">
        <v>258</v>
      </c>
      <c r="B105" s="33">
        <v>30</v>
      </c>
      <c r="C105" s="123" t="s">
        <v>374</v>
      </c>
      <c r="D105" s="121">
        <v>450</v>
      </c>
      <c r="E105" s="121">
        <v>8</v>
      </c>
      <c r="F105" s="152">
        <v>150</v>
      </c>
      <c r="G105" s="33" t="s">
        <v>43</v>
      </c>
      <c r="H105" s="33">
        <v>2011</v>
      </c>
      <c r="I105" s="28">
        <v>40943</v>
      </c>
      <c r="J105" s="33">
        <v>2011</v>
      </c>
      <c r="K105" s="33" t="s">
        <v>44</v>
      </c>
      <c r="L105" s="33" t="s">
        <v>54</v>
      </c>
      <c r="M105" s="33" t="s">
        <v>46</v>
      </c>
      <c r="N105" s="33" t="s">
        <v>60</v>
      </c>
      <c r="O105" s="33" t="s">
        <v>65</v>
      </c>
      <c r="P105" s="33" t="s">
        <v>375</v>
      </c>
      <c r="Q105" s="33" t="s">
        <v>67</v>
      </c>
      <c r="R105" s="32" t="str">
        <f t="shared" si="14"/>
        <v>Single</v>
      </c>
      <c r="S105" s="91">
        <v>7000</v>
      </c>
      <c r="T105" s="28">
        <v>41185</v>
      </c>
      <c r="U105" s="89">
        <f t="shared" si="15"/>
        <v>4</v>
      </c>
      <c r="V105" s="69" t="str">
        <f t="shared" si="16"/>
        <v>October</v>
      </c>
      <c r="AL105" s="179"/>
      <c r="AX105" s="182"/>
      <c r="AY105" s="204"/>
      <c r="AZ105" s="204"/>
      <c r="BA105" s="17">
        <f t="shared" si="18"/>
        <v>1</v>
      </c>
      <c r="BB105" s="17">
        <f t="shared" si="19"/>
        <v>17</v>
      </c>
      <c r="BC105" s="209">
        <f t="shared" si="20"/>
        <v>300</v>
      </c>
      <c r="BD105" s="277">
        <f t="shared" si="21"/>
        <v>366.77</v>
      </c>
      <c r="BE105" s="17">
        <f t="shared" si="22"/>
        <v>0</v>
      </c>
      <c r="BF105" s="213">
        <f t="shared" si="23"/>
        <v>7666.77</v>
      </c>
      <c r="BG105" s="209">
        <f t="shared" si="24"/>
        <v>666.77</v>
      </c>
      <c r="BS105" s="182"/>
      <c r="BT105" s="182"/>
    </row>
    <row r="106" spans="1:82" s="22" customFormat="1" ht="26.25" thickBot="1" x14ac:dyDescent="0.3">
      <c r="A106" s="116" t="s">
        <v>261</v>
      </c>
      <c r="B106" s="64">
        <v>33</v>
      </c>
      <c r="C106" s="124" t="s">
        <v>376</v>
      </c>
      <c r="D106" s="115">
        <v>250</v>
      </c>
      <c r="E106" s="115">
        <v>6</v>
      </c>
      <c r="F106" s="151">
        <v>190</v>
      </c>
      <c r="G106" s="64" t="s">
        <v>43</v>
      </c>
      <c r="H106" s="64">
        <v>2005</v>
      </c>
      <c r="I106" s="58">
        <v>38353</v>
      </c>
      <c r="J106" s="64">
        <v>2005</v>
      </c>
      <c r="K106" s="64" t="s">
        <v>63</v>
      </c>
      <c r="L106" s="64" t="s">
        <v>54</v>
      </c>
      <c r="M106" s="64" t="s">
        <v>46</v>
      </c>
      <c r="N106" s="64" t="s">
        <v>60</v>
      </c>
      <c r="O106" s="64" t="s">
        <v>65</v>
      </c>
      <c r="P106" s="64" t="s">
        <v>152</v>
      </c>
      <c r="Q106" s="64" t="s">
        <v>67</v>
      </c>
      <c r="R106" s="32" t="str">
        <f t="shared" si="14"/>
        <v>Single</v>
      </c>
      <c r="S106" s="91">
        <v>750</v>
      </c>
      <c r="T106" s="58">
        <v>38735</v>
      </c>
      <c r="U106" s="89">
        <f t="shared" si="15"/>
        <v>4</v>
      </c>
      <c r="V106" s="69" t="str">
        <f t="shared" si="16"/>
        <v>January</v>
      </c>
      <c r="AL106" s="177"/>
      <c r="AX106" s="187"/>
      <c r="AY106" s="203"/>
      <c r="AZ106" s="203"/>
      <c r="BA106" s="17">
        <f t="shared" si="18"/>
        <v>1</v>
      </c>
      <c r="BB106" s="17">
        <f t="shared" si="19"/>
        <v>13</v>
      </c>
      <c r="BC106" s="209">
        <f t="shared" si="20"/>
        <v>380</v>
      </c>
      <c r="BD106" s="277">
        <f t="shared" si="21"/>
        <v>366.77</v>
      </c>
      <c r="BE106" s="17">
        <f t="shared" si="22"/>
        <v>0</v>
      </c>
      <c r="BF106" s="213">
        <f t="shared" si="23"/>
        <v>1496.77</v>
      </c>
      <c r="BG106" s="209">
        <f t="shared" si="24"/>
        <v>746.77</v>
      </c>
      <c r="BS106" s="187"/>
      <c r="BT106" s="187"/>
    </row>
    <row r="107" spans="1:82" ht="26.25" thickBot="1" x14ac:dyDescent="0.3">
      <c r="A107" s="58" t="s">
        <v>266</v>
      </c>
      <c r="B107" s="64">
        <v>30</v>
      </c>
      <c r="C107" s="124" t="s">
        <v>377</v>
      </c>
      <c r="D107" s="125">
        <v>250</v>
      </c>
      <c r="E107" s="125">
        <v>4</v>
      </c>
      <c r="F107" s="153">
        <v>150</v>
      </c>
      <c r="G107" s="64" t="s">
        <v>43</v>
      </c>
      <c r="H107" s="64">
        <v>2011</v>
      </c>
      <c r="I107" s="58">
        <v>40917</v>
      </c>
      <c r="J107" s="64">
        <v>2011</v>
      </c>
      <c r="K107" s="64" t="s">
        <v>63</v>
      </c>
      <c r="L107" s="64" t="s">
        <v>54</v>
      </c>
      <c r="M107" s="64" t="s">
        <v>64</v>
      </c>
      <c r="N107" s="64" t="s">
        <v>60</v>
      </c>
      <c r="O107" s="64" t="s">
        <v>65</v>
      </c>
      <c r="P107" s="64" t="s">
        <v>356</v>
      </c>
      <c r="Q107" s="64" t="s">
        <v>91</v>
      </c>
      <c r="R107" s="32" t="str">
        <f t="shared" si="14"/>
        <v>Single</v>
      </c>
      <c r="S107" s="91">
        <v>750</v>
      </c>
      <c r="T107" s="58">
        <v>40917</v>
      </c>
      <c r="U107" s="89">
        <f t="shared" si="15"/>
        <v>2</v>
      </c>
      <c r="V107" s="69" t="str">
        <f t="shared" si="16"/>
        <v>January</v>
      </c>
      <c r="BA107" s="17">
        <f t="shared" si="18"/>
        <v>8</v>
      </c>
      <c r="BB107" s="17">
        <f t="shared" si="19"/>
        <v>16</v>
      </c>
      <c r="BC107" s="209">
        <f t="shared" si="20"/>
        <v>300</v>
      </c>
      <c r="BD107" s="277">
        <f t="shared" si="21"/>
        <v>366.77</v>
      </c>
      <c r="BE107" s="17">
        <f t="shared" si="22"/>
        <v>0</v>
      </c>
      <c r="BF107" s="213">
        <f t="shared" si="23"/>
        <v>1416.77</v>
      </c>
      <c r="BG107" s="209">
        <f t="shared" si="24"/>
        <v>666.77</v>
      </c>
    </row>
    <row r="108" spans="1:82" ht="26.25" thickBot="1" x14ac:dyDescent="0.3">
      <c r="A108" s="116" t="s">
        <v>268</v>
      </c>
      <c r="B108" s="64">
        <v>39</v>
      </c>
      <c r="C108" s="116" t="s">
        <v>378</v>
      </c>
      <c r="D108" s="117">
        <v>80</v>
      </c>
      <c r="E108" s="117">
        <v>2</v>
      </c>
      <c r="F108" s="151">
        <v>77</v>
      </c>
      <c r="G108" s="64" t="s">
        <v>43</v>
      </c>
      <c r="H108" s="64">
        <v>2008</v>
      </c>
      <c r="I108" s="58">
        <v>40865</v>
      </c>
      <c r="J108" s="64">
        <v>2008</v>
      </c>
      <c r="K108" s="64" t="s">
        <v>63</v>
      </c>
      <c r="L108" s="64" t="s">
        <v>54</v>
      </c>
      <c r="M108" s="64" t="s">
        <v>46</v>
      </c>
      <c r="N108" s="64" t="s">
        <v>60</v>
      </c>
      <c r="O108" s="64" t="s">
        <v>65</v>
      </c>
      <c r="P108" s="64" t="s">
        <v>379</v>
      </c>
      <c r="Q108" s="64" t="s">
        <v>275</v>
      </c>
      <c r="R108" s="32" t="str">
        <f t="shared" si="14"/>
        <v>Multiple</v>
      </c>
      <c r="S108" s="91">
        <f>750+750</f>
        <v>1500</v>
      </c>
      <c r="T108" s="58">
        <v>40865</v>
      </c>
      <c r="U108" s="89">
        <f t="shared" si="15"/>
        <v>6</v>
      </c>
      <c r="V108" s="69" t="str">
        <f t="shared" si="16"/>
        <v>November</v>
      </c>
      <c r="BA108" s="17">
        <f t="shared" si="18"/>
        <v>8</v>
      </c>
      <c r="BB108" s="17">
        <f t="shared" si="19"/>
        <v>12</v>
      </c>
      <c r="BC108" s="209">
        <f t="shared" si="20"/>
        <v>154</v>
      </c>
      <c r="BD108" s="277">
        <f t="shared" si="21"/>
        <v>366.77</v>
      </c>
      <c r="BE108" s="17">
        <f t="shared" si="22"/>
        <v>0</v>
      </c>
      <c r="BF108" s="213">
        <f t="shared" si="23"/>
        <v>2020.77</v>
      </c>
      <c r="BG108" s="209">
        <f t="shared" si="24"/>
        <v>520.77</v>
      </c>
    </row>
    <row r="109" spans="1:82" ht="26.25" thickBot="1" x14ac:dyDescent="0.3">
      <c r="A109" s="64" t="s">
        <v>271</v>
      </c>
      <c r="B109" s="64">
        <v>33</v>
      </c>
      <c r="C109" s="124" t="s">
        <v>267</v>
      </c>
      <c r="D109" s="125">
        <v>10</v>
      </c>
      <c r="E109" s="125">
        <v>1</v>
      </c>
      <c r="F109" s="153">
        <v>30</v>
      </c>
      <c r="G109" s="64" t="s">
        <v>43</v>
      </c>
      <c r="H109" s="64">
        <v>2014</v>
      </c>
      <c r="I109" s="58">
        <v>40858</v>
      </c>
      <c r="J109" s="64">
        <v>2015</v>
      </c>
      <c r="K109" s="64" t="s">
        <v>63</v>
      </c>
      <c r="L109" s="64" t="s">
        <v>54</v>
      </c>
      <c r="M109" s="64" t="s">
        <v>46</v>
      </c>
      <c r="N109" s="64" t="s">
        <v>47</v>
      </c>
      <c r="O109" s="64" t="s">
        <v>48</v>
      </c>
      <c r="P109" s="64" t="s">
        <v>152</v>
      </c>
      <c r="Q109" s="64" t="s">
        <v>67</v>
      </c>
      <c r="R109" s="32" t="str">
        <f t="shared" si="14"/>
        <v>Single</v>
      </c>
      <c r="S109" s="91">
        <v>750</v>
      </c>
      <c r="T109" s="58">
        <v>42692</v>
      </c>
      <c r="U109" s="89">
        <f t="shared" si="15"/>
        <v>6</v>
      </c>
      <c r="V109" s="69" t="str">
        <f t="shared" si="16"/>
        <v>November</v>
      </c>
      <c r="BA109" s="17">
        <f t="shared" si="18"/>
        <v>1</v>
      </c>
      <c r="BB109" s="17">
        <f t="shared" si="19"/>
        <v>3</v>
      </c>
      <c r="BC109" s="209">
        <f t="shared" si="20"/>
        <v>60</v>
      </c>
      <c r="BD109" s="277">
        <f t="shared" si="21"/>
        <v>183.38499999999999</v>
      </c>
      <c r="BE109" s="17">
        <f t="shared" si="22"/>
        <v>0</v>
      </c>
      <c r="BF109" s="213">
        <f t="shared" si="23"/>
        <v>993.38499999999999</v>
      </c>
      <c r="BG109" s="209">
        <f t="shared" si="24"/>
        <v>243.38499999999999</v>
      </c>
    </row>
    <row r="110" spans="1:82" s="23" customFormat="1" ht="51.75" thickBot="1" x14ac:dyDescent="0.3">
      <c r="A110" s="32" t="s">
        <v>272</v>
      </c>
      <c r="B110" s="32">
        <v>31</v>
      </c>
      <c r="C110" s="43" t="s">
        <v>380</v>
      </c>
      <c r="D110" s="115">
        <v>80</v>
      </c>
      <c r="E110" s="115">
        <v>3.25</v>
      </c>
      <c r="F110" s="151">
        <v>84</v>
      </c>
      <c r="G110" s="32" t="s">
        <v>43</v>
      </c>
      <c r="H110" s="32">
        <v>2011</v>
      </c>
      <c r="I110" s="4">
        <v>40850</v>
      </c>
      <c r="J110" s="55">
        <v>2012</v>
      </c>
      <c r="K110" s="32" t="s">
        <v>44</v>
      </c>
      <c r="L110" s="55" t="s">
        <v>54</v>
      </c>
      <c r="M110" s="32" t="s">
        <v>64</v>
      </c>
      <c r="N110" s="32" t="s">
        <v>60</v>
      </c>
      <c r="O110" s="32" t="s">
        <v>65</v>
      </c>
      <c r="P110" s="32" t="s">
        <v>381</v>
      </c>
      <c r="Q110" s="95" t="s">
        <v>382</v>
      </c>
      <c r="R110" s="32" t="str">
        <f t="shared" si="14"/>
        <v>Multiple</v>
      </c>
      <c r="S110" s="88">
        <f>750+500+500</f>
        <v>1750</v>
      </c>
      <c r="T110" s="4">
        <v>44131</v>
      </c>
      <c r="U110" s="89">
        <f t="shared" si="15"/>
        <v>3</v>
      </c>
      <c r="V110" s="69" t="str">
        <f t="shared" si="16"/>
        <v>October</v>
      </c>
      <c r="AL110" s="179"/>
      <c r="AX110" s="182"/>
      <c r="AY110" s="204"/>
      <c r="AZ110" s="204"/>
      <c r="BA110" s="17">
        <f t="shared" si="18"/>
        <v>1</v>
      </c>
      <c r="BB110" s="17">
        <f t="shared" si="19"/>
        <v>7.5</v>
      </c>
      <c r="BC110" s="209">
        <f t="shared" si="20"/>
        <v>168</v>
      </c>
      <c r="BD110" s="277">
        <f t="shared" si="21"/>
        <v>366.77</v>
      </c>
      <c r="BE110" s="17">
        <f t="shared" si="22"/>
        <v>0</v>
      </c>
      <c r="BF110" s="213">
        <f t="shared" si="23"/>
        <v>2284.77</v>
      </c>
      <c r="BG110" s="209">
        <f t="shared" si="24"/>
        <v>534.77</v>
      </c>
      <c r="BS110" s="182"/>
      <c r="BT110" s="182"/>
    </row>
    <row r="111" spans="1:82" ht="26.25" thickBot="1" x14ac:dyDescent="0.3">
      <c r="A111" s="33" t="s">
        <v>272</v>
      </c>
      <c r="B111" s="33">
        <v>31</v>
      </c>
      <c r="C111" s="50" t="s">
        <v>380</v>
      </c>
      <c r="D111" s="115">
        <v>80</v>
      </c>
      <c r="E111" s="115">
        <v>3.25</v>
      </c>
      <c r="F111" s="151">
        <v>84</v>
      </c>
      <c r="G111" s="33" t="s">
        <v>43</v>
      </c>
      <c r="H111" s="33">
        <v>2011</v>
      </c>
      <c r="I111" s="28">
        <v>40850</v>
      </c>
      <c r="J111" s="61">
        <v>2012</v>
      </c>
      <c r="K111" s="34" t="s">
        <v>44</v>
      </c>
      <c r="L111" s="61" t="s">
        <v>54</v>
      </c>
      <c r="M111" s="33" t="s">
        <v>64</v>
      </c>
      <c r="N111" s="34" t="s">
        <v>60</v>
      </c>
      <c r="O111" s="33" t="s">
        <v>65</v>
      </c>
      <c r="P111" s="33" t="s">
        <v>383</v>
      </c>
      <c r="Q111" s="33" t="s">
        <v>384</v>
      </c>
      <c r="R111" s="32" t="str">
        <f t="shared" si="14"/>
        <v>Single</v>
      </c>
      <c r="S111" s="91">
        <v>750</v>
      </c>
      <c r="T111" s="28">
        <v>42409</v>
      </c>
      <c r="U111" s="89">
        <f t="shared" si="15"/>
        <v>3</v>
      </c>
      <c r="V111" s="69" t="str">
        <f t="shared" si="16"/>
        <v>February</v>
      </c>
      <c r="BA111" s="17">
        <f t="shared" si="18"/>
        <v>1</v>
      </c>
      <c r="BB111" s="17">
        <f t="shared" si="19"/>
        <v>7.5</v>
      </c>
      <c r="BC111" s="209">
        <f t="shared" si="20"/>
        <v>168</v>
      </c>
      <c r="BD111" s="277">
        <f t="shared" si="21"/>
        <v>366.77</v>
      </c>
      <c r="BE111" s="17">
        <f t="shared" si="22"/>
        <v>0</v>
      </c>
      <c r="BF111" s="213">
        <f t="shared" si="23"/>
        <v>1284.77</v>
      </c>
      <c r="BG111" s="209">
        <f t="shared" si="24"/>
        <v>534.77</v>
      </c>
    </row>
    <row r="112" spans="1:82" ht="25.5" x14ac:dyDescent="0.25">
      <c r="A112" s="32" t="s">
        <v>276</v>
      </c>
      <c r="B112" s="32">
        <v>29</v>
      </c>
      <c r="C112" s="43" t="s">
        <v>385</v>
      </c>
      <c r="D112" s="109">
        <v>700</v>
      </c>
      <c r="E112" s="109">
        <v>11</v>
      </c>
      <c r="F112" s="145">
        <v>170</v>
      </c>
      <c r="G112" s="32" t="s">
        <v>43</v>
      </c>
      <c r="H112" s="54">
        <v>2011</v>
      </c>
      <c r="I112" s="4">
        <v>40738</v>
      </c>
      <c r="J112" s="54">
        <v>2012</v>
      </c>
      <c r="K112" s="32" t="s">
        <v>63</v>
      </c>
      <c r="L112" s="32" t="s">
        <v>54</v>
      </c>
      <c r="M112" s="32" t="s">
        <v>264</v>
      </c>
      <c r="N112" s="32" t="s">
        <v>60</v>
      </c>
      <c r="O112" s="32" t="s">
        <v>65</v>
      </c>
      <c r="P112" s="32" t="s">
        <v>386</v>
      </c>
      <c r="Q112" s="95" t="s">
        <v>384</v>
      </c>
      <c r="R112" s="32" t="str">
        <f t="shared" si="14"/>
        <v>Single</v>
      </c>
      <c r="S112" s="88">
        <v>2500</v>
      </c>
      <c r="T112" s="4">
        <v>43655</v>
      </c>
      <c r="U112" s="89">
        <f t="shared" si="15"/>
        <v>3</v>
      </c>
      <c r="V112" s="69" t="str">
        <f t="shared" si="16"/>
        <v>July</v>
      </c>
      <c r="BA112" s="17">
        <f t="shared" si="18"/>
        <v>1</v>
      </c>
      <c r="BB112" s="17">
        <f t="shared" si="19"/>
        <v>23</v>
      </c>
      <c r="BC112" s="209">
        <f t="shared" si="20"/>
        <v>340</v>
      </c>
      <c r="BD112" s="277">
        <f t="shared" si="21"/>
        <v>366.77</v>
      </c>
      <c r="BE112" s="17">
        <f t="shared" si="22"/>
        <v>0</v>
      </c>
      <c r="BF112" s="213">
        <f t="shared" si="23"/>
        <v>3206.77</v>
      </c>
      <c r="BG112" s="209">
        <f t="shared" si="24"/>
        <v>706.77</v>
      </c>
    </row>
    <row r="113" spans="1:72" s="23" customFormat="1" ht="26.25" thickBot="1" x14ac:dyDescent="0.3">
      <c r="A113" s="31" t="s">
        <v>276</v>
      </c>
      <c r="B113" s="32">
        <v>29</v>
      </c>
      <c r="C113" s="31" t="s">
        <v>385</v>
      </c>
      <c r="D113" s="109">
        <v>700</v>
      </c>
      <c r="E113" s="109">
        <v>11</v>
      </c>
      <c r="F113" s="145">
        <v>170</v>
      </c>
      <c r="G113" s="31" t="s">
        <v>43</v>
      </c>
      <c r="H113" s="54">
        <v>2011</v>
      </c>
      <c r="I113" s="1">
        <v>40738</v>
      </c>
      <c r="J113" s="54">
        <v>2012</v>
      </c>
      <c r="K113" s="31" t="s">
        <v>63</v>
      </c>
      <c r="L113" s="31" t="s">
        <v>54</v>
      </c>
      <c r="M113" s="54" t="s">
        <v>264</v>
      </c>
      <c r="N113" s="31" t="s">
        <v>60</v>
      </c>
      <c r="O113" s="31" t="s">
        <v>65</v>
      </c>
      <c r="P113" s="31" t="s">
        <v>387</v>
      </c>
      <c r="Q113" s="31" t="s">
        <v>67</v>
      </c>
      <c r="R113" s="32" t="str">
        <f t="shared" si="14"/>
        <v>Single</v>
      </c>
      <c r="S113" s="88">
        <v>2500</v>
      </c>
      <c r="T113" s="27">
        <v>42529</v>
      </c>
      <c r="U113" s="89">
        <f t="shared" si="15"/>
        <v>4</v>
      </c>
      <c r="V113" s="69" t="str">
        <f t="shared" si="16"/>
        <v>June</v>
      </c>
      <c r="AL113" s="179"/>
      <c r="AX113" s="182"/>
      <c r="AY113" s="204"/>
      <c r="AZ113" s="204"/>
      <c r="BA113" s="17">
        <f t="shared" si="18"/>
        <v>1</v>
      </c>
      <c r="BB113" s="17">
        <f t="shared" si="19"/>
        <v>23</v>
      </c>
      <c r="BC113" s="209">
        <f t="shared" si="20"/>
        <v>340</v>
      </c>
      <c r="BD113" s="277">
        <f t="shared" si="21"/>
        <v>366.77</v>
      </c>
      <c r="BE113" s="17">
        <f t="shared" si="22"/>
        <v>0</v>
      </c>
      <c r="BF113" s="213">
        <f t="shared" si="23"/>
        <v>3206.77</v>
      </c>
      <c r="BG113" s="209">
        <f t="shared" si="24"/>
        <v>706.77</v>
      </c>
      <c r="BS113" s="182"/>
      <c r="BT113" s="182"/>
    </row>
    <row r="114" spans="1:72" ht="25.5" x14ac:dyDescent="0.25">
      <c r="A114" s="32" t="s">
        <v>276</v>
      </c>
      <c r="B114" s="32">
        <v>29</v>
      </c>
      <c r="C114" s="44" t="s">
        <v>388</v>
      </c>
      <c r="D114" s="109">
        <v>700</v>
      </c>
      <c r="E114" s="109">
        <v>11</v>
      </c>
      <c r="F114" s="145">
        <v>170</v>
      </c>
      <c r="G114" s="31" t="s">
        <v>43</v>
      </c>
      <c r="H114" s="54">
        <v>2011</v>
      </c>
      <c r="I114" s="51">
        <v>40738</v>
      </c>
      <c r="J114" s="54">
        <v>2012</v>
      </c>
      <c r="K114" s="31" t="s">
        <v>63</v>
      </c>
      <c r="L114" s="31" t="s">
        <v>54</v>
      </c>
      <c r="M114" s="31" t="s">
        <v>264</v>
      </c>
      <c r="N114" s="31" t="s">
        <v>60</v>
      </c>
      <c r="O114" s="31" t="s">
        <v>65</v>
      </c>
      <c r="P114" s="31" t="s">
        <v>389</v>
      </c>
      <c r="Q114" s="110" t="s">
        <v>67</v>
      </c>
      <c r="R114" s="32" t="str">
        <f t="shared" si="14"/>
        <v>Single</v>
      </c>
      <c r="S114" s="88">
        <v>7000</v>
      </c>
      <c r="T114" s="1">
        <v>43297</v>
      </c>
      <c r="U114" s="89">
        <f t="shared" si="15"/>
        <v>2</v>
      </c>
      <c r="V114" s="69" t="str">
        <f t="shared" si="16"/>
        <v>July</v>
      </c>
      <c r="BA114" s="17">
        <f t="shared" si="18"/>
        <v>1</v>
      </c>
      <c r="BB114" s="17">
        <f t="shared" si="19"/>
        <v>23</v>
      </c>
      <c r="BC114" s="209">
        <f t="shared" si="20"/>
        <v>340</v>
      </c>
      <c r="BD114" s="277">
        <f t="shared" si="21"/>
        <v>366.77</v>
      </c>
      <c r="BE114" s="17">
        <f t="shared" si="22"/>
        <v>0</v>
      </c>
      <c r="BF114" s="213">
        <f t="shared" si="23"/>
        <v>7706.77</v>
      </c>
      <c r="BG114" s="209">
        <f t="shared" si="24"/>
        <v>706.77</v>
      </c>
    </row>
    <row r="115" spans="1:72" s="23" customFormat="1" ht="26.25" thickBot="1" x14ac:dyDescent="0.3">
      <c r="A115" s="31" t="s">
        <v>276</v>
      </c>
      <c r="B115" s="32">
        <v>29</v>
      </c>
      <c r="C115" s="44" t="s">
        <v>390</v>
      </c>
      <c r="D115" s="109">
        <v>700</v>
      </c>
      <c r="E115" s="109">
        <v>11</v>
      </c>
      <c r="F115" s="145">
        <v>170</v>
      </c>
      <c r="G115" s="31" t="s">
        <v>43</v>
      </c>
      <c r="H115" s="54">
        <v>2011</v>
      </c>
      <c r="I115" s="1">
        <v>40738</v>
      </c>
      <c r="J115" s="54">
        <v>2012</v>
      </c>
      <c r="K115" s="31" t="s">
        <v>63</v>
      </c>
      <c r="L115" s="31" t="s">
        <v>54</v>
      </c>
      <c r="M115" s="31" t="s">
        <v>264</v>
      </c>
      <c r="N115" s="31" t="s">
        <v>60</v>
      </c>
      <c r="O115" s="31" t="s">
        <v>65</v>
      </c>
      <c r="P115" s="31" t="s">
        <v>391</v>
      </c>
      <c r="Q115" s="110" t="s">
        <v>67</v>
      </c>
      <c r="R115" s="32" t="str">
        <f t="shared" si="14"/>
        <v>Single</v>
      </c>
      <c r="S115" s="88">
        <v>2500</v>
      </c>
      <c r="T115" s="1">
        <v>42921</v>
      </c>
      <c r="U115" s="89">
        <f t="shared" si="15"/>
        <v>4</v>
      </c>
      <c r="V115" s="69" t="str">
        <f t="shared" si="16"/>
        <v>July</v>
      </c>
      <c r="AL115" s="179"/>
      <c r="AX115" s="182"/>
      <c r="AY115" s="204"/>
      <c r="AZ115" s="204"/>
      <c r="BA115" s="17">
        <f t="shared" si="18"/>
        <v>1</v>
      </c>
      <c r="BB115" s="17">
        <f t="shared" si="19"/>
        <v>23</v>
      </c>
      <c r="BC115" s="209">
        <f t="shared" si="20"/>
        <v>340</v>
      </c>
      <c r="BD115" s="277">
        <f t="shared" si="21"/>
        <v>366.77</v>
      </c>
      <c r="BE115" s="17">
        <f t="shared" si="22"/>
        <v>0</v>
      </c>
      <c r="BF115" s="213">
        <f t="shared" si="23"/>
        <v>3206.77</v>
      </c>
      <c r="BG115" s="209">
        <f t="shared" si="24"/>
        <v>706.77</v>
      </c>
      <c r="BS115" s="182"/>
      <c r="BT115" s="182"/>
    </row>
    <row r="116" spans="1:72" s="22" customFormat="1" ht="26.25" thickBot="1" x14ac:dyDescent="0.3">
      <c r="A116" s="32" t="s">
        <v>276</v>
      </c>
      <c r="B116" s="32">
        <v>29</v>
      </c>
      <c r="C116" s="31" t="s">
        <v>385</v>
      </c>
      <c r="D116" s="109">
        <v>700</v>
      </c>
      <c r="E116" s="109">
        <v>11</v>
      </c>
      <c r="F116" s="145">
        <v>170</v>
      </c>
      <c r="G116" s="31" t="s">
        <v>43</v>
      </c>
      <c r="H116" s="54">
        <v>2011</v>
      </c>
      <c r="I116" s="1">
        <v>40738</v>
      </c>
      <c r="J116" s="54">
        <v>2012</v>
      </c>
      <c r="K116" s="31" t="s">
        <v>63</v>
      </c>
      <c r="L116" s="31" t="s">
        <v>54</v>
      </c>
      <c r="M116" s="54" t="s">
        <v>264</v>
      </c>
      <c r="N116" s="31" t="s">
        <v>60</v>
      </c>
      <c r="O116" s="31" t="s">
        <v>65</v>
      </c>
      <c r="P116" s="31" t="s">
        <v>392</v>
      </c>
      <c r="Q116" s="31" t="s">
        <v>67</v>
      </c>
      <c r="R116" s="32" t="str">
        <f t="shared" si="14"/>
        <v>Single</v>
      </c>
      <c r="S116" s="88">
        <v>2500</v>
      </c>
      <c r="T116" s="27">
        <v>42880</v>
      </c>
      <c r="U116" s="89">
        <f t="shared" si="15"/>
        <v>5</v>
      </c>
      <c r="V116" s="69" t="str">
        <f t="shared" si="16"/>
        <v>May</v>
      </c>
      <c r="AL116" s="177"/>
      <c r="AX116" s="187"/>
      <c r="AY116" s="203"/>
      <c r="AZ116" s="203"/>
      <c r="BA116" s="17">
        <f t="shared" si="18"/>
        <v>1</v>
      </c>
      <c r="BB116" s="17">
        <f t="shared" si="19"/>
        <v>23</v>
      </c>
      <c r="BC116" s="209">
        <f t="shared" si="20"/>
        <v>340</v>
      </c>
      <c r="BD116" s="277">
        <f t="shared" si="21"/>
        <v>366.77</v>
      </c>
      <c r="BE116" s="17">
        <f t="shared" si="22"/>
        <v>0</v>
      </c>
      <c r="BF116" s="213">
        <f t="shared" si="23"/>
        <v>3206.77</v>
      </c>
      <c r="BG116" s="209">
        <f t="shared" si="24"/>
        <v>706.77</v>
      </c>
      <c r="BS116" s="187"/>
      <c r="BT116" s="187"/>
    </row>
    <row r="117" spans="1:72" s="22" customFormat="1" ht="26.25" thickBot="1" x14ac:dyDescent="0.3">
      <c r="A117" s="31" t="s">
        <v>276</v>
      </c>
      <c r="B117" s="32">
        <v>29</v>
      </c>
      <c r="C117" s="31" t="s">
        <v>385</v>
      </c>
      <c r="D117" s="109">
        <v>700</v>
      </c>
      <c r="E117" s="109">
        <v>11</v>
      </c>
      <c r="F117" s="145">
        <v>170</v>
      </c>
      <c r="G117" s="54" t="s">
        <v>43</v>
      </c>
      <c r="H117" s="54">
        <v>2011</v>
      </c>
      <c r="I117" s="27">
        <v>40738</v>
      </c>
      <c r="J117" s="54">
        <v>2012</v>
      </c>
      <c r="K117" s="31" t="s">
        <v>63</v>
      </c>
      <c r="L117" s="54" t="s">
        <v>54</v>
      </c>
      <c r="M117" s="54" t="s">
        <v>264</v>
      </c>
      <c r="N117" s="54" t="s">
        <v>60</v>
      </c>
      <c r="O117" s="54" t="s">
        <v>65</v>
      </c>
      <c r="P117" s="54" t="s">
        <v>393</v>
      </c>
      <c r="Q117" s="54" t="s">
        <v>67</v>
      </c>
      <c r="R117" s="32" t="str">
        <f t="shared" si="14"/>
        <v>Single</v>
      </c>
      <c r="S117" s="88">
        <v>750</v>
      </c>
      <c r="T117" s="27">
        <v>42621</v>
      </c>
      <c r="U117" s="89">
        <f t="shared" si="15"/>
        <v>5</v>
      </c>
      <c r="V117" s="69" t="str">
        <f t="shared" si="16"/>
        <v>September</v>
      </c>
      <c r="AL117" s="177"/>
      <c r="AX117" s="187"/>
      <c r="AY117" s="203"/>
      <c r="AZ117" s="203"/>
      <c r="BA117" s="17">
        <f t="shared" si="18"/>
        <v>1</v>
      </c>
      <c r="BB117" s="17">
        <f t="shared" si="19"/>
        <v>23</v>
      </c>
      <c r="BC117" s="209">
        <f t="shared" si="20"/>
        <v>340</v>
      </c>
      <c r="BD117" s="277">
        <f t="shared" si="21"/>
        <v>366.77</v>
      </c>
      <c r="BE117" s="17">
        <f t="shared" si="22"/>
        <v>0</v>
      </c>
      <c r="BF117" s="213">
        <f t="shared" si="23"/>
        <v>1456.77</v>
      </c>
      <c r="BG117" s="209">
        <f t="shared" si="24"/>
        <v>706.77</v>
      </c>
      <c r="BS117" s="187"/>
      <c r="BT117" s="187"/>
    </row>
    <row r="118" spans="1:72" s="22" customFormat="1" ht="26.25" thickBot="1" x14ac:dyDescent="0.3">
      <c r="A118" s="32" t="s">
        <v>276</v>
      </c>
      <c r="B118" s="32">
        <v>29</v>
      </c>
      <c r="C118" s="31" t="s">
        <v>385</v>
      </c>
      <c r="D118" s="109">
        <v>700</v>
      </c>
      <c r="E118" s="109">
        <v>11</v>
      </c>
      <c r="F118" s="145">
        <v>170</v>
      </c>
      <c r="G118" s="31" t="s">
        <v>43</v>
      </c>
      <c r="H118" s="54">
        <v>2011</v>
      </c>
      <c r="I118" s="1">
        <v>40738</v>
      </c>
      <c r="J118" s="54">
        <v>2012</v>
      </c>
      <c r="K118" s="31" t="s">
        <v>63</v>
      </c>
      <c r="L118" s="31" t="s">
        <v>54</v>
      </c>
      <c r="M118" s="54" t="s">
        <v>264</v>
      </c>
      <c r="N118" s="31" t="s">
        <v>60</v>
      </c>
      <c r="O118" s="31" t="s">
        <v>65</v>
      </c>
      <c r="P118" s="31" t="s">
        <v>394</v>
      </c>
      <c r="Q118" s="31" t="s">
        <v>67</v>
      </c>
      <c r="R118" s="32" t="str">
        <f t="shared" si="14"/>
        <v>Single</v>
      </c>
      <c r="S118" s="88">
        <v>750</v>
      </c>
      <c r="T118" s="27">
        <v>42567</v>
      </c>
      <c r="U118" s="89">
        <f t="shared" si="15"/>
        <v>7</v>
      </c>
      <c r="V118" s="69" t="str">
        <f t="shared" si="16"/>
        <v>July</v>
      </c>
      <c r="AL118" s="177"/>
      <c r="AX118" s="187"/>
      <c r="AY118" s="203"/>
      <c r="AZ118" s="203"/>
      <c r="BA118" s="17">
        <f t="shared" si="18"/>
        <v>1</v>
      </c>
      <c r="BB118" s="17">
        <f t="shared" si="19"/>
        <v>23</v>
      </c>
      <c r="BC118" s="209">
        <f t="shared" si="20"/>
        <v>340</v>
      </c>
      <c r="BD118" s="277">
        <f t="shared" si="21"/>
        <v>366.77</v>
      </c>
      <c r="BE118" s="17">
        <f t="shared" si="22"/>
        <v>0</v>
      </c>
      <c r="BF118" s="213">
        <f t="shared" si="23"/>
        <v>1456.77</v>
      </c>
      <c r="BG118" s="209">
        <f t="shared" si="24"/>
        <v>706.77</v>
      </c>
      <c r="BS118" s="187"/>
      <c r="BT118" s="187"/>
    </row>
    <row r="119" spans="1:72" s="22" customFormat="1" ht="26.25" thickBot="1" x14ac:dyDescent="0.3">
      <c r="A119" s="31" t="s">
        <v>276</v>
      </c>
      <c r="B119" s="54">
        <v>29</v>
      </c>
      <c r="C119" s="31" t="s">
        <v>385</v>
      </c>
      <c r="D119" s="109">
        <v>700</v>
      </c>
      <c r="E119" s="109">
        <v>11</v>
      </c>
      <c r="F119" s="145">
        <v>170</v>
      </c>
      <c r="G119" s="54" t="s">
        <v>43</v>
      </c>
      <c r="H119" s="54">
        <v>2011</v>
      </c>
      <c r="I119" s="27">
        <v>40738</v>
      </c>
      <c r="J119" s="54">
        <v>2012</v>
      </c>
      <c r="K119" s="31" t="s">
        <v>63</v>
      </c>
      <c r="L119" s="54" t="s">
        <v>54</v>
      </c>
      <c r="M119" s="54" t="s">
        <v>264</v>
      </c>
      <c r="N119" s="54" t="s">
        <v>60</v>
      </c>
      <c r="O119" s="54" t="s">
        <v>65</v>
      </c>
      <c r="P119" s="54" t="s">
        <v>277</v>
      </c>
      <c r="Q119" s="54" t="s">
        <v>67</v>
      </c>
      <c r="R119" s="32" t="str">
        <f t="shared" si="14"/>
        <v>Single</v>
      </c>
      <c r="S119" s="88">
        <v>2500</v>
      </c>
      <c r="T119" s="27">
        <v>42053</v>
      </c>
      <c r="U119" s="89">
        <f t="shared" si="15"/>
        <v>4</v>
      </c>
      <c r="V119" s="69" t="str">
        <f t="shared" si="16"/>
        <v>February</v>
      </c>
      <c r="AL119" s="177"/>
      <c r="AX119" s="187"/>
      <c r="AY119" s="203"/>
      <c r="AZ119" s="203"/>
      <c r="BA119" s="17">
        <f t="shared" si="18"/>
        <v>1</v>
      </c>
      <c r="BB119" s="17">
        <f t="shared" si="19"/>
        <v>23</v>
      </c>
      <c r="BC119" s="209">
        <f t="shared" si="20"/>
        <v>340</v>
      </c>
      <c r="BD119" s="277">
        <f t="shared" si="21"/>
        <v>366.77</v>
      </c>
      <c r="BE119" s="17">
        <f t="shared" si="22"/>
        <v>0</v>
      </c>
      <c r="BF119" s="213">
        <f t="shared" si="23"/>
        <v>3206.77</v>
      </c>
      <c r="BG119" s="209">
        <f t="shared" si="24"/>
        <v>706.77</v>
      </c>
      <c r="BS119" s="187"/>
      <c r="BT119" s="187"/>
    </row>
    <row r="120" spans="1:72" ht="25.5" x14ac:dyDescent="0.25">
      <c r="A120" s="32" t="s">
        <v>276</v>
      </c>
      <c r="B120" s="54">
        <v>29</v>
      </c>
      <c r="C120" s="31" t="s">
        <v>385</v>
      </c>
      <c r="D120" s="109">
        <v>700</v>
      </c>
      <c r="E120" s="109">
        <v>11</v>
      </c>
      <c r="F120" s="145">
        <v>170</v>
      </c>
      <c r="G120" s="54" t="s">
        <v>43</v>
      </c>
      <c r="H120" s="54">
        <v>2011</v>
      </c>
      <c r="I120" s="27">
        <v>40738</v>
      </c>
      <c r="J120" s="54">
        <v>2012</v>
      </c>
      <c r="K120" s="31" t="s">
        <v>63</v>
      </c>
      <c r="L120" s="54" t="s">
        <v>54</v>
      </c>
      <c r="M120" s="54" t="s">
        <v>264</v>
      </c>
      <c r="N120" s="54" t="s">
        <v>60</v>
      </c>
      <c r="O120" s="54" t="s">
        <v>65</v>
      </c>
      <c r="P120" s="54" t="s">
        <v>395</v>
      </c>
      <c r="Q120" s="54" t="s">
        <v>91</v>
      </c>
      <c r="R120" s="32" t="str">
        <f t="shared" si="14"/>
        <v>Single</v>
      </c>
      <c r="S120" s="88">
        <v>1500</v>
      </c>
      <c r="T120" s="27">
        <v>41934</v>
      </c>
      <c r="U120" s="89">
        <f t="shared" si="15"/>
        <v>4</v>
      </c>
      <c r="V120" s="69" t="str">
        <f t="shared" si="16"/>
        <v>October</v>
      </c>
      <c r="BA120" s="17">
        <f t="shared" si="18"/>
        <v>8</v>
      </c>
      <c r="BB120" s="17">
        <f t="shared" si="19"/>
        <v>30</v>
      </c>
      <c r="BC120" s="209">
        <f t="shared" si="20"/>
        <v>340</v>
      </c>
      <c r="BD120" s="277">
        <f t="shared" si="21"/>
        <v>733.54</v>
      </c>
      <c r="BE120" s="17">
        <f t="shared" si="22"/>
        <v>366.77</v>
      </c>
      <c r="BF120" s="213">
        <f t="shared" si="23"/>
        <v>2940.31</v>
      </c>
      <c r="BG120" s="209">
        <f t="shared" si="24"/>
        <v>1440.31</v>
      </c>
    </row>
    <row r="121" spans="1:72" s="23" customFormat="1" ht="26.25" thickBot="1" x14ac:dyDescent="0.3">
      <c r="A121" s="31" t="s">
        <v>276</v>
      </c>
      <c r="B121" s="33">
        <v>29</v>
      </c>
      <c r="C121" s="34" t="s">
        <v>385</v>
      </c>
      <c r="D121" s="109">
        <v>700</v>
      </c>
      <c r="E121" s="109">
        <v>11</v>
      </c>
      <c r="F121" s="145">
        <v>170</v>
      </c>
      <c r="G121" s="33" t="s">
        <v>43</v>
      </c>
      <c r="H121" s="54">
        <v>2011</v>
      </c>
      <c r="I121" s="28">
        <v>40738</v>
      </c>
      <c r="J121" s="33">
        <v>2012</v>
      </c>
      <c r="K121" s="31" t="s">
        <v>63</v>
      </c>
      <c r="L121" s="33" t="s">
        <v>54</v>
      </c>
      <c r="M121" s="33" t="s">
        <v>264</v>
      </c>
      <c r="N121" s="33" t="s">
        <v>60</v>
      </c>
      <c r="O121" s="33" t="s">
        <v>65</v>
      </c>
      <c r="P121" s="33" t="s">
        <v>277</v>
      </c>
      <c r="Q121" s="33" t="s">
        <v>67</v>
      </c>
      <c r="R121" s="32" t="str">
        <f t="shared" ref="R121:R179" si="26">IF(OR(ISNUMBER(SEARCH("&amp;", Q121)), ISNUMBER(SEARCH(",", Q121))), "Multiple", "Single")</f>
        <v>Single</v>
      </c>
      <c r="S121" s="91">
        <v>2500</v>
      </c>
      <c r="T121" s="28">
        <v>41569</v>
      </c>
      <c r="U121" s="89">
        <f t="shared" ref="U121:U179" si="27">WEEKDAY(T121)</f>
        <v>3</v>
      </c>
      <c r="V121" s="69" t="str">
        <f t="shared" ref="V121:V179" si="28">TEXT(T121,"mmmm")</f>
        <v>October</v>
      </c>
      <c r="AL121" s="179"/>
      <c r="AX121" s="182"/>
      <c r="AY121" s="204"/>
      <c r="AZ121" s="204"/>
      <c r="BA121" s="17">
        <f t="shared" si="18"/>
        <v>1</v>
      </c>
      <c r="BB121" s="17">
        <f t="shared" si="19"/>
        <v>23</v>
      </c>
      <c r="BC121" s="209">
        <f t="shared" si="20"/>
        <v>340</v>
      </c>
      <c r="BD121" s="277">
        <f t="shared" si="21"/>
        <v>366.77</v>
      </c>
      <c r="BE121" s="17">
        <f t="shared" si="22"/>
        <v>0</v>
      </c>
      <c r="BF121" s="213">
        <f t="shared" si="23"/>
        <v>3206.77</v>
      </c>
      <c r="BG121" s="209">
        <f t="shared" si="24"/>
        <v>706.77</v>
      </c>
      <c r="BS121" s="182"/>
      <c r="BT121" s="182"/>
    </row>
    <row r="122" spans="1:72" ht="15.75" thickBot="1" x14ac:dyDescent="0.3">
      <c r="A122" s="116" t="s">
        <v>278</v>
      </c>
      <c r="B122" s="64">
        <v>21</v>
      </c>
      <c r="C122" s="124" t="s">
        <v>267</v>
      </c>
      <c r="D122" s="125">
        <v>10</v>
      </c>
      <c r="E122" s="125">
        <v>1</v>
      </c>
      <c r="F122" s="153">
        <v>30</v>
      </c>
      <c r="G122" s="64" t="s">
        <v>43</v>
      </c>
      <c r="H122" s="64">
        <v>1990</v>
      </c>
      <c r="I122" s="58">
        <v>40719</v>
      </c>
      <c r="J122" s="64">
        <v>2012</v>
      </c>
      <c r="K122" s="64" t="s">
        <v>208</v>
      </c>
      <c r="L122" s="64" t="s">
        <v>54</v>
      </c>
      <c r="M122" s="64" t="s">
        <v>46</v>
      </c>
      <c r="N122" s="64" t="s">
        <v>47</v>
      </c>
      <c r="O122" s="64" t="s">
        <v>48</v>
      </c>
      <c r="P122" s="64" t="s">
        <v>152</v>
      </c>
      <c r="Q122" s="64" t="s">
        <v>67</v>
      </c>
      <c r="R122" s="32" t="str">
        <f t="shared" si="26"/>
        <v>Single</v>
      </c>
      <c r="S122" s="91">
        <v>750</v>
      </c>
      <c r="T122" s="58">
        <v>41450</v>
      </c>
      <c r="U122" s="89">
        <f t="shared" si="27"/>
        <v>3</v>
      </c>
      <c r="V122" s="69" t="str">
        <f t="shared" si="28"/>
        <v>June</v>
      </c>
      <c r="BA122" s="17">
        <f t="shared" si="18"/>
        <v>1</v>
      </c>
      <c r="BB122" s="17">
        <f t="shared" si="19"/>
        <v>3</v>
      </c>
      <c r="BC122" s="209">
        <f t="shared" si="20"/>
        <v>60</v>
      </c>
      <c r="BD122" s="277">
        <f t="shared" si="21"/>
        <v>183.38499999999999</v>
      </c>
      <c r="BE122" s="17">
        <f t="shared" si="22"/>
        <v>0</v>
      </c>
      <c r="BF122" s="213">
        <f t="shared" si="23"/>
        <v>993.38499999999999</v>
      </c>
      <c r="BG122" s="209">
        <f t="shared" si="24"/>
        <v>243.38499999999999</v>
      </c>
    </row>
    <row r="123" spans="1:72" ht="26.25" thickBot="1" x14ac:dyDescent="0.3">
      <c r="A123" s="124" t="s">
        <v>282</v>
      </c>
      <c r="B123" s="64">
        <v>33</v>
      </c>
      <c r="C123" s="124" t="s">
        <v>396</v>
      </c>
      <c r="D123" s="49">
        <v>160</v>
      </c>
      <c r="E123" s="49">
        <v>6</v>
      </c>
      <c r="F123" s="146">
        <v>106</v>
      </c>
      <c r="G123" s="64" t="s">
        <v>43</v>
      </c>
      <c r="H123" s="64">
        <v>2006</v>
      </c>
      <c r="I123" s="58">
        <v>38718</v>
      </c>
      <c r="J123" s="64">
        <v>2006</v>
      </c>
      <c r="K123" s="64" t="s">
        <v>63</v>
      </c>
      <c r="L123" s="64" t="s">
        <v>54</v>
      </c>
      <c r="M123" s="64" t="s">
        <v>46</v>
      </c>
      <c r="N123" s="64" t="s">
        <v>60</v>
      </c>
      <c r="O123" s="64" t="s">
        <v>65</v>
      </c>
      <c r="P123" s="64" t="s">
        <v>397</v>
      </c>
      <c r="Q123" s="64" t="s">
        <v>67</v>
      </c>
      <c r="R123" s="32" t="str">
        <f t="shared" si="26"/>
        <v>Single</v>
      </c>
      <c r="S123" s="91">
        <v>500</v>
      </c>
      <c r="T123" s="126">
        <v>40683</v>
      </c>
      <c r="U123" s="89">
        <f t="shared" si="27"/>
        <v>6</v>
      </c>
      <c r="V123" s="69" t="str">
        <f t="shared" si="28"/>
        <v>May</v>
      </c>
      <c r="BA123" s="17">
        <f t="shared" si="18"/>
        <v>1</v>
      </c>
      <c r="BB123" s="17">
        <f t="shared" si="19"/>
        <v>13</v>
      </c>
      <c r="BC123" s="209">
        <f t="shared" si="20"/>
        <v>212</v>
      </c>
      <c r="BD123" s="277">
        <f t="shared" si="21"/>
        <v>366.77</v>
      </c>
      <c r="BE123" s="17">
        <f t="shared" si="22"/>
        <v>0</v>
      </c>
      <c r="BF123" s="213">
        <f t="shared" si="23"/>
        <v>1078.77</v>
      </c>
      <c r="BG123" s="209">
        <f t="shared" si="24"/>
        <v>578.77</v>
      </c>
    </row>
    <row r="124" spans="1:72" ht="38.25" x14ac:dyDescent="0.25">
      <c r="A124" s="32" t="s">
        <v>284</v>
      </c>
      <c r="B124" s="32">
        <v>63</v>
      </c>
      <c r="C124" s="32" t="s">
        <v>398</v>
      </c>
      <c r="D124" s="32">
        <v>22</v>
      </c>
      <c r="E124" s="32">
        <v>1.66</v>
      </c>
      <c r="F124" s="88">
        <v>40</v>
      </c>
      <c r="G124" s="32" t="s">
        <v>43</v>
      </c>
      <c r="H124" s="37">
        <v>2011</v>
      </c>
      <c r="I124" s="4">
        <v>40649</v>
      </c>
      <c r="J124" s="37">
        <v>2011</v>
      </c>
      <c r="K124" s="32" t="s">
        <v>63</v>
      </c>
      <c r="L124" s="32" t="s">
        <v>54</v>
      </c>
      <c r="M124" s="37" t="s">
        <v>46</v>
      </c>
      <c r="N124" s="32" t="s">
        <v>47</v>
      </c>
      <c r="O124" s="32" t="s">
        <v>48</v>
      </c>
      <c r="P124" s="32" t="s">
        <v>399</v>
      </c>
      <c r="Q124" s="32" t="s">
        <v>183</v>
      </c>
      <c r="R124" s="32" t="str">
        <f t="shared" si="26"/>
        <v>Multiple</v>
      </c>
      <c r="S124" s="88">
        <f>7000+750</f>
        <v>7750</v>
      </c>
      <c r="T124" s="26">
        <v>43020</v>
      </c>
      <c r="U124" s="89">
        <f t="shared" si="27"/>
        <v>5</v>
      </c>
      <c r="V124" s="69" t="str">
        <f t="shared" si="28"/>
        <v>October</v>
      </c>
      <c r="BA124" s="17">
        <f t="shared" si="18"/>
        <v>8</v>
      </c>
      <c r="BB124" s="17">
        <f t="shared" si="19"/>
        <v>11.32</v>
      </c>
      <c r="BC124" s="209">
        <f t="shared" si="20"/>
        <v>80</v>
      </c>
      <c r="BD124" s="277">
        <f t="shared" si="21"/>
        <v>366.77</v>
      </c>
      <c r="BE124" s="17">
        <f t="shared" si="22"/>
        <v>0</v>
      </c>
      <c r="BF124" s="213">
        <f t="shared" si="23"/>
        <v>8196.77</v>
      </c>
      <c r="BG124" s="209">
        <f t="shared" si="24"/>
        <v>446.77</v>
      </c>
    </row>
    <row r="125" spans="1:72" ht="38.25" x14ac:dyDescent="0.25">
      <c r="A125" s="31" t="s">
        <v>284</v>
      </c>
      <c r="B125" s="31">
        <v>63</v>
      </c>
      <c r="C125" s="31" t="s">
        <v>398</v>
      </c>
      <c r="D125" s="32">
        <v>22</v>
      </c>
      <c r="E125" s="32">
        <v>1.66</v>
      </c>
      <c r="F125" s="88">
        <v>40</v>
      </c>
      <c r="G125" s="31" t="s">
        <v>43</v>
      </c>
      <c r="H125" s="54">
        <v>2011</v>
      </c>
      <c r="I125" s="1">
        <v>40649</v>
      </c>
      <c r="J125" s="54">
        <v>2011</v>
      </c>
      <c r="K125" s="31" t="s">
        <v>63</v>
      </c>
      <c r="L125" s="31" t="s">
        <v>54</v>
      </c>
      <c r="M125" s="54" t="s">
        <v>46</v>
      </c>
      <c r="N125" s="31" t="s">
        <v>47</v>
      </c>
      <c r="O125" s="31" t="s">
        <v>48</v>
      </c>
      <c r="P125" s="31" t="s">
        <v>400</v>
      </c>
      <c r="Q125" s="31" t="s">
        <v>67</v>
      </c>
      <c r="R125" s="32" t="str">
        <f t="shared" si="26"/>
        <v>Single</v>
      </c>
      <c r="S125" s="88">
        <v>750</v>
      </c>
      <c r="T125" s="27">
        <v>42881</v>
      </c>
      <c r="U125" s="89">
        <f t="shared" si="27"/>
        <v>6</v>
      </c>
      <c r="V125" s="69" t="str">
        <f t="shared" si="28"/>
        <v>May</v>
      </c>
      <c r="BA125" s="17">
        <f t="shared" si="18"/>
        <v>1</v>
      </c>
      <c r="BB125" s="17">
        <f t="shared" si="19"/>
        <v>4.32</v>
      </c>
      <c r="BC125" s="209">
        <f t="shared" si="20"/>
        <v>80</v>
      </c>
      <c r="BD125" s="277">
        <f t="shared" si="21"/>
        <v>366.77</v>
      </c>
      <c r="BE125" s="17">
        <f t="shared" si="22"/>
        <v>0</v>
      </c>
      <c r="BF125" s="213">
        <f t="shared" si="23"/>
        <v>1196.77</v>
      </c>
      <c r="BG125" s="209">
        <f t="shared" si="24"/>
        <v>446.77</v>
      </c>
    </row>
    <row r="126" spans="1:72" ht="39" thickBot="1" x14ac:dyDescent="0.3">
      <c r="A126" s="34" t="s">
        <v>284</v>
      </c>
      <c r="B126" s="33">
        <v>63</v>
      </c>
      <c r="C126" s="34" t="s">
        <v>398</v>
      </c>
      <c r="D126" s="32">
        <v>22</v>
      </c>
      <c r="E126" s="32">
        <v>1.66</v>
      </c>
      <c r="F126" s="88">
        <v>40</v>
      </c>
      <c r="G126" s="33" t="s">
        <v>43</v>
      </c>
      <c r="H126" s="33">
        <v>2011</v>
      </c>
      <c r="I126" s="28">
        <v>40649</v>
      </c>
      <c r="J126" s="33">
        <v>2011</v>
      </c>
      <c r="K126" s="33" t="s">
        <v>63</v>
      </c>
      <c r="L126" s="33" t="s">
        <v>54</v>
      </c>
      <c r="M126" s="33" t="s">
        <v>46</v>
      </c>
      <c r="N126" s="33" t="s">
        <v>47</v>
      </c>
      <c r="O126" s="33" t="s">
        <v>48</v>
      </c>
      <c r="P126" s="33" t="s">
        <v>401</v>
      </c>
      <c r="Q126" s="33" t="s">
        <v>67</v>
      </c>
      <c r="R126" s="32" t="str">
        <f t="shared" si="26"/>
        <v>Single</v>
      </c>
      <c r="S126" s="91">
        <v>350</v>
      </c>
      <c r="T126" s="28">
        <v>41195</v>
      </c>
      <c r="U126" s="89">
        <f t="shared" si="27"/>
        <v>7</v>
      </c>
      <c r="V126" s="69" t="str">
        <f t="shared" si="28"/>
        <v>October</v>
      </c>
      <c r="BA126" s="17">
        <f t="shared" si="18"/>
        <v>1</v>
      </c>
      <c r="BB126" s="17">
        <f t="shared" si="19"/>
        <v>4.32</v>
      </c>
      <c r="BC126" s="209">
        <f t="shared" si="20"/>
        <v>80</v>
      </c>
      <c r="BD126" s="277">
        <f t="shared" si="21"/>
        <v>366.77</v>
      </c>
      <c r="BE126" s="17">
        <f t="shared" si="22"/>
        <v>0</v>
      </c>
      <c r="BF126" s="213">
        <f t="shared" si="23"/>
        <v>796.77</v>
      </c>
      <c r="BG126" s="209">
        <f t="shared" si="24"/>
        <v>446.77</v>
      </c>
    </row>
    <row r="127" spans="1:72" ht="26.25" thickBot="1" x14ac:dyDescent="0.3">
      <c r="A127" s="116" t="s">
        <v>287</v>
      </c>
      <c r="B127" s="64">
        <v>34</v>
      </c>
      <c r="C127" s="124" t="s">
        <v>402</v>
      </c>
      <c r="D127" s="125">
        <v>16</v>
      </c>
      <c r="E127" s="125">
        <v>1.25</v>
      </c>
      <c r="F127" s="153">
        <v>35</v>
      </c>
      <c r="G127" s="64" t="s">
        <v>43</v>
      </c>
      <c r="H127" s="64">
        <v>2012</v>
      </c>
      <c r="I127" s="58">
        <v>40645</v>
      </c>
      <c r="J127" s="64">
        <v>2012</v>
      </c>
      <c r="K127" s="64" t="s">
        <v>63</v>
      </c>
      <c r="L127" s="64" t="s">
        <v>45</v>
      </c>
      <c r="M127" s="64" t="s">
        <v>64</v>
      </c>
      <c r="N127" s="64" t="s">
        <v>60</v>
      </c>
      <c r="O127" s="64" t="s">
        <v>65</v>
      </c>
      <c r="P127" s="64" t="s">
        <v>277</v>
      </c>
      <c r="Q127" s="64" t="s">
        <v>67</v>
      </c>
      <c r="R127" s="32" t="str">
        <f t="shared" si="26"/>
        <v>Single</v>
      </c>
      <c r="S127" s="91">
        <v>2500</v>
      </c>
      <c r="T127" s="58">
        <v>41512</v>
      </c>
      <c r="U127" s="89">
        <f t="shared" si="27"/>
        <v>2</v>
      </c>
      <c r="V127" s="69" t="str">
        <f t="shared" si="28"/>
        <v>August</v>
      </c>
      <c r="BA127" s="17">
        <f t="shared" si="18"/>
        <v>1</v>
      </c>
      <c r="BB127" s="17">
        <f t="shared" si="19"/>
        <v>3.5</v>
      </c>
      <c r="BC127" s="209">
        <f t="shared" si="20"/>
        <v>70</v>
      </c>
      <c r="BD127" s="277">
        <f t="shared" si="21"/>
        <v>183.38499999999999</v>
      </c>
      <c r="BE127" s="17">
        <f t="shared" si="22"/>
        <v>0</v>
      </c>
      <c r="BF127" s="213">
        <f t="shared" si="23"/>
        <v>2753.3850000000002</v>
      </c>
      <c r="BG127" s="209">
        <f t="shared" si="24"/>
        <v>253.38499999999999</v>
      </c>
    </row>
    <row r="128" spans="1:72" ht="26.25" thickBot="1" x14ac:dyDescent="0.3">
      <c r="A128" s="116" t="s">
        <v>290</v>
      </c>
      <c r="B128" s="64">
        <v>40</v>
      </c>
      <c r="C128" s="116" t="s">
        <v>403</v>
      </c>
      <c r="D128" s="117">
        <v>10</v>
      </c>
      <c r="E128" s="117">
        <v>1</v>
      </c>
      <c r="F128" s="151">
        <v>30</v>
      </c>
      <c r="G128" s="64" t="s">
        <v>43</v>
      </c>
      <c r="H128" s="64">
        <v>2005</v>
      </c>
      <c r="I128" s="58">
        <v>38353</v>
      </c>
      <c r="J128" s="64">
        <v>2005</v>
      </c>
      <c r="K128" s="64" t="s">
        <v>63</v>
      </c>
      <c r="L128" s="64" t="s">
        <v>54</v>
      </c>
      <c r="M128" s="64" t="s">
        <v>46</v>
      </c>
      <c r="N128" s="64" t="s">
        <v>60</v>
      </c>
      <c r="O128" s="64" t="s">
        <v>65</v>
      </c>
      <c r="P128" s="64" t="s">
        <v>152</v>
      </c>
      <c r="Q128" s="64" t="s">
        <v>67</v>
      </c>
      <c r="R128" s="32" t="str">
        <f t="shared" si="26"/>
        <v>Single</v>
      </c>
      <c r="S128" s="91">
        <v>750</v>
      </c>
      <c r="T128" s="58">
        <v>40644</v>
      </c>
      <c r="U128" s="89">
        <f t="shared" si="27"/>
        <v>2</v>
      </c>
      <c r="V128" s="69" t="str">
        <f t="shared" si="28"/>
        <v>April</v>
      </c>
      <c r="BA128" s="17">
        <f t="shared" si="18"/>
        <v>1</v>
      </c>
      <c r="BB128" s="17">
        <f t="shared" si="19"/>
        <v>3</v>
      </c>
      <c r="BC128" s="209">
        <f t="shared" si="20"/>
        <v>60</v>
      </c>
      <c r="BD128" s="277">
        <f t="shared" si="21"/>
        <v>183.38499999999999</v>
      </c>
      <c r="BE128" s="17">
        <f t="shared" si="22"/>
        <v>0</v>
      </c>
      <c r="BF128" s="213">
        <f t="shared" si="23"/>
        <v>993.38499999999999</v>
      </c>
      <c r="BG128" s="209">
        <f t="shared" si="24"/>
        <v>243.38499999999999</v>
      </c>
    </row>
    <row r="129" spans="1:72" ht="26.25" thickBot="1" x14ac:dyDescent="0.3">
      <c r="A129" s="6" t="s">
        <v>291</v>
      </c>
      <c r="B129" s="64">
        <v>42</v>
      </c>
      <c r="C129" s="6" t="s">
        <v>156</v>
      </c>
      <c r="D129" s="49">
        <v>7.5</v>
      </c>
      <c r="E129" s="49">
        <v>0.75</v>
      </c>
      <c r="F129" s="146">
        <v>25</v>
      </c>
      <c r="G129" s="64" t="s">
        <v>43</v>
      </c>
      <c r="H129" s="64">
        <v>2010</v>
      </c>
      <c r="I129" s="58">
        <v>40630</v>
      </c>
      <c r="J129" s="64">
        <v>2010</v>
      </c>
      <c r="K129" s="64" t="s">
        <v>63</v>
      </c>
      <c r="L129" s="64" t="s">
        <v>45</v>
      </c>
      <c r="M129" s="64" t="s">
        <v>46</v>
      </c>
      <c r="N129" s="64" t="s">
        <v>60</v>
      </c>
      <c r="O129" s="64" t="s">
        <v>65</v>
      </c>
      <c r="P129" s="64" t="s">
        <v>356</v>
      </c>
      <c r="Q129" s="64" t="s">
        <v>91</v>
      </c>
      <c r="R129" s="32" t="str">
        <f t="shared" si="26"/>
        <v>Single</v>
      </c>
      <c r="S129" s="91">
        <v>750</v>
      </c>
      <c r="T129" s="6">
        <v>40630</v>
      </c>
      <c r="U129" s="89">
        <f t="shared" si="27"/>
        <v>2</v>
      </c>
      <c r="V129" s="69" t="str">
        <f t="shared" si="28"/>
        <v>March</v>
      </c>
      <c r="BA129" s="17">
        <f t="shared" si="18"/>
        <v>8</v>
      </c>
      <c r="BB129" s="17">
        <f t="shared" si="19"/>
        <v>9.5</v>
      </c>
      <c r="BC129" s="209">
        <f t="shared" si="20"/>
        <v>50</v>
      </c>
      <c r="BD129" s="277">
        <f t="shared" si="21"/>
        <v>366.77</v>
      </c>
      <c r="BE129" s="17">
        <f t="shared" si="22"/>
        <v>0</v>
      </c>
      <c r="BF129" s="213">
        <f t="shared" si="23"/>
        <v>1166.77</v>
      </c>
      <c r="BG129" s="209">
        <f t="shared" si="24"/>
        <v>416.77</v>
      </c>
    </row>
    <row r="130" spans="1:72" ht="38.25" x14ac:dyDescent="0.25">
      <c r="A130" s="32" t="s">
        <v>293</v>
      </c>
      <c r="B130" s="32">
        <v>12</v>
      </c>
      <c r="C130" s="32" t="s">
        <v>404</v>
      </c>
      <c r="D130" s="32">
        <v>7</v>
      </c>
      <c r="E130" s="32">
        <v>0.75</v>
      </c>
      <c r="F130" s="88">
        <v>22</v>
      </c>
      <c r="G130" s="32" t="s">
        <v>43</v>
      </c>
      <c r="H130" s="37">
        <v>2009</v>
      </c>
      <c r="I130" s="4">
        <v>40521</v>
      </c>
      <c r="J130" s="37">
        <v>2011</v>
      </c>
      <c r="K130" s="32" t="s">
        <v>208</v>
      </c>
      <c r="L130" s="32" t="s">
        <v>45</v>
      </c>
      <c r="M130" s="37" t="s">
        <v>64</v>
      </c>
      <c r="N130" s="32" t="s">
        <v>47</v>
      </c>
      <c r="O130" s="32" t="s">
        <v>48</v>
      </c>
      <c r="P130" s="32" t="s">
        <v>405</v>
      </c>
      <c r="Q130" s="32" t="s">
        <v>91</v>
      </c>
      <c r="R130" s="32" t="str">
        <f t="shared" si="26"/>
        <v>Single</v>
      </c>
      <c r="S130" s="88">
        <v>500</v>
      </c>
      <c r="T130" s="26">
        <v>42733</v>
      </c>
      <c r="U130" s="89">
        <f t="shared" si="27"/>
        <v>5</v>
      </c>
      <c r="V130" s="69" t="str">
        <f t="shared" si="28"/>
        <v>December</v>
      </c>
      <c r="BA130" s="17">
        <f t="shared" si="18"/>
        <v>8</v>
      </c>
      <c r="BB130" s="17">
        <f t="shared" si="19"/>
        <v>9.5</v>
      </c>
      <c r="BC130" s="209">
        <f t="shared" si="20"/>
        <v>88</v>
      </c>
      <c r="BD130" s="277">
        <f t="shared" si="21"/>
        <v>309.89</v>
      </c>
      <c r="BE130" s="17">
        <f t="shared" si="22"/>
        <v>619.78</v>
      </c>
      <c r="BF130" s="213">
        <f t="shared" si="23"/>
        <v>1517.67</v>
      </c>
      <c r="BG130" s="209">
        <f t="shared" si="24"/>
        <v>1017.67</v>
      </c>
    </row>
    <row r="131" spans="1:72" s="23" customFormat="1" ht="39" thickBot="1" x14ac:dyDescent="0.3">
      <c r="A131" s="31" t="s">
        <v>293</v>
      </c>
      <c r="B131" s="54">
        <v>12</v>
      </c>
      <c r="C131" s="31" t="s">
        <v>404</v>
      </c>
      <c r="D131" s="32">
        <v>7</v>
      </c>
      <c r="E131" s="32">
        <v>0.75</v>
      </c>
      <c r="F131" s="88">
        <v>22</v>
      </c>
      <c r="G131" s="54" t="s">
        <v>43</v>
      </c>
      <c r="H131" s="54">
        <v>2009</v>
      </c>
      <c r="I131" s="27">
        <v>40521</v>
      </c>
      <c r="J131" s="54">
        <v>2011</v>
      </c>
      <c r="K131" s="54" t="s">
        <v>208</v>
      </c>
      <c r="L131" s="54" t="s">
        <v>45</v>
      </c>
      <c r="M131" s="54" t="s">
        <v>64</v>
      </c>
      <c r="N131" s="32" t="s">
        <v>47</v>
      </c>
      <c r="O131" s="32" t="s">
        <v>48</v>
      </c>
      <c r="P131" s="54" t="s">
        <v>406</v>
      </c>
      <c r="Q131" s="54" t="s">
        <v>91</v>
      </c>
      <c r="R131" s="32" t="str">
        <f t="shared" si="26"/>
        <v>Single</v>
      </c>
      <c r="S131" s="88">
        <v>7000</v>
      </c>
      <c r="T131" s="27">
        <v>42124</v>
      </c>
      <c r="U131" s="89">
        <f t="shared" si="27"/>
        <v>5</v>
      </c>
      <c r="V131" s="69" t="str">
        <f t="shared" si="28"/>
        <v>April</v>
      </c>
      <c r="AL131" s="179"/>
      <c r="AX131" s="182"/>
      <c r="AY131" s="204"/>
      <c r="AZ131" s="204"/>
      <c r="BA131" s="17">
        <f t="shared" ref="BA131:BA179" si="29">IF(OR(ISNUMBER(SEARCH("major", Q131))), 8, 1)</f>
        <v>8</v>
      </c>
      <c r="BB131" s="17">
        <f t="shared" ref="BB131:BB179" si="30">(E131*2)+BA131</f>
        <v>9.5</v>
      </c>
      <c r="BC131" s="209">
        <f t="shared" ref="BC131:BC179" si="31">IF(B131&lt;18, 4*F131, 2*F131)</f>
        <v>88</v>
      </c>
      <c r="BD131" s="277">
        <f t="shared" ref="BD131:BD179" si="32">IF(B131&gt;=18, IF(G131="Male", IF(BB131&gt;24, 2*366.77, IF(BB131&gt;=4, 366.77, 0.5*366.77)), IF(BB131&gt;24, 2*252.79, IF(BB131&gt;=4, 252.79, 0.5*252.79))), IF(BB131&gt;24, 2*309.89, IF(BB131&gt;=4, 309.89, 0.5*309.89)))</f>
        <v>309.89</v>
      </c>
      <c r="BE131" s="17">
        <f t="shared" ref="BE131:BE179" si="33">IF(B131&gt;=18, IF(G131="Male", IF(BB131&gt;24, 366.77, 0), IF(BB131&gt;24, 252.79, 0)), 2*309.89)</f>
        <v>619.78</v>
      </c>
      <c r="BF131" s="213">
        <f t="shared" ref="BF131:BF179" si="34">S131+BC131+BD131+BE131</f>
        <v>8017.67</v>
      </c>
      <c r="BG131" s="209">
        <f t="shared" ref="BG131:BG179" si="35">BC131+BD131+BE131</f>
        <v>1017.67</v>
      </c>
      <c r="BS131" s="182"/>
      <c r="BT131" s="182"/>
    </row>
    <row r="132" spans="1:72" s="22" customFormat="1" ht="39" thickBot="1" x14ac:dyDescent="0.3">
      <c r="A132" s="31" t="s">
        <v>293</v>
      </c>
      <c r="B132" s="32">
        <v>12</v>
      </c>
      <c r="C132" s="31" t="s">
        <v>404</v>
      </c>
      <c r="D132" s="32">
        <v>7</v>
      </c>
      <c r="E132" s="32">
        <v>0.75</v>
      </c>
      <c r="F132" s="88">
        <v>22</v>
      </c>
      <c r="G132" s="54" t="s">
        <v>43</v>
      </c>
      <c r="H132" s="54">
        <v>2009</v>
      </c>
      <c r="I132" s="27">
        <v>40521</v>
      </c>
      <c r="J132" s="54">
        <v>2011</v>
      </c>
      <c r="K132" s="54" t="s">
        <v>208</v>
      </c>
      <c r="L132" s="54" t="s">
        <v>45</v>
      </c>
      <c r="M132" s="54" t="s">
        <v>64</v>
      </c>
      <c r="N132" s="54" t="s">
        <v>47</v>
      </c>
      <c r="O132" s="54" t="s">
        <v>48</v>
      </c>
      <c r="P132" s="54" t="s">
        <v>292</v>
      </c>
      <c r="Q132" s="54" t="s">
        <v>91</v>
      </c>
      <c r="R132" s="32" t="str">
        <f t="shared" si="26"/>
        <v>Single</v>
      </c>
      <c r="S132" s="88">
        <v>5000</v>
      </c>
      <c r="T132" s="27">
        <v>42185</v>
      </c>
      <c r="U132" s="89">
        <f t="shared" si="27"/>
        <v>3</v>
      </c>
      <c r="V132" s="69" t="str">
        <f t="shared" si="28"/>
        <v>June</v>
      </c>
      <c r="AL132" s="177"/>
      <c r="AX132" s="187"/>
      <c r="AY132" s="203"/>
      <c r="AZ132" s="203"/>
      <c r="BA132" s="17">
        <f t="shared" si="29"/>
        <v>8</v>
      </c>
      <c r="BB132" s="17">
        <f t="shared" si="30"/>
        <v>9.5</v>
      </c>
      <c r="BC132" s="209">
        <f t="shared" si="31"/>
        <v>88</v>
      </c>
      <c r="BD132" s="277">
        <f t="shared" si="32"/>
        <v>309.89</v>
      </c>
      <c r="BE132" s="17">
        <f t="shared" si="33"/>
        <v>619.78</v>
      </c>
      <c r="BF132" s="213">
        <f t="shared" si="34"/>
        <v>6017.67</v>
      </c>
      <c r="BG132" s="209">
        <f t="shared" si="35"/>
        <v>1017.67</v>
      </c>
      <c r="BS132" s="187"/>
      <c r="BT132" s="187"/>
    </row>
    <row r="133" spans="1:72" s="22" customFormat="1" ht="39" thickBot="1" x14ac:dyDescent="0.3">
      <c r="A133" s="31" t="s">
        <v>293</v>
      </c>
      <c r="B133" s="32">
        <v>12</v>
      </c>
      <c r="C133" s="31" t="s">
        <v>404</v>
      </c>
      <c r="D133" s="32">
        <v>7</v>
      </c>
      <c r="E133" s="32">
        <v>0.75</v>
      </c>
      <c r="F133" s="88">
        <v>22</v>
      </c>
      <c r="G133" s="54" t="s">
        <v>43</v>
      </c>
      <c r="H133" s="54">
        <v>2009</v>
      </c>
      <c r="I133" s="27">
        <v>40521</v>
      </c>
      <c r="J133" s="54">
        <v>2011</v>
      </c>
      <c r="K133" s="54" t="s">
        <v>208</v>
      </c>
      <c r="L133" s="54" t="s">
        <v>45</v>
      </c>
      <c r="M133" s="54" t="s">
        <v>64</v>
      </c>
      <c r="N133" s="54" t="s">
        <v>47</v>
      </c>
      <c r="O133" s="54" t="s">
        <v>48</v>
      </c>
      <c r="P133" s="54" t="s">
        <v>152</v>
      </c>
      <c r="Q133" s="54" t="s">
        <v>67</v>
      </c>
      <c r="R133" s="32" t="str">
        <f t="shared" si="26"/>
        <v>Single</v>
      </c>
      <c r="S133" s="88">
        <v>750</v>
      </c>
      <c r="T133" s="27">
        <v>41997</v>
      </c>
      <c r="U133" s="89">
        <f t="shared" si="27"/>
        <v>4</v>
      </c>
      <c r="V133" s="69" t="str">
        <f t="shared" si="28"/>
        <v>December</v>
      </c>
      <c r="AL133" s="177"/>
      <c r="AX133" s="187"/>
      <c r="AY133" s="203"/>
      <c r="AZ133" s="203"/>
      <c r="BA133" s="17">
        <f t="shared" si="29"/>
        <v>1</v>
      </c>
      <c r="BB133" s="17">
        <f t="shared" si="30"/>
        <v>2.5</v>
      </c>
      <c r="BC133" s="209">
        <f t="shared" si="31"/>
        <v>88</v>
      </c>
      <c r="BD133" s="277">
        <f t="shared" si="32"/>
        <v>154.94499999999999</v>
      </c>
      <c r="BE133" s="17">
        <f t="shared" si="33"/>
        <v>619.78</v>
      </c>
      <c r="BF133" s="213">
        <f t="shared" si="34"/>
        <v>1612.7249999999999</v>
      </c>
      <c r="BG133" s="209">
        <f t="shared" si="35"/>
        <v>862.72499999999991</v>
      </c>
      <c r="BS133" s="187"/>
      <c r="BT133" s="187"/>
    </row>
    <row r="134" spans="1:72" ht="38.25" x14ac:dyDescent="0.25">
      <c r="A134" s="31" t="s">
        <v>293</v>
      </c>
      <c r="B134" s="32">
        <v>12</v>
      </c>
      <c r="C134" s="31" t="s">
        <v>404</v>
      </c>
      <c r="D134" s="32">
        <v>7</v>
      </c>
      <c r="E134" s="32">
        <v>0.75</v>
      </c>
      <c r="F134" s="88">
        <v>22</v>
      </c>
      <c r="G134" s="54" t="s">
        <v>43</v>
      </c>
      <c r="H134" s="54">
        <v>2009</v>
      </c>
      <c r="I134" s="27">
        <v>40521</v>
      </c>
      <c r="J134" s="54">
        <v>2011</v>
      </c>
      <c r="K134" s="54" t="s">
        <v>208</v>
      </c>
      <c r="L134" s="54" t="s">
        <v>45</v>
      </c>
      <c r="M134" s="54" t="s">
        <v>64</v>
      </c>
      <c r="N134" s="54" t="s">
        <v>47</v>
      </c>
      <c r="O134" s="54" t="s">
        <v>48</v>
      </c>
      <c r="P134" s="54" t="s">
        <v>407</v>
      </c>
      <c r="Q134" s="54" t="s">
        <v>91</v>
      </c>
      <c r="R134" s="32" t="str">
        <f t="shared" si="26"/>
        <v>Single</v>
      </c>
      <c r="S134" s="88">
        <v>5000</v>
      </c>
      <c r="T134" s="27">
        <v>41887</v>
      </c>
      <c r="U134" s="89">
        <f t="shared" si="27"/>
        <v>6</v>
      </c>
      <c r="V134" s="69" t="str">
        <f t="shared" si="28"/>
        <v>September</v>
      </c>
      <c r="BA134" s="17">
        <f t="shared" si="29"/>
        <v>8</v>
      </c>
      <c r="BB134" s="17">
        <f t="shared" si="30"/>
        <v>9.5</v>
      </c>
      <c r="BC134" s="209">
        <f t="shared" si="31"/>
        <v>88</v>
      </c>
      <c r="BD134" s="277">
        <f t="shared" si="32"/>
        <v>309.89</v>
      </c>
      <c r="BE134" s="17">
        <f t="shared" si="33"/>
        <v>619.78</v>
      </c>
      <c r="BF134" s="213">
        <f t="shared" si="34"/>
        <v>6017.67</v>
      </c>
      <c r="BG134" s="209">
        <f t="shared" si="35"/>
        <v>1017.67</v>
      </c>
    </row>
    <row r="135" spans="1:72" ht="39" thickBot="1" x14ac:dyDescent="0.3">
      <c r="A135" s="34" t="s">
        <v>293</v>
      </c>
      <c r="B135" s="32">
        <v>12</v>
      </c>
      <c r="C135" s="34" t="s">
        <v>404</v>
      </c>
      <c r="D135" s="32">
        <v>7</v>
      </c>
      <c r="E135" s="32">
        <v>0.75</v>
      </c>
      <c r="F135" s="88">
        <v>22</v>
      </c>
      <c r="G135" s="33" t="s">
        <v>43</v>
      </c>
      <c r="H135" s="33">
        <v>2009</v>
      </c>
      <c r="I135" s="28">
        <v>40521</v>
      </c>
      <c r="J135" s="33">
        <v>2011</v>
      </c>
      <c r="K135" s="33" t="s">
        <v>208</v>
      </c>
      <c r="L135" s="33" t="s">
        <v>45</v>
      </c>
      <c r="M135" s="33" t="s">
        <v>64</v>
      </c>
      <c r="N135" s="33" t="s">
        <v>47</v>
      </c>
      <c r="O135" s="33" t="s">
        <v>48</v>
      </c>
      <c r="P135" s="33" t="s">
        <v>407</v>
      </c>
      <c r="Q135" s="33" t="s">
        <v>91</v>
      </c>
      <c r="R135" s="32" t="str">
        <f t="shared" si="26"/>
        <v>Single</v>
      </c>
      <c r="S135" s="91">
        <v>5000</v>
      </c>
      <c r="T135" s="28">
        <v>41840</v>
      </c>
      <c r="U135" s="89">
        <f t="shared" si="27"/>
        <v>1</v>
      </c>
      <c r="V135" s="69" t="str">
        <f t="shared" si="28"/>
        <v>July</v>
      </c>
      <c r="BA135" s="17">
        <f t="shared" si="29"/>
        <v>8</v>
      </c>
      <c r="BB135" s="17">
        <f t="shared" si="30"/>
        <v>9.5</v>
      </c>
      <c r="BC135" s="209">
        <f t="shared" si="31"/>
        <v>88</v>
      </c>
      <c r="BD135" s="277">
        <f t="shared" si="32"/>
        <v>309.89</v>
      </c>
      <c r="BE135" s="17">
        <f t="shared" si="33"/>
        <v>619.78</v>
      </c>
      <c r="BF135" s="213">
        <f t="shared" si="34"/>
        <v>6017.67</v>
      </c>
      <c r="BG135" s="209">
        <f t="shared" si="35"/>
        <v>1017.67</v>
      </c>
    </row>
    <row r="136" spans="1:72" s="23" customFormat="1" ht="39" thickBot="1" x14ac:dyDescent="0.3">
      <c r="A136" s="58" t="s">
        <v>297</v>
      </c>
      <c r="B136" s="64">
        <v>47</v>
      </c>
      <c r="C136" s="58" t="s">
        <v>267</v>
      </c>
      <c r="D136" s="163">
        <v>10</v>
      </c>
      <c r="E136" s="163">
        <v>1</v>
      </c>
      <c r="F136" s="151">
        <v>30</v>
      </c>
      <c r="G136" s="64" t="s">
        <v>43</v>
      </c>
      <c r="H136" s="64">
        <v>2013</v>
      </c>
      <c r="I136" s="58">
        <v>40459</v>
      </c>
      <c r="J136" s="64">
        <v>2013</v>
      </c>
      <c r="K136" s="64" t="s">
        <v>44</v>
      </c>
      <c r="L136" s="32" t="s">
        <v>205</v>
      </c>
      <c r="M136" s="64" t="s">
        <v>46</v>
      </c>
      <c r="N136" s="64" t="s">
        <v>408</v>
      </c>
      <c r="O136" s="64" t="s">
        <v>48</v>
      </c>
      <c r="P136" s="64" t="s">
        <v>152</v>
      </c>
      <c r="Q136" s="64" t="s">
        <v>67</v>
      </c>
      <c r="R136" s="32" t="str">
        <f t="shared" si="26"/>
        <v>Single</v>
      </c>
      <c r="S136" s="91">
        <v>750</v>
      </c>
      <c r="T136" s="58">
        <v>41893</v>
      </c>
      <c r="U136" s="89">
        <f t="shared" si="27"/>
        <v>5</v>
      </c>
      <c r="V136" s="69" t="str">
        <f t="shared" si="28"/>
        <v>September</v>
      </c>
      <c r="AL136" s="179"/>
      <c r="AX136" s="182"/>
      <c r="AY136" s="204"/>
      <c r="AZ136" s="204"/>
      <c r="BA136" s="17">
        <f t="shared" si="29"/>
        <v>1</v>
      </c>
      <c r="BB136" s="17">
        <f t="shared" si="30"/>
        <v>3</v>
      </c>
      <c r="BC136" s="209">
        <f t="shared" si="31"/>
        <v>60</v>
      </c>
      <c r="BD136" s="277">
        <f t="shared" si="32"/>
        <v>183.38499999999999</v>
      </c>
      <c r="BE136" s="17">
        <f t="shared" si="33"/>
        <v>0</v>
      </c>
      <c r="BF136" s="213">
        <f t="shared" si="34"/>
        <v>993.38499999999999</v>
      </c>
      <c r="BG136" s="209">
        <f t="shared" si="35"/>
        <v>243.38499999999999</v>
      </c>
      <c r="BS136" s="182"/>
      <c r="BT136" s="182"/>
    </row>
    <row r="137" spans="1:72" s="22" customFormat="1" ht="26.25" thickBot="1" x14ac:dyDescent="0.3">
      <c r="A137" s="64" t="s">
        <v>300</v>
      </c>
      <c r="B137" s="64">
        <v>54</v>
      </c>
      <c r="C137" s="124" t="s">
        <v>409</v>
      </c>
      <c r="D137" s="115">
        <v>80</v>
      </c>
      <c r="E137" s="115">
        <v>3.25</v>
      </c>
      <c r="F137" s="151">
        <v>84</v>
      </c>
      <c r="G137" s="64" t="s">
        <v>43</v>
      </c>
      <c r="H137" s="64">
        <v>2010</v>
      </c>
      <c r="I137" s="58">
        <v>40337</v>
      </c>
      <c r="J137" s="64">
        <v>2011</v>
      </c>
      <c r="K137" s="64" t="s">
        <v>63</v>
      </c>
      <c r="L137" s="64" t="s">
        <v>45</v>
      </c>
      <c r="M137" s="64" t="s">
        <v>64</v>
      </c>
      <c r="N137" s="64" t="s">
        <v>47</v>
      </c>
      <c r="O137" s="64" t="s">
        <v>48</v>
      </c>
      <c r="P137" s="64" t="s">
        <v>410</v>
      </c>
      <c r="Q137" s="64" t="s">
        <v>91</v>
      </c>
      <c r="R137" s="32" t="str">
        <f t="shared" si="26"/>
        <v>Single</v>
      </c>
      <c r="S137" s="91">
        <v>5000</v>
      </c>
      <c r="T137" s="58">
        <v>42443</v>
      </c>
      <c r="U137" s="89">
        <f t="shared" si="27"/>
        <v>2</v>
      </c>
      <c r="V137" s="69" t="str">
        <f t="shared" si="28"/>
        <v>March</v>
      </c>
      <c r="AL137" s="177"/>
      <c r="AX137" s="187"/>
      <c r="AY137" s="203"/>
      <c r="AZ137" s="203"/>
      <c r="BA137" s="17">
        <f t="shared" si="29"/>
        <v>8</v>
      </c>
      <c r="BB137" s="17">
        <f t="shared" si="30"/>
        <v>14.5</v>
      </c>
      <c r="BC137" s="209">
        <f t="shared" si="31"/>
        <v>168</v>
      </c>
      <c r="BD137" s="277">
        <f t="shared" si="32"/>
        <v>366.77</v>
      </c>
      <c r="BE137" s="17">
        <f t="shared" si="33"/>
        <v>0</v>
      </c>
      <c r="BF137" s="213">
        <f t="shared" si="34"/>
        <v>5534.77</v>
      </c>
      <c r="BG137" s="209">
        <f t="shared" si="35"/>
        <v>534.77</v>
      </c>
      <c r="BS137" s="187"/>
      <c r="BT137" s="187"/>
    </row>
    <row r="138" spans="1:72" s="22" customFormat="1" ht="39" thickBot="1" x14ac:dyDescent="0.3">
      <c r="A138" s="49" t="s">
        <v>303</v>
      </c>
      <c r="B138" s="49">
        <v>77</v>
      </c>
      <c r="C138" s="49" t="s">
        <v>411</v>
      </c>
      <c r="D138" s="49">
        <v>13</v>
      </c>
      <c r="E138" s="49">
        <v>1</v>
      </c>
      <c r="F138" s="146">
        <v>35</v>
      </c>
      <c r="G138" s="49" t="s">
        <v>43</v>
      </c>
      <c r="H138" s="64">
        <v>2010</v>
      </c>
      <c r="I138" s="6">
        <v>40336</v>
      </c>
      <c r="J138" s="64">
        <v>2011</v>
      </c>
      <c r="K138" s="49" t="s">
        <v>63</v>
      </c>
      <c r="L138" s="49" t="s">
        <v>54</v>
      </c>
      <c r="M138" s="64" t="s">
        <v>46</v>
      </c>
      <c r="N138" s="49" t="s">
        <v>47</v>
      </c>
      <c r="O138" s="49" t="s">
        <v>48</v>
      </c>
      <c r="P138" s="49" t="s">
        <v>412</v>
      </c>
      <c r="Q138" s="49" t="s">
        <v>67</v>
      </c>
      <c r="R138" s="32" t="str">
        <f t="shared" si="26"/>
        <v>Single</v>
      </c>
      <c r="S138" s="91">
        <v>200</v>
      </c>
      <c r="T138" s="58">
        <v>43099</v>
      </c>
      <c r="U138" s="89">
        <f t="shared" si="27"/>
        <v>7</v>
      </c>
      <c r="V138" s="69" t="str">
        <f t="shared" si="28"/>
        <v>December</v>
      </c>
      <c r="AL138" s="177"/>
      <c r="AX138" s="187"/>
      <c r="AY138" s="203"/>
      <c r="AZ138" s="203"/>
      <c r="BA138" s="17">
        <f t="shared" si="29"/>
        <v>1</v>
      </c>
      <c r="BB138" s="17">
        <f t="shared" si="30"/>
        <v>3</v>
      </c>
      <c r="BC138" s="209">
        <f t="shared" si="31"/>
        <v>70</v>
      </c>
      <c r="BD138" s="277">
        <f t="shared" si="32"/>
        <v>183.38499999999999</v>
      </c>
      <c r="BE138" s="17">
        <f t="shared" si="33"/>
        <v>0</v>
      </c>
      <c r="BF138" s="213">
        <f t="shared" si="34"/>
        <v>453.38499999999999</v>
      </c>
      <c r="BG138" s="209">
        <f t="shared" si="35"/>
        <v>253.38499999999999</v>
      </c>
      <c r="BS138" s="187"/>
      <c r="BT138" s="187"/>
    </row>
    <row r="139" spans="1:72" s="22" customFormat="1" ht="26.25" thickBot="1" x14ac:dyDescent="0.3">
      <c r="A139" s="64" t="s">
        <v>305</v>
      </c>
      <c r="B139" s="64">
        <v>35</v>
      </c>
      <c r="C139" s="64" t="s">
        <v>413</v>
      </c>
      <c r="D139" s="115">
        <v>345</v>
      </c>
      <c r="E139" s="115">
        <v>8</v>
      </c>
      <c r="F139" s="151">
        <v>408</v>
      </c>
      <c r="G139" s="64" t="s">
        <v>43</v>
      </c>
      <c r="H139" s="64">
        <v>2009</v>
      </c>
      <c r="I139" s="58">
        <v>40141</v>
      </c>
      <c r="J139" s="64">
        <v>2009</v>
      </c>
      <c r="K139" s="64" t="s">
        <v>44</v>
      </c>
      <c r="L139" s="64" t="s">
        <v>54</v>
      </c>
      <c r="M139" s="64" t="s">
        <v>46</v>
      </c>
      <c r="N139" s="64" t="s">
        <v>47</v>
      </c>
      <c r="O139" s="64" t="s">
        <v>48</v>
      </c>
      <c r="P139" s="64" t="s">
        <v>152</v>
      </c>
      <c r="Q139" s="64" t="s">
        <v>67</v>
      </c>
      <c r="R139" s="32" t="str">
        <f t="shared" si="26"/>
        <v>Single</v>
      </c>
      <c r="S139" s="91">
        <v>750</v>
      </c>
      <c r="T139" s="58">
        <v>40745</v>
      </c>
      <c r="U139" s="89">
        <f t="shared" si="27"/>
        <v>5</v>
      </c>
      <c r="V139" s="69" t="str">
        <f t="shared" si="28"/>
        <v>July</v>
      </c>
      <c r="AL139" s="177"/>
      <c r="AX139" s="187"/>
      <c r="AY139" s="203"/>
      <c r="AZ139" s="203"/>
      <c r="BA139" s="17">
        <f t="shared" si="29"/>
        <v>1</v>
      </c>
      <c r="BB139" s="17">
        <f t="shared" si="30"/>
        <v>17</v>
      </c>
      <c r="BC139" s="209">
        <f t="shared" si="31"/>
        <v>816</v>
      </c>
      <c r="BD139" s="277">
        <f t="shared" si="32"/>
        <v>366.77</v>
      </c>
      <c r="BE139" s="17">
        <f t="shared" si="33"/>
        <v>0</v>
      </c>
      <c r="BF139" s="213">
        <f t="shared" si="34"/>
        <v>1932.77</v>
      </c>
      <c r="BG139" s="209">
        <f t="shared" si="35"/>
        <v>1182.77</v>
      </c>
      <c r="BS139" s="187"/>
      <c r="BT139" s="187"/>
    </row>
    <row r="140" spans="1:72" ht="26.25" thickBot="1" x14ac:dyDescent="0.3">
      <c r="A140" s="64" t="s">
        <v>307</v>
      </c>
      <c r="B140" s="64">
        <v>60</v>
      </c>
      <c r="C140" s="127" t="s">
        <v>414</v>
      </c>
      <c r="D140" s="128">
        <v>340</v>
      </c>
      <c r="E140" s="128">
        <v>7.5</v>
      </c>
      <c r="F140" s="154">
        <v>190</v>
      </c>
      <c r="G140" s="64" t="s">
        <v>43</v>
      </c>
      <c r="H140" s="64">
        <v>2008</v>
      </c>
      <c r="I140" s="58">
        <v>39951</v>
      </c>
      <c r="J140" s="64">
        <v>2009</v>
      </c>
      <c r="K140" s="64" t="s">
        <v>63</v>
      </c>
      <c r="L140" s="64" t="s">
        <v>54</v>
      </c>
      <c r="M140" s="64" t="s">
        <v>264</v>
      </c>
      <c r="N140" s="64" t="s">
        <v>60</v>
      </c>
      <c r="O140" s="64" t="s">
        <v>65</v>
      </c>
      <c r="P140" s="64" t="s">
        <v>277</v>
      </c>
      <c r="Q140" s="64" t="s">
        <v>67</v>
      </c>
      <c r="R140" s="32" t="str">
        <f t="shared" si="26"/>
        <v>Single</v>
      </c>
      <c r="S140" s="91">
        <v>2500</v>
      </c>
      <c r="T140" s="58">
        <v>41229</v>
      </c>
      <c r="U140" s="89">
        <f t="shared" si="27"/>
        <v>6</v>
      </c>
      <c r="V140" s="69" t="str">
        <f t="shared" si="28"/>
        <v>November</v>
      </c>
      <c r="BA140" s="17">
        <f t="shared" si="29"/>
        <v>1</v>
      </c>
      <c r="BB140" s="17">
        <f t="shared" si="30"/>
        <v>16</v>
      </c>
      <c r="BC140" s="209">
        <f t="shared" si="31"/>
        <v>380</v>
      </c>
      <c r="BD140" s="277">
        <f t="shared" si="32"/>
        <v>366.77</v>
      </c>
      <c r="BE140" s="17">
        <f t="shared" si="33"/>
        <v>0</v>
      </c>
      <c r="BF140" s="213">
        <f t="shared" si="34"/>
        <v>3246.77</v>
      </c>
      <c r="BG140" s="209">
        <f t="shared" si="35"/>
        <v>746.77</v>
      </c>
    </row>
    <row r="141" spans="1:72" ht="26.25" thickBot="1" x14ac:dyDescent="0.3">
      <c r="A141" s="49" t="s">
        <v>309</v>
      </c>
      <c r="B141" s="49">
        <v>40</v>
      </c>
      <c r="C141" s="49" t="s">
        <v>415</v>
      </c>
      <c r="D141" s="49">
        <v>360</v>
      </c>
      <c r="E141" s="49">
        <v>11</v>
      </c>
      <c r="F141" s="146">
        <v>215</v>
      </c>
      <c r="G141" s="49" t="s">
        <v>43</v>
      </c>
      <c r="H141" s="64">
        <v>2008</v>
      </c>
      <c r="I141" s="6">
        <v>39842</v>
      </c>
      <c r="J141" s="64">
        <v>2008</v>
      </c>
      <c r="K141" s="49" t="s">
        <v>44</v>
      </c>
      <c r="L141" s="49" t="s">
        <v>54</v>
      </c>
      <c r="M141" s="64" t="s">
        <v>46</v>
      </c>
      <c r="N141" s="49" t="s">
        <v>60</v>
      </c>
      <c r="O141" s="49" t="s">
        <v>65</v>
      </c>
      <c r="P141" s="49" t="s">
        <v>416</v>
      </c>
      <c r="Q141" s="49" t="s">
        <v>67</v>
      </c>
      <c r="R141" s="32" t="str">
        <f t="shared" si="26"/>
        <v>Single</v>
      </c>
      <c r="S141" s="91">
        <v>750</v>
      </c>
      <c r="T141" s="58">
        <v>43168</v>
      </c>
      <c r="U141" s="89">
        <f t="shared" si="27"/>
        <v>6</v>
      </c>
      <c r="V141" s="69" t="str">
        <f t="shared" si="28"/>
        <v>March</v>
      </c>
      <c r="BA141" s="17">
        <f t="shared" si="29"/>
        <v>1</v>
      </c>
      <c r="BB141" s="17">
        <f t="shared" si="30"/>
        <v>23</v>
      </c>
      <c r="BC141" s="209">
        <f t="shared" si="31"/>
        <v>430</v>
      </c>
      <c r="BD141" s="277">
        <f t="shared" si="32"/>
        <v>366.77</v>
      </c>
      <c r="BE141" s="17">
        <f t="shared" si="33"/>
        <v>0</v>
      </c>
      <c r="BF141" s="213">
        <f t="shared" si="34"/>
        <v>1546.77</v>
      </c>
      <c r="BG141" s="209">
        <f t="shared" si="35"/>
        <v>796.77</v>
      </c>
    </row>
    <row r="142" spans="1:72" ht="26.25" thickBot="1" x14ac:dyDescent="0.3">
      <c r="A142" s="64" t="s">
        <v>311</v>
      </c>
      <c r="B142" s="64">
        <v>44</v>
      </c>
      <c r="C142" s="64" t="s">
        <v>267</v>
      </c>
      <c r="D142" s="115">
        <v>10</v>
      </c>
      <c r="E142" s="115">
        <v>1</v>
      </c>
      <c r="F142" s="151">
        <v>30</v>
      </c>
      <c r="G142" s="64" t="s">
        <v>43</v>
      </c>
      <c r="H142" s="64">
        <v>2008</v>
      </c>
      <c r="I142" s="58">
        <v>39716</v>
      </c>
      <c r="J142" s="64">
        <v>2008</v>
      </c>
      <c r="K142" s="64" t="s">
        <v>63</v>
      </c>
      <c r="L142" s="64" t="s">
        <v>54</v>
      </c>
      <c r="M142" s="64" t="s">
        <v>46</v>
      </c>
      <c r="N142" s="64" t="s">
        <v>47</v>
      </c>
      <c r="O142" s="64" t="s">
        <v>48</v>
      </c>
      <c r="P142" s="64" t="s">
        <v>345</v>
      </c>
      <c r="Q142" s="64" t="s">
        <v>67</v>
      </c>
      <c r="R142" s="32" t="str">
        <f t="shared" si="26"/>
        <v>Single</v>
      </c>
      <c r="S142" s="91">
        <v>750</v>
      </c>
      <c r="T142" s="58">
        <v>42530</v>
      </c>
      <c r="U142" s="89">
        <f t="shared" si="27"/>
        <v>5</v>
      </c>
      <c r="V142" s="69" t="str">
        <f t="shared" si="28"/>
        <v>June</v>
      </c>
      <c r="BA142" s="17">
        <f t="shared" si="29"/>
        <v>1</v>
      </c>
      <c r="BB142" s="17">
        <f t="shared" si="30"/>
        <v>3</v>
      </c>
      <c r="BC142" s="209">
        <f t="shared" si="31"/>
        <v>60</v>
      </c>
      <c r="BD142" s="277">
        <f t="shared" si="32"/>
        <v>183.38499999999999</v>
      </c>
      <c r="BE142" s="17">
        <f t="shared" si="33"/>
        <v>0</v>
      </c>
      <c r="BF142" s="213">
        <f t="shared" si="34"/>
        <v>993.38499999999999</v>
      </c>
      <c r="BG142" s="209">
        <f t="shared" si="35"/>
        <v>243.38499999999999</v>
      </c>
    </row>
    <row r="143" spans="1:72" ht="26.25" thickBot="1" x14ac:dyDescent="0.3">
      <c r="A143" s="116" t="s">
        <v>313</v>
      </c>
      <c r="B143" s="64">
        <v>34</v>
      </c>
      <c r="C143" s="124" t="s">
        <v>417</v>
      </c>
      <c r="D143" s="125">
        <v>50</v>
      </c>
      <c r="E143" s="125">
        <v>2</v>
      </c>
      <c r="F143" s="153">
        <v>85</v>
      </c>
      <c r="G143" s="64" t="s">
        <v>43</v>
      </c>
      <c r="H143" s="64">
        <v>2008</v>
      </c>
      <c r="I143" s="58">
        <v>39520</v>
      </c>
      <c r="J143" s="64">
        <v>2008</v>
      </c>
      <c r="K143" s="64" t="s">
        <v>63</v>
      </c>
      <c r="L143" s="64" t="s">
        <v>54</v>
      </c>
      <c r="M143" s="64" t="s">
        <v>46</v>
      </c>
      <c r="N143" s="64" t="s">
        <v>47</v>
      </c>
      <c r="O143" s="64" t="s">
        <v>48</v>
      </c>
      <c r="P143" s="64" t="s">
        <v>152</v>
      </c>
      <c r="Q143" s="64" t="s">
        <v>67</v>
      </c>
      <c r="R143" s="32" t="str">
        <f t="shared" si="26"/>
        <v>Single</v>
      </c>
      <c r="S143" s="91">
        <v>750</v>
      </c>
      <c r="T143" s="58">
        <v>41096</v>
      </c>
      <c r="U143" s="89">
        <f t="shared" si="27"/>
        <v>6</v>
      </c>
      <c r="V143" s="69" t="str">
        <f t="shared" si="28"/>
        <v>July</v>
      </c>
      <c r="BA143" s="17">
        <f t="shared" si="29"/>
        <v>1</v>
      </c>
      <c r="BB143" s="17">
        <f t="shared" si="30"/>
        <v>5</v>
      </c>
      <c r="BC143" s="209">
        <f t="shared" si="31"/>
        <v>170</v>
      </c>
      <c r="BD143" s="277">
        <f t="shared" si="32"/>
        <v>366.77</v>
      </c>
      <c r="BE143" s="17">
        <f t="shared" si="33"/>
        <v>0</v>
      </c>
      <c r="BF143" s="213">
        <f t="shared" si="34"/>
        <v>1286.77</v>
      </c>
      <c r="BG143" s="209">
        <f t="shared" si="35"/>
        <v>536.77</v>
      </c>
    </row>
    <row r="144" spans="1:72" ht="25.5" x14ac:dyDescent="0.25">
      <c r="A144" s="118" t="s">
        <v>315</v>
      </c>
      <c r="B144" s="37">
        <v>33</v>
      </c>
      <c r="C144" s="108" t="s">
        <v>418</v>
      </c>
      <c r="D144" s="121">
        <v>300</v>
      </c>
      <c r="E144" s="121">
        <v>6.5</v>
      </c>
      <c r="F144" s="152">
        <v>150</v>
      </c>
      <c r="G144" s="37" t="s">
        <v>43</v>
      </c>
      <c r="H144" s="37">
        <v>2007</v>
      </c>
      <c r="I144" s="26">
        <v>39420</v>
      </c>
      <c r="J144" s="37">
        <v>2008</v>
      </c>
      <c r="K144" s="37" t="s">
        <v>63</v>
      </c>
      <c r="L144" s="37" t="s">
        <v>54</v>
      </c>
      <c r="M144" s="37" t="s">
        <v>46</v>
      </c>
      <c r="N144" s="37" t="s">
        <v>60</v>
      </c>
      <c r="O144" s="37" t="s">
        <v>65</v>
      </c>
      <c r="P144" s="37" t="s">
        <v>419</v>
      </c>
      <c r="Q144" s="37" t="s">
        <v>308</v>
      </c>
      <c r="R144" s="32" t="str">
        <f t="shared" si="26"/>
        <v>Multiple</v>
      </c>
      <c r="S144" s="88">
        <f>350+750</f>
        <v>1100</v>
      </c>
      <c r="T144" s="26">
        <v>41773</v>
      </c>
      <c r="U144" s="89">
        <f t="shared" si="27"/>
        <v>4</v>
      </c>
      <c r="V144" s="69" t="str">
        <f t="shared" si="28"/>
        <v>May</v>
      </c>
      <c r="BA144" s="17">
        <f t="shared" si="29"/>
        <v>8</v>
      </c>
      <c r="BB144" s="17">
        <f t="shared" si="30"/>
        <v>21</v>
      </c>
      <c r="BC144" s="209">
        <f t="shared" si="31"/>
        <v>300</v>
      </c>
      <c r="BD144" s="277">
        <f t="shared" si="32"/>
        <v>366.77</v>
      </c>
      <c r="BE144" s="17">
        <f t="shared" si="33"/>
        <v>0</v>
      </c>
      <c r="BF144" s="213">
        <f t="shared" si="34"/>
        <v>1766.77</v>
      </c>
      <c r="BG144" s="209">
        <f t="shared" si="35"/>
        <v>666.77</v>
      </c>
    </row>
    <row r="145" spans="1:72" s="23" customFormat="1" ht="26.25" thickBot="1" x14ac:dyDescent="0.3">
      <c r="A145" s="122" t="s">
        <v>315</v>
      </c>
      <c r="B145" s="54">
        <v>33</v>
      </c>
      <c r="C145" s="107" t="s">
        <v>418</v>
      </c>
      <c r="D145" s="121">
        <v>300</v>
      </c>
      <c r="E145" s="121">
        <v>6.5</v>
      </c>
      <c r="F145" s="152">
        <v>150</v>
      </c>
      <c r="G145" s="54" t="s">
        <v>43</v>
      </c>
      <c r="H145" s="54">
        <v>2007</v>
      </c>
      <c r="I145" s="27">
        <v>39420</v>
      </c>
      <c r="J145" s="54">
        <v>2008</v>
      </c>
      <c r="K145" s="54" t="s">
        <v>63</v>
      </c>
      <c r="L145" s="54" t="s">
        <v>54</v>
      </c>
      <c r="M145" s="54" t="s">
        <v>46</v>
      </c>
      <c r="N145" s="54" t="s">
        <v>60</v>
      </c>
      <c r="O145" s="54" t="s">
        <v>65</v>
      </c>
      <c r="P145" s="54" t="s">
        <v>356</v>
      </c>
      <c r="Q145" s="54" t="s">
        <v>91</v>
      </c>
      <c r="R145" s="32" t="str">
        <f t="shared" si="26"/>
        <v>Single</v>
      </c>
      <c r="S145" s="88">
        <v>750</v>
      </c>
      <c r="T145" s="27">
        <v>41279</v>
      </c>
      <c r="U145" s="89">
        <f t="shared" si="27"/>
        <v>7</v>
      </c>
      <c r="V145" s="69" t="str">
        <f t="shared" si="28"/>
        <v>January</v>
      </c>
      <c r="AL145" s="179"/>
      <c r="AX145" s="182"/>
      <c r="AY145" s="204"/>
      <c r="AZ145" s="204"/>
      <c r="BA145" s="17">
        <f t="shared" si="29"/>
        <v>8</v>
      </c>
      <c r="BB145" s="17">
        <f t="shared" si="30"/>
        <v>21</v>
      </c>
      <c r="BC145" s="209">
        <f t="shared" si="31"/>
        <v>300</v>
      </c>
      <c r="BD145" s="277">
        <f t="shared" si="32"/>
        <v>366.77</v>
      </c>
      <c r="BE145" s="17">
        <f t="shared" si="33"/>
        <v>0</v>
      </c>
      <c r="BF145" s="213">
        <f t="shared" si="34"/>
        <v>1416.77</v>
      </c>
      <c r="BG145" s="209">
        <f t="shared" si="35"/>
        <v>666.77</v>
      </c>
      <c r="BS145" s="182"/>
      <c r="BT145" s="182"/>
    </row>
    <row r="146" spans="1:72" s="22" customFormat="1" ht="26.25" thickBot="1" x14ac:dyDescent="0.3">
      <c r="A146" s="118" t="s">
        <v>315</v>
      </c>
      <c r="B146" s="54">
        <v>33</v>
      </c>
      <c r="C146" s="107" t="s">
        <v>418</v>
      </c>
      <c r="D146" s="121">
        <v>300</v>
      </c>
      <c r="E146" s="121">
        <v>6.5</v>
      </c>
      <c r="F146" s="152">
        <v>150</v>
      </c>
      <c r="G146" s="54" t="s">
        <v>43</v>
      </c>
      <c r="H146" s="54">
        <v>2007</v>
      </c>
      <c r="I146" s="27">
        <v>39420</v>
      </c>
      <c r="J146" s="54">
        <v>2008</v>
      </c>
      <c r="K146" s="54" t="s">
        <v>63</v>
      </c>
      <c r="L146" s="54" t="s">
        <v>54</v>
      </c>
      <c r="M146" s="54" t="s">
        <v>46</v>
      </c>
      <c r="N146" s="54" t="s">
        <v>60</v>
      </c>
      <c r="O146" s="54" t="s">
        <v>65</v>
      </c>
      <c r="P146" s="54" t="s">
        <v>277</v>
      </c>
      <c r="Q146" s="54" t="s">
        <v>67</v>
      </c>
      <c r="R146" s="32" t="str">
        <f t="shared" si="26"/>
        <v>Single</v>
      </c>
      <c r="S146" s="88">
        <v>2500</v>
      </c>
      <c r="T146" s="27">
        <v>41189</v>
      </c>
      <c r="U146" s="89">
        <f t="shared" si="27"/>
        <v>1</v>
      </c>
      <c r="V146" s="69" t="str">
        <f t="shared" si="28"/>
        <v>October</v>
      </c>
      <c r="AL146" s="177"/>
      <c r="AX146" s="187"/>
      <c r="AY146" s="203"/>
      <c r="AZ146" s="203"/>
      <c r="BA146" s="17">
        <f t="shared" si="29"/>
        <v>1</v>
      </c>
      <c r="BB146" s="17">
        <f t="shared" si="30"/>
        <v>14</v>
      </c>
      <c r="BC146" s="209">
        <f t="shared" si="31"/>
        <v>300</v>
      </c>
      <c r="BD146" s="277">
        <f t="shared" si="32"/>
        <v>366.77</v>
      </c>
      <c r="BE146" s="17">
        <f t="shared" si="33"/>
        <v>0</v>
      </c>
      <c r="BF146" s="213">
        <f t="shared" si="34"/>
        <v>3166.77</v>
      </c>
      <c r="BG146" s="209">
        <f t="shared" si="35"/>
        <v>666.77</v>
      </c>
      <c r="BS146" s="187"/>
      <c r="BT146" s="187"/>
    </row>
    <row r="147" spans="1:72" s="22" customFormat="1" ht="26.25" thickBot="1" x14ac:dyDescent="0.3">
      <c r="A147" s="119" t="s">
        <v>315</v>
      </c>
      <c r="B147" s="33">
        <v>33</v>
      </c>
      <c r="C147" s="123" t="s">
        <v>418</v>
      </c>
      <c r="D147" s="121">
        <v>300</v>
      </c>
      <c r="E147" s="121">
        <v>6.5</v>
      </c>
      <c r="F147" s="152">
        <v>150</v>
      </c>
      <c r="G147" s="33" t="s">
        <v>43</v>
      </c>
      <c r="H147" s="33">
        <v>2007</v>
      </c>
      <c r="I147" s="28">
        <v>39420</v>
      </c>
      <c r="J147" s="33">
        <v>2008</v>
      </c>
      <c r="K147" s="33" t="s">
        <v>63</v>
      </c>
      <c r="L147" s="33" t="s">
        <v>54</v>
      </c>
      <c r="M147" s="33" t="s">
        <v>46</v>
      </c>
      <c r="N147" s="33" t="s">
        <v>60</v>
      </c>
      <c r="O147" s="33" t="s">
        <v>65</v>
      </c>
      <c r="P147" s="33" t="s">
        <v>420</v>
      </c>
      <c r="Q147" s="33" t="s">
        <v>308</v>
      </c>
      <c r="R147" s="32" t="str">
        <f t="shared" si="26"/>
        <v>Multiple</v>
      </c>
      <c r="S147" s="91">
        <f>350+750</f>
        <v>1100</v>
      </c>
      <c r="T147" s="28">
        <v>41093</v>
      </c>
      <c r="U147" s="89">
        <f t="shared" si="27"/>
        <v>3</v>
      </c>
      <c r="V147" s="69" t="str">
        <f t="shared" si="28"/>
        <v>July</v>
      </c>
      <c r="AL147" s="177"/>
      <c r="AX147" s="187"/>
      <c r="AY147" s="203"/>
      <c r="AZ147" s="203"/>
      <c r="BA147" s="17">
        <f t="shared" si="29"/>
        <v>8</v>
      </c>
      <c r="BB147" s="17">
        <f t="shared" si="30"/>
        <v>21</v>
      </c>
      <c r="BC147" s="209">
        <f t="shared" si="31"/>
        <v>300</v>
      </c>
      <c r="BD147" s="277">
        <f t="shared" si="32"/>
        <v>366.77</v>
      </c>
      <c r="BE147" s="17">
        <f t="shared" si="33"/>
        <v>0</v>
      </c>
      <c r="BF147" s="213">
        <f t="shared" si="34"/>
        <v>1766.77</v>
      </c>
      <c r="BG147" s="209">
        <f t="shared" si="35"/>
        <v>666.77</v>
      </c>
      <c r="BS147" s="187"/>
      <c r="BT147" s="187"/>
    </row>
    <row r="148" spans="1:72" s="22" customFormat="1" ht="39" thickBot="1" x14ac:dyDescent="0.3">
      <c r="A148" s="49" t="s">
        <v>318</v>
      </c>
      <c r="B148" s="49">
        <v>44</v>
      </c>
      <c r="C148" s="49" t="s">
        <v>421</v>
      </c>
      <c r="D148" s="49">
        <v>23</v>
      </c>
      <c r="E148" s="49">
        <v>1.5</v>
      </c>
      <c r="F148" s="146">
        <v>23</v>
      </c>
      <c r="G148" s="49" t="s">
        <v>43</v>
      </c>
      <c r="H148" s="64">
        <v>2005</v>
      </c>
      <c r="I148" s="6">
        <v>38698</v>
      </c>
      <c r="J148" s="64">
        <v>2005</v>
      </c>
      <c r="K148" s="49" t="s">
        <v>63</v>
      </c>
      <c r="L148" s="49" t="s">
        <v>45</v>
      </c>
      <c r="M148" s="64" t="s">
        <v>46</v>
      </c>
      <c r="N148" s="49" t="s">
        <v>47</v>
      </c>
      <c r="O148" s="49" t="s">
        <v>48</v>
      </c>
      <c r="P148" s="49" t="s">
        <v>422</v>
      </c>
      <c r="Q148" s="49" t="s">
        <v>67</v>
      </c>
      <c r="R148" s="32" t="str">
        <f t="shared" si="26"/>
        <v>Single</v>
      </c>
      <c r="S148" s="91">
        <f>750+500</f>
        <v>1250</v>
      </c>
      <c r="T148" s="58">
        <v>40182</v>
      </c>
      <c r="U148" s="89">
        <f t="shared" si="27"/>
        <v>2</v>
      </c>
      <c r="V148" s="69" t="str">
        <f t="shared" si="28"/>
        <v>January</v>
      </c>
      <c r="AL148" s="177"/>
      <c r="AX148" s="187"/>
      <c r="AY148" s="203"/>
      <c r="AZ148" s="203"/>
      <c r="BA148" s="17">
        <f t="shared" si="29"/>
        <v>1</v>
      </c>
      <c r="BB148" s="17">
        <f t="shared" si="30"/>
        <v>4</v>
      </c>
      <c r="BC148" s="209">
        <f t="shared" si="31"/>
        <v>46</v>
      </c>
      <c r="BD148" s="277">
        <f t="shared" si="32"/>
        <v>366.77</v>
      </c>
      <c r="BE148" s="17">
        <f t="shared" si="33"/>
        <v>0</v>
      </c>
      <c r="BF148" s="213">
        <f t="shared" si="34"/>
        <v>1662.77</v>
      </c>
      <c r="BG148" s="209">
        <f t="shared" si="35"/>
        <v>412.77</v>
      </c>
      <c r="BS148" s="187"/>
      <c r="BT148" s="187"/>
    </row>
    <row r="149" spans="1:72" s="22" customFormat="1" ht="26.25" thickBot="1" x14ac:dyDescent="0.3">
      <c r="A149" s="116" t="s">
        <v>320</v>
      </c>
      <c r="B149" s="64">
        <v>36</v>
      </c>
      <c r="C149" s="116" t="s">
        <v>267</v>
      </c>
      <c r="D149" s="117">
        <v>10</v>
      </c>
      <c r="E149" s="117">
        <v>1</v>
      </c>
      <c r="F149" s="151">
        <v>30</v>
      </c>
      <c r="G149" s="64" t="s">
        <v>89</v>
      </c>
      <c r="H149" s="64">
        <v>2005</v>
      </c>
      <c r="I149" s="58">
        <v>38539</v>
      </c>
      <c r="J149" s="64">
        <v>2006</v>
      </c>
      <c r="K149" s="64" t="s">
        <v>63</v>
      </c>
      <c r="L149" s="64" t="s">
        <v>54</v>
      </c>
      <c r="M149" s="64" t="s">
        <v>46</v>
      </c>
      <c r="N149" s="64" t="s">
        <v>60</v>
      </c>
      <c r="O149" s="64" t="s">
        <v>65</v>
      </c>
      <c r="P149" s="64" t="s">
        <v>356</v>
      </c>
      <c r="Q149" s="64" t="s">
        <v>91</v>
      </c>
      <c r="R149" s="32" t="str">
        <f t="shared" si="26"/>
        <v>Single</v>
      </c>
      <c r="S149" s="91">
        <v>750</v>
      </c>
      <c r="T149" s="58">
        <v>41149</v>
      </c>
      <c r="U149" s="89">
        <f t="shared" si="27"/>
        <v>3</v>
      </c>
      <c r="V149" s="69" t="str">
        <f t="shared" si="28"/>
        <v>August</v>
      </c>
      <c r="AL149" s="177"/>
      <c r="AX149" s="187"/>
      <c r="AY149" s="203"/>
      <c r="AZ149" s="203"/>
      <c r="BA149" s="17">
        <f t="shared" si="29"/>
        <v>8</v>
      </c>
      <c r="BB149" s="17">
        <f t="shared" si="30"/>
        <v>10</v>
      </c>
      <c r="BC149" s="209">
        <f t="shared" si="31"/>
        <v>60</v>
      </c>
      <c r="BD149" s="277">
        <f t="shared" si="32"/>
        <v>252.79</v>
      </c>
      <c r="BE149" s="17">
        <f t="shared" si="33"/>
        <v>0</v>
      </c>
      <c r="BF149" s="213">
        <f t="shared" si="34"/>
        <v>1062.79</v>
      </c>
      <c r="BG149" s="209">
        <f t="shared" si="35"/>
        <v>312.78999999999996</v>
      </c>
      <c r="BS149" s="187"/>
      <c r="BT149" s="187"/>
    </row>
    <row r="150" spans="1:72" s="22" customFormat="1" ht="26.25" thickBot="1" x14ac:dyDescent="0.3">
      <c r="A150" s="116" t="s">
        <v>322</v>
      </c>
      <c r="B150" s="64">
        <v>46</v>
      </c>
      <c r="C150" s="64" t="s">
        <v>423</v>
      </c>
      <c r="D150" s="115">
        <v>80</v>
      </c>
      <c r="E150" s="115">
        <v>3.25</v>
      </c>
      <c r="F150" s="151">
        <v>84</v>
      </c>
      <c r="G150" s="64" t="s">
        <v>43</v>
      </c>
      <c r="H150" s="64">
        <v>2005</v>
      </c>
      <c r="I150" s="58">
        <v>38479</v>
      </c>
      <c r="J150" s="64">
        <v>2006</v>
      </c>
      <c r="K150" s="64" t="s">
        <v>63</v>
      </c>
      <c r="L150" s="64" t="s">
        <v>54</v>
      </c>
      <c r="M150" s="64" t="s">
        <v>46</v>
      </c>
      <c r="N150" s="64" t="s">
        <v>60</v>
      </c>
      <c r="O150" s="64" t="s">
        <v>65</v>
      </c>
      <c r="P150" s="64" t="s">
        <v>424</v>
      </c>
      <c r="Q150" s="64" t="s">
        <v>67</v>
      </c>
      <c r="R150" s="32" t="str">
        <f t="shared" si="26"/>
        <v>Single</v>
      </c>
      <c r="S150" s="91">
        <v>1500</v>
      </c>
      <c r="T150" s="58">
        <v>41954</v>
      </c>
      <c r="U150" s="89">
        <f t="shared" si="27"/>
        <v>3</v>
      </c>
      <c r="V150" s="69" t="str">
        <f t="shared" si="28"/>
        <v>November</v>
      </c>
      <c r="AL150" s="177"/>
      <c r="AX150" s="187"/>
      <c r="AY150" s="203"/>
      <c r="AZ150" s="203"/>
      <c r="BA150" s="17">
        <f t="shared" si="29"/>
        <v>1</v>
      </c>
      <c r="BB150" s="17">
        <f t="shared" si="30"/>
        <v>7.5</v>
      </c>
      <c r="BC150" s="209">
        <f t="shared" si="31"/>
        <v>168</v>
      </c>
      <c r="BD150" s="277">
        <f t="shared" si="32"/>
        <v>366.77</v>
      </c>
      <c r="BE150" s="17">
        <f t="shared" si="33"/>
        <v>0</v>
      </c>
      <c r="BF150" s="213">
        <f t="shared" si="34"/>
        <v>2034.77</v>
      </c>
      <c r="BG150" s="209">
        <f t="shared" si="35"/>
        <v>534.77</v>
      </c>
      <c r="BS150" s="187"/>
      <c r="BT150" s="187"/>
    </row>
    <row r="151" spans="1:72" s="22" customFormat="1" ht="26.25" thickBot="1" x14ac:dyDescent="0.3">
      <c r="A151" s="116" t="s">
        <v>324</v>
      </c>
      <c r="B151" s="64">
        <v>47</v>
      </c>
      <c r="C151" s="124" t="s">
        <v>425</v>
      </c>
      <c r="D151" s="125">
        <v>12.5</v>
      </c>
      <c r="E151" s="125">
        <v>1</v>
      </c>
      <c r="F151" s="153">
        <v>22</v>
      </c>
      <c r="G151" s="64" t="s">
        <v>43</v>
      </c>
      <c r="H151" s="64">
        <v>2005</v>
      </c>
      <c r="I151" s="58">
        <v>38411</v>
      </c>
      <c r="J151" s="64">
        <v>2005</v>
      </c>
      <c r="K151" s="64" t="s">
        <v>63</v>
      </c>
      <c r="L151" s="64" t="s">
        <v>54</v>
      </c>
      <c r="M151" s="64" t="s">
        <v>46</v>
      </c>
      <c r="N151" s="64" t="s">
        <v>47</v>
      </c>
      <c r="O151" s="64" t="s">
        <v>48</v>
      </c>
      <c r="P151" s="64" t="s">
        <v>401</v>
      </c>
      <c r="Q151" s="64" t="s">
        <v>67</v>
      </c>
      <c r="R151" s="32" t="str">
        <f t="shared" si="26"/>
        <v>Single</v>
      </c>
      <c r="S151" s="91">
        <v>350</v>
      </c>
      <c r="T151" s="58">
        <v>39791</v>
      </c>
      <c r="U151" s="89">
        <f t="shared" si="27"/>
        <v>3</v>
      </c>
      <c r="V151" s="69" t="str">
        <f t="shared" si="28"/>
        <v>December</v>
      </c>
      <c r="AL151" s="177"/>
      <c r="AX151" s="187"/>
      <c r="AY151" s="203"/>
      <c r="AZ151" s="203"/>
      <c r="BA151" s="17">
        <f t="shared" si="29"/>
        <v>1</v>
      </c>
      <c r="BB151" s="17">
        <f t="shared" si="30"/>
        <v>3</v>
      </c>
      <c r="BC151" s="209">
        <f t="shared" si="31"/>
        <v>44</v>
      </c>
      <c r="BD151" s="277">
        <f t="shared" si="32"/>
        <v>183.38499999999999</v>
      </c>
      <c r="BE151" s="17">
        <f t="shared" si="33"/>
        <v>0</v>
      </c>
      <c r="BF151" s="213">
        <f t="shared" si="34"/>
        <v>577.38499999999999</v>
      </c>
      <c r="BG151" s="209">
        <f t="shared" si="35"/>
        <v>227.38499999999999</v>
      </c>
      <c r="BS151" s="187"/>
      <c r="BT151" s="187"/>
    </row>
    <row r="152" spans="1:72" s="22" customFormat="1" ht="26.25" thickBot="1" x14ac:dyDescent="0.3">
      <c r="A152" s="116" t="s">
        <v>326</v>
      </c>
      <c r="B152" s="64">
        <v>40</v>
      </c>
      <c r="C152" s="124" t="s">
        <v>426</v>
      </c>
      <c r="D152" s="125">
        <v>15</v>
      </c>
      <c r="E152" s="125">
        <v>1</v>
      </c>
      <c r="F152" s="153">
        <v>70</v>
      </c>
      <c r="G152" s="64" t="s">
        <v>43</v>
      </c>
      <c r="H152" s="64">
        <v>2005</v>
      </c>
      <c r="I152" s="58">
        <v>38406</v>
      </c>
      <c r="J152" s="64">
        <v>2005</v>
      </c>
      <c r="K152" s="64" t="s">
        <v>44</v>
      </c>
      <c r="L152" s="64" t="s">
        <v>54</v>
      </c>
      <c r="M152" s="64" t="s">
        <v>46</v>
      </c>
      <c r="N152" s="64" t="s">
        <v>60</v>
      </c>
      <c r="O152" s="64" t="s">
        <v>65</v>
      </c>
      <c r="P152" s="64" t="s">
        <v>427</v>
      </c>
      <c r="Q152" s="64" t="s">
        <v>67</v>
      </c>
      <c r="R152" s="32" t="str">
        <f t="shared" si="26"/>
        <v>Single</v>
      </c>
      <c r="S152" s="91">
        <v>750</v>
      </c>
      <c r="T152" s="58">
        <v>39791</v>
      </c>
      <c r="U152" s="89">
        <f t="shared" si="27"/>
        <v>3</v>
      </c>
      <c r="V152" s="69" t="str">
        <f t="shared" si="28"/>
        <v>December</v>
      </c>
      <c r="AL152" s="177"/>
      <c r="AX152" s="187"/>
      <c r="AY152" s="203"/>
      <c r="AZ152" s="203"/>
      <c r="BA152" s="17">
        <f t="shared" si="29"/>
        <v>1</v>
      </c>
      <c r="BB152" s="17">
        <f t="shared" si="30"/>
        <v>3</v>
      </c>
      <c r="BC152" s="209">
        <f t="shared" si="31"/>
        <v>140</v>
      </c>
      <c r="BD152" s="277">
        <f t="shared" si="32"/>
        <v>183.38499999999999</v>
      </c>
      <c r="BE152" s="17">
        <f t="shared" si="33"/>
        <v>0</v>
      </c>
      <c r="BF152" s="213">
        <f t="shared" si="34"/>
        <v>1073.385</v>
      </c>
      <c r="BG152" s="209">
        <f t="shared" si="35"/>
        <v>323.38499999999999</v>
      </c>
      <c r="BS152" s="187"/>
      <c r="BT152" s="187"/>
    </row>
    <row r="153" spans="1:72" s="22" customFormat="1" ht="26.25" thickBot="1" x14ac:dyDescent="0.3">
      <c r="A153" s="32" t="s">
        <v>329</v>
      </c>
      <c r="B153" s="37">
        <v>46</v>
      </c>
      <c r="C153" s="43" t="s">
        <v>428</v>
      </c>
      <c r="D153" s="117">
        <v>80</v>
      </c>
      <c r="E153" s="117">
        <v>2</v>
      </c>
      <c r="F153" s="151">
        <v>77</v>
      </c>
      <c r="G153" s="32" t="s">
        <v>43</v>
      </c>
      <c r="H153" s="37">
        <v>1990</v>
      </c>
      <c r="I153" s="26">
        <v>38299</v>
      </c>
      <c r="J153" s="32">
        <v>2004</v>
      </c>
      <c r="K153" s="39" t="s">
        <v>44</v>
      </c>
      <c r="L153" s="39" t="s">
        <v>54</v>
      </c>
      <c r="M153" s="32" t="s">
        <v>64</v>
      </c>
      <c r="N153" s="32" t="s">
        <v>60</v>
      </c>
      <c r="O153" s="32" t="s">
        <v>65</v>
      </c>
      <c r="P153" s="32" t="s">
        <v>152</v>
      </c>
      <c r="Q153" s="95" t="s">
        <v>67</v>
      </c>
      <c r="R153" s="32" t="str">
        <f t="shared" si="26"/>
        <v>Single</v>
      </c>
      <c r="S153" s="88">
        <v>750</v>
      </c>
      <c r="T153" s="26">
        <v>42767</v>
      </c>
      <c r="U153" s="89">
        <f t="shared" si="27"/>
        <v>4</v>
      </c>
      <c r="V153" s="69" t="str">
        <f t="shared" si="28"/>
        <v>February</v>
      </c>
      <c r="AL153" s="177"/>
      <c r="AX153" s="187"/>
      <c r="AY153" s="203"/>
      <c r="AZ153" s="203"/>
      <c r="BA153" s="17">
        <f t="shared" si="29"/>
        <v>1</v>
      </c>
      <c r="BB153" s="17">
        <f t="shared" si="30"/>
        <v>5</v>
      </c>
      <c r="BC153" s="209">
        <f t="shared" si="31"/>
        <v>154</v>
      </c>
      <c r="BD153" s="277">
        <f t="shared" si="32"/>
        <v>366.77</v>
      </c>
      <c r="BE153" s="17">
        <f t="shared" si="33"/>
        <v>0</v>
      </c>
      <c r="BF153" s="213">
        <f t="shared" si="34"/>
        <v>1270.77</v>
      </c>
      <c r="BG153" s="209">
        <f t="shared" si="35"/>
        <v>520.77</v>
      </c>
      <c r="BS153" s="187"/>
      <c r="BT153" s="187"/>
    </row>
    <row r="154" spans="1:72" ht="26.25" thickBot="1" x14ac:dyDescent="0.3">
      <c r="A154" s="34" t="s">
        <v>329</v>
      </c>
      <c r="B154" s="34">
        <v>46</v>
      </c>
      <c r="C154" s="34" t="s">
        <v>428</v>
      </c>
      <c r="D154" s="117">
        <v>80</v>
      </c>
      <c r="E154" s="117">
        <v>2</v>
      </c>
      <c r="F154" s="151">
        <v>78</v>
      </c>
      <c r="G154" s="34" t="s">
        <v>43</v>
      </c>
      <c r="H154" s="33">
        <v>1990</v>
      </c>
      <c r="I154" s="3">
        <v>38299</v>
      </c>
      <c r="J154" s="33">
        <v>2004</v>
      </c>
      <c r="K154" s="36" t="s">
        <v>44</v>
      </c>
      <c r="L154" s="36" t="s">
        <v>54</v>
      </c>
      <c r="M154" s="33" t="s">
        <v>64</v>
      </c>
      <c r="N154" s="32" t="s">
        <v>60</v>
      </c>
      <c r="O154" s="32" t="s">
        <v>65</v>
      </c>
      <c r="P154" s="34" t="s">
        <v>429</v>
      </c>
      <c r="Q154" s="34" t="s">
        <v>67</v>
      </c>
      <c r="R154" s="32" t="str">
        <f t="shared" si="26"/>
        <v>Single</v>
      </c>
      <c r="S154" s="91">
        <v>750</v>
      </c>
      <c r="T154" s="28">
        <v>39464</v>
      </c>
      <c r="U154" s="89">
        <f t="shared" si="27"/>
        <v>5</v>
      </c>
      <c r="V154" s="69" t="str">
        <f t="shared" si="28"/>
        <v>January</v>
      </c>
      <c r="BA154" s="17">
        <f t="shared" si="29"/>
        <v>1</v>
      </c>
      <c r="BB154" s="17">
        <f t="shared" si="30"/>
        <v>5</v>
      </c>
      <c r="BC154" s="209">
        <f t="shared" si="31"/>
        <v>156</v>
      </c>
      <c r="BD154" s="277">
        <f t="shared" si="32"/>
        <v>366.77</v>
      </c>
      <c r="BE154" s="17">
        <f t="shared" si="33"/>
        <v>0</v>
      </c>
      <c r="BF154" s="213">
        <f t="shared" si="34"/>
        <v>1272.77</v>
      </c>
      <c r="BG154" s="209">
        <f t="shared" si="35"/>
        <v>522.77</v>
      </c>
    </row>
    <row r="155" spans="1:72" ht="26.25" thickBot="1" x14ac:dyDescent="0.3">
      <c r="A155" s="116" t="s">
        <v>331</v>
      </c>
      <c r="B155" s="64">
        <v>36</v>
      </c>
      <c r="C155" s="116" t="s">
        <v>378</v>
      </c>
      <c r="D155" s="117">
        <v>80</v>
      </c>
      <c r="E155" s="117">
        <v>2</v>
      </c>
      <c r="F155" s="151">
        <v>79</v>
      </c>
      <c r="G155" s="64" t="s">
        <v>43</v>
      </c>
      <c r="H155" s="64">
        <v>2004</v>
      </c>
      <c r="I155" s="62">
        <v>38281</v>
      </c>
      <c r="J155" s="64">
        <v>2004</v>
      </c>
      <c r="K155" s="64" t="s">
        <v>63</v>
      </c>
      <c r="L155" s="64" t="s">
        <v>54</v>
      </c>
      <c r="M155" s="64" t="s">
        <v>46</v>
      </c>
      <c r="N155" s="64" t="s">
        <v>60</v>
      </c>
      <c r="O155" s="64" t="s">
        <v>65</v>
      </c>
      <c r="P155" s="64" t="s">
        <v>427</v>
      </c>
      <c r="Q155" s="64" t="s">
        <v>67</v>
      </c>
      <c r="R155" s="32" t="str">
        <f t="shared" si="26"/>
        <v>Single</v>
      </c>
      <c r="S155" s="91">
        <v>750</v>
      </c>
      <c r="T155" s="58">
        <v>38482</v>
      </c>
      <c r="U155" s="89">
        <f t="shared" si="27"/>
        <v>3</v>
      </c>
      <c r="V155" s="69" t="str">
        <f t="shared" si="28"/>
        <v>May</v>
      </c>
      <c r="BA155" s="17">
        <f t="shared" si="29"/>
        <v>1</v>
      </c>
      <c r="BB155" s="17">
        <f t="shared" si="30"/>
        <v>5</v>
      </c>
      <c r="BC155" s="209">
        <f t="shared" si="31"/>
        <v>158</v>
      </c>
      <c r="BD155" s="277">
        <f t="shared" si="32"/>
        <v>366.77</v>
      </c>
      <c r="BE155" s="17">
        <f t="shared" si="33"/>
        <v>0</v>
      </c>
      <c r="BF155" s="213">
        <f t="shared" si="34"/>
        <v>1274.77</v>
      </c>
      <c r="BG155" s="209">
        <f t="shared" si="35"/>
        <v>524.77</v>
      </c>
    </row>
    <row r="156" spans="1:72" ht="26.25" thickBot="1" x14ac:dyDescent="0.3">
      <c r="A156" s="116" t="s">
        <v>334</v>
      </c>
      <c r="B156" s="64">
        <v>39</v>
      </c>
      <c r="C156" s="64" t="s">
        <v>430</v>
      </c>
      <c r="D156" s="115">
        <v>450</v>
      </c>
      <c r="E156" s="115">
        <v>11</v>
      </c>
      <c r="F156" s="151">
        <v>520</v>
      </c>
      <c r="G156" s="64" t="s">
        <v>43</v>
      </c>
      <c r="H156" s="64">
        <v>2005</v>
      </c>
      <c r="I156" s="58">
        <v>38237</v>
      </c>
      <c r="J156" s="64">
        <v>2005</v>
      </c>
      <c r="K156" s="64" t="s">
        <v>63</v>
      </c>
      <c r="L156" s="64" t="s">
        <v>54</v>
      </c>
      <c r="M156" s="64" t="s">
        <v>264</v>
      </c>
      <c r="N156" s="64" t="s">
        <v>60</v>
      </c>
      <c r="O156" s="64" t="s">
        <v>65</v>
      </c>
      <c r="P156" s="64" t="s">
        <v>152</v>
      </c>
      <c r="Q156" s="64" t="s">
        <v>67</v>
      </c>
      <c r="R156" s="32" t="str">
        <f t="shared" si="26"/>
        <v>Single</v>
      </c>
      <c r="S156" s="91">
        <v>750</v>
      </c>
      <c r="T156" s="58">
        <v>39160</v>
      </c>
      <c r="U156" s="89">
        <f t="shared" si="27"/>
        <v>2</v>
      </c>
      <c r="V156" s="69" t="str">
        <f t="shared" si="28"/>
        <v>March</v>
      </c>
      <c r="BA156" s="17">
        <f t="shared" si="29"/>
        <v>1</v>
      </c>
      <c r="BB156" s="17">
        <f t="shared" si="30"/>
        <v>23</v>
      </c>
      <c r="BC156" s="209">
        <f t="shared" si="31"/>
        <v>1040</v>
      </c>
      <c r="BD156" s="277">
        <f t="shared" si="32"/>
        <v>366.77</v>
      </c>
      <c r="BE156" s="17">
        <f t="shared" si="33"/>
        <v>0</v>
      </c>
      <c r="BF156" s="213">
        <f t="shared" si="34"/>
        <v>2156.77</v>
      </c>
      <c r="BG156" s="209">
        <f t="shared" si="35"/>
        <v>1406.77</v>
      </c>
    </row>
    <row r="157" spans="1:72" s="23" customFormat="1" ht="39" thickBot="1" x14ac:dyDescent="0.3">
      <c r="A157" s="116" t="s">
        <v>336</v>
      </c>
      <c r="B157" s="64">
        <v>46</v>
      </c>
      <c r="C157" s="116" t="s">
        <v>431</v>
      </c>
      <c r="D157" s="117">
        <v>660</v>
      </c>
      <c r="E157" s="117">
        <v>12</v>
      </c>
      <c r="F157" s="151">
        <v>835</v>
      </c>
      <c r="G157" s="64" t="s">
        <v>43</v>
      </c>
      <c r="H157" s="64">
        <v>2005</v>
      </c>
      <c r="I157" s="58">
        <v>38181</v>
      </c>
      <c r="J157" s="64">
        <v>2005</v>
      </c>
      <c r="K157" s="64" t="s">
        <v>63</v>
      </c>
      <c r="L157" s="64" t="s">
        <v>97</v>
      </c>
      <c r="M157" s="64" t="s">
        <v>46</v>
      </c>
      <c r="N157" s="64" t="s">
        <v>432</v>
      </c>
      <c r="O157" s="64" t="s">
        <v>48</v>
      </c>
      <c r="P157" s="64" t="s">
        <v>433</v>
      </c>
      <c r="Q157" s="64" t="s">
        <v>104</v>
      </c>
      <c r="R157" s="32" t="str">
        <f t="shared" si="26"/>
        <v>Multiple</v>
      </c>
      <c r="S157" s="91">
        <f>750+350</f>
        <v>1100</v>
      </c>
      <c r="T157" s="58">
        <v>41269</v>
      </c>
      <c r="U157" s="89">
        <f t="shared" si="27"/>
        <v>4</v>
      </c>
      <c r="V157" s="69" t="str">
        <f t="shared" si="28"/>
        <v>December</v>
      </c>
      <c r="AL157" s="179"/>
      <c r="AX157" s="182"/>
      <c r="AY157" s="204"/>
      <c r="AZ157" s="204"/>
      <c r="BA157" s="17">
        <f t="shared" si="29"/>
        <v>1</v>
      </c>
      <c r="BB157" s="17">
        <f t="shared" si="30"/>
        <v>25</v>
      </c>
      <c r="BC157" s="209">
        <f t="shared" si="31"/>
        <v>1670</v>
      </c>
      <c r="BD157" s="277">
        <f t="shared" si="32"/>
        <v>733.54</v>
      </c>
      <c r="BE157" s="17">
        <f t="shared" si="33"/>
        <v>366.77</v>
      </c>
      <c r="BF157" s="213">
        <f t="shared" si="34"/>
        <v>3870.31</v>
      </c>
      <c r="BG157" s="209">
        <f t="shared" si="35"/>
        <v>2770.31</v>
      </c>
      <c r="BS157" s="182"/>
      <c r="BT157" s="182"/>
    </row>
    <row r="158" spans="1:72" s="22" customFormat="1" ht="26.25" thickBot="1" x14ac:dyDescent="0.3">
      <c r="A158" s="116" t="s">
        <v>340</v>
      </c>
      <c r="B158" s="64">
        <v>40</v>
      </c>
      <c r="C158" s="124" t="s">
        <v>267</v>
      </c>
      <c r="D158" s="125">
        <v>10</v>
      </c>
      <c r="E158" s="125">
        <v>1</v>
      </c>
      <c r="F158" s="153">
        <v>30</v>
      </c>
      <c r="G158" s="64" t="s">
        <v>43</v>
      </c>
      <c r="H158" s="64">
        <v>2004</v>
      </c>
      <c r="I158" s="58">
        <v>38119</v>
      </c>
      <c r="J158" s="64">
        <v>2004</v>
      </c>
      <c r="K158" s="64" t="s">
        <v>63</v>
      </c>
      <c r="L158" s="64" t="s">
        <v>45</v>
      </c>
      <c r="M158" s="64" t="s">
        <v>64</v>
      </c>
      <c r="N158" s="64" t="s">
        <v>60</v>
      </c>
      <c r="O158" s="64" t="s">
        <v>65</v>
      </c>
      <c r="P158" s="64" t="s">
        <v>434</v>
      </c>
      <c r="Q158" s="64" t="s">
        <v>91</v>
      </c>
      <c r="R158" s="32" t="str">
        <f t="shared" si="26"/>
        <v>Single</v>
      </c>
      <c r="S158" s="91">
        <v>5000</v>
      </c>
      <c r="T158" s="58">
        <v>40857</v>
      </c>
      <c r="U158" s="89">
        <f t="shared" si="27"/>
        <v>5</v>
      </c>
      <c r="V158" s="69" t="str">
        <f t="shared" si="28"/>
        <v>November</v>
      </c>
      <c r="AL158" s="177"/>
      <c r="AX158" s="187"/>
      <c r="AY158" s="203"/>
      <c r="AZ158" s="203"/>
      <c r="BA158" s="17">
        <f t="shared" si="29"/>
        <v>8</v>
      </c>
      <c r="BB158" s="17">
        <f t="shared" si="30"/>
        <v>10</v>
      </c>
      <c r="BC158" s="209">
        <f t="shared" si="31"/>
        <v>60</v>
      </c>
      <c r="BD158" s="277">
        <f t="shared" si="32"/>
        <v>366.77</v>
      </c>
      <c r="BE158" s="17">
        <f t="shared" si="33"/>
        <v>0</v>
      </c>
      <c r="BF158" s="213">
        <f t="shared" si="34"/>
        <v>5426.77</v>
      </c>
      <c r="BG158" s="209">
        <f t="shared" si="35"/>
        <v>426.77</v>
      </c>
      <c r="BS158" s="187"/>
      <c r="BT158" s="187"/>
    </row>
    <row r="159" spans="1:72" s="22" customFormat="1" ht="26.25" thickBot="1" x14ac:dyDescent="0.3">
      <c r="A159" s="116" t="s">
        <v>343</v>
      </c>
      <c r="B159" s="64">
        <v>43</v>
      </c>
      <c r="C159" s="116" t="s">
        <v>267</v>
      </c>
      <c r="D159" s="125">
        <v>10</v>
      </c>
      <c r="E159" s="125">
        <v>1</v>
      </c>
      <c r="F159" s="153">
        <v>30</v>
      </c>
      <c r="G159" s="64" t="s">
        <v>43</v>
      </c>
      <c r="H159" s="64">
        <v>2004</v>
      </c>
      <c r="I159" s="58">
        <v>38061</v>
      </c>
      <c r="J159" s="64">
        <v>2007</v>
      </c>
      <c r="K159" s="64" t="s">
        <v>63</v>
      </c>
      <c r="L159" s="64" t="s">
        <v>45</v>
      </c>
      <c r="M159" s="64" t="s">
        <v>64</v>
      </c>
      <c r="N159" s="64" t="s">
        <v>47</v>
      </c>
      <c r="O159" s="64" t="s">
        <v>48</v>
      </c>
      <c r="P159" s="64" t="s">
        <v>152</v>
      </c>
      <c r="Q159" s="64" t="s">
        <v>67</v>
      </c>
      <c r="R159" s="32" t="str">
        <f t="shared" si="26"/>
        <v>Single</v>
      </c>
      <c r="S159" s="91">
        <v>750</v>
      </c>
      <c r="T159" s="58">
        <v>39969</v>
      </c>
      <c r="U159" s="89">
        <f t="shared" si="27"/>
        <v>6</v>
      </c>
      <c r="V159" s="69" t="str">
        <f t="shared" si="28"/>
        <v>June</v>
      </c>
      <c r="AL159" s="177"/>
      <c r="AX159" s="187"/>
      <c r="AY159" s="203"/>
      <c r="AZ159" s="203"/>
      <c r="BA159" s="17">
        <f t="shared" si="29"/>
        <v>1</v>
      </c>
      <c r="BB159" s="17">
        <f t="shared" si="30"/>
        <v>3</v>
      </c>
      <c r="BC159" s="209">
        <f t="shared" si="31"/>
        <v>60</v>
      </c>
      <c r="BD159" s="277">
        <f t="shared" si="32"/>
        <v>183.38499999999999</v>
      </c>
      <c r="BE159" s="17">
        <f t="shared" si="33"/>
        <v>0</v>
      </c>
      <c r="BF159" s="213">
        <f t="shared" si="34"/>
        <v>993.38499999999999</v>
      </c>
      <c r="BG159" s="209">
        <f t="shared" si="35"/>
        <v>243.38499999999999</v>
      </c>
      <c r="BS159" s="187"/>
      <c r="BT159" s="187"/>
    </row>
    <row r="160" spans="1:72" s="22" customFormat="1" ht="26.25" thickBot="1" x14ac:dyDescent="0.3">
      <c r="A160" s="129" t="s">
        <v>346</v>
      </c>
      <c r="B160" s="61">
        <v>57</v>
      </c>
      <c r="C160" s="129" t="s">
        <v>267</v>
      </c>
      <c r="D160" s="125">
        <v>10</v>
      </c>
      <c r="E160" s="125">
        <v>1</v>
      </c>
      <c r="F160" s="153">
        <v>30</v>
      </c>
      <c r="G160" s="61" t="s">
        <v>43</v>
      </c>
      <c r="H160" s="61">
        <v>2004</v>
      </c>
      <c r="I160" s="63">
        <v>38061</v>
      </c>
      <c r="J160" s="61">
        <v>2004</v>
      </c>
      <c r="K160" s="61" t="s">
        <v>63</v>
      </c>
      <c r="L160" s="61" t="s">
        <v>54</v>
      </c>
      <c r="M160" s="61" t="s">
        <v>46</v>
      </c>
      <c r="N160" s="61" t="s">
        <v>47</v>
      </c>
      <c r="O160" s="61" t="s">
        <v>48</v>
      </c>
      <c r="P160" s="61" t="s">
        <v>152</v>
      </c>
      <c r="Q160" s="61" t="s">
        <v>67</v>
      </c>
      <c r="R160" s="32" t="str">
        <f t="shared" si="26"/>
        <v>Single</v>
      </c>
      <c r="S160" s="91">
        <v>750</v>
      </c>
      <c r="T160" s="63">
        <v>39074</v>
      </c>
      <c r="U160" s="89">
        <f t="shared" si="27"/>
        <v>7</v>
      </c>
      <c r="V160" s="69" t="str">
        <f t="shared" si="28"/>
        <v>December</v>
      </c>
      <c r="AL160" s="177"/>
      <c r="AX160" s="187"/>
      <c r="AY160" s="203"/>
      <c r="AZ160" s="203"/>
      <c r="BA160" s="17">
        <f t="shared" si="29"/>
        <v>1</v>
      </c>
      <c r="BB160" s="17">
        <f t="shared" si="30"/>
        <v>3</v>
      </c>
      <c r="BC160" s="209">
        <f t="shared" si="31"/>
        <v>60</v>
      </c>
      <c r="BD160" s="277">
        <f t="shared" si="32"/>
        <v>183.38499999999999</v>
      </c>
      <c r="BE160" s="17">
        <f t="shared" si="33"/>
        <v>0</v>
      </c>
      <c r="BF160" s="213">
        <f t="shared" si="34"/>
        <v>993.38499999999999</v>
      </c>
      <c r="BG160" s="209">
        <f t="shared" si="35"/>
        <v>243.38499999999999</v>
      </c>
      <c r="BS160" s="187"/>
      <c r="BT160" s="187"/>
    </row>
    <row r="161" spans="1:72" s="22" customFormat="1" ht="26.25" thickBot="1" x14ac:dyDescent="0.3">
      <c r="A161" s="37" t="s">
        <v>347</v>
      </c>
      <c r="B161" s="37">
        <v>25</v>
      </c>
      <c r="C161" s="37" t="s">
        <v>435</v>
      </c>
      <c r="D161" s="131">
        <v>90</v>
      </c>
      <c r="E161" s="131">
        <v>2</v>
      </c>
      <c r="F161" s="157">
        <v>60</v>
      </c>
      <c r="G161" s="37" t="s">
        <v>43</v>
      </c>
      <c r="H161" s="37">
        <v>2004</v>
      </c>
      <c r="I161" s="26">
        <v>38021</v>
      </c>
      <c r="J161" s="37">
        <v>2008</v>
      </c>
      <c r="K161" s="37" t="s">
        <v>63</v>
      </c>
      <c r="L161" s="37" t="s">
        <v>54</v>
      </c>
      <c r="M161" s="37" t="s">
        <v>46</v>
      </c>
      <c r="N161" s="37" t="s">
        <v>60</v>
      </c>
      <c r="O161" s="37" t="s">
        <v>65</v>
      </c>
      <c r="P161" s="37" t="s">
        <v>436</v>
      </c>
      <c r="Q161" s="37" t="s">
        <v>437</v>
      </c>
      <c r="R161" s="32" t="str">
        <f t="shared" si="26"/>
        <v>Multiple</v>
      </c>
      <c r="S161" s="88">
        <f>5000+750</f>
        <v>5750</v>
      </c>
      <c r="T161" s="26">
        <v>40929</v>
      </c>
      <c r="U161" s="89">
        <f t="shared" si="27"/>
        <v>7</v>
      </c>
      <c r="V161" s="69" t="str">
        <f t="shared" si="28"/>
        <v>January</v>
      </c>
      <c r="AL161" s="177"/>
      <c r="AX161" s="187"/>
      <c r="AY161" s="203"/>
      <c r="AZ161" s="203"/>
      <c r="BA161" s="17">
        <f t="shared" si="29"/>
        <v>8</v>
      </c>
      <c r="BB161" s="17">
        <f t="shared" si="30"/>
        <v>12</v>
      </c>
      <c r="BC161" s="209">
        <f t="shared" si="31"/>
        <v>120</v>
      </c>
      <c r="BD161" s="277">
        <f t="shared" si="32"/>
        <v>366.77</v>
      </c>
      <c r="BE161" s="17">
        <f t="shared" si="33"/>
        <v>0</v>
      </c>
      <c r="BF161" s="213">
        <f t="shared" si="34"/>
        <v>6236.77</v>
      </c>
      <c r="BG161" s="209">
        <f t="shared" si="35"/>
        <v>486.77</v>
      </c>
      <c r="BS161" s="187"/>
      <c r="BT161" s="187"/>
    </row>
    <row r="162" spans="1:72" s="22" customFormat="1" ht="26.25" thickBot="1" x14ac:dyDescent="0.3">
      <c r="A162" s="33" t="s">
        <v>347</v>
      </c>
      <c r="B162" s="33">
        <v>25</v>
      </c>
      <c r="C162" s="33" t="s">
        <v>435</v>
      </c>
      <c r="D162" s="132">
        <v>90</v>
      </c>
      <c r="E162" s="132">
        <v>2</v>
      </c>
      <c r="F162" s="158">
        <v>60</v>
      </c>
      <c r="G162" s="33" t="s">
        <v>43</v>
      </c>
      <c r="H162" s="33">
        <v>2004</v>
      </c>
      <c r="I162" s="28">
        <v>38021</v>
      </c>
      <c r="J162" s="33">
        <v>2008</v>
      </c>
      <c r="K162" s="33" t="s">
        <v>63</v>
      </c>
      <c r="L162" s="33" t="s">
        <v>54</v>
      </c>
      <c r="M162" s="33" t="s">
        <v>46</v>
      </c>
      <c r="N162" s="33" t="s">
        <v>60</v>
      </c>
      <c r="O162" s="33" t="s">
        <v>65</v>
      </c>
      <c r="P162" s="33" t="s">
        <v>152</v>
      </c>
      <c r="Q162" s="33" t="s">
        <v>67</v>
      </c>
      <c r="R162" s="32" t="str">
        <f t="shared" si="26"/>
        <v>Single</v>
      </c>
      <c r="S162" s="91">
        <v>750</v>
      </c>
      <c r="T162" s="28">
        <v>40211</v>
      </c>
      <c r="U162" s="89">
        <f t="shared" si="27"/>
        <v>3</v>
      </c>
      <c r="V162" s="69" t="str">
        <f t="shared" si="28"/>
        <v>February</v>
      </c>
      <c r="AL162" s="177"/>
      <c r="AX162" s="187"/>
      <c r="AY162" s="203"/>
      <c r="AZ162" s="203"/>
      <c r="BA162" s="17">
        <f t="shared" si="29"/>
        <v>1</v>
      </c>
      <c r="BB162" s="17">
        <f t="shared" si="30"/>
        <v>5</v>
      </c>
      <c r="BC162" s="209">
        <f t="shared" si="31"/>
        <v>120</v>
      </c>
      <c r="BD162" s="277">
        <f t="shared" si="32"/>
        <v>366.77</v>
      </c>
      <c r="BE162" s="17">
        <f t="shared" si="33"/>
        <v>0</v>
      </c>
      <c r="BF162" s="213">
        <f t="shared" si="34"/>
        <v>1236.77</v>
      </c>
      <c r="BG162" s="209">
        <f t="shared" si="35"/>
        <v>486.77</v>
      </c>
      <c r="BS162" s="187"/>
      <c r="BT162" s="187"/>
    </row>
    <row r="163" spans="1:72" ht="38.25" x14ac:dyDescent="0.25">
      <c r="A163" s="32" t="s">
        <v>349</v>
      </c>
      <c r="B163" s="32">
        <v>38</v>
      </c>
      <c r="C163" s="43" t="s">
        <v>438</v>
      </c>
      <c r="D163" s="133">
        <v>90</v>
      </c>
      <c r="E163" s="133">
        <v>2</v>
      </c>
      <c r="F163" s="159">
        <v>60</v>
      </c>
      <c r="G163" s="32" t="s">
        <v>43</v>
      </c>
      <c r="H163" s="54">
        <v>2003</v>
      </c>
      <c r="I163" s="4">
        <v>38021</v>
      </c>
      <c r="J163" s="32">
        <v>2004</v>
      </c>
      <c r="K163" s="37" t="s">
        <v>63</v>
      </c>
      <c r="L163" s="37" t="s">
        <v>54</v>
      </c>
      <c r="M163" s="37" t="s">
        <v>46</v>
      </c>
      <c r="N163" s="32" t="s">
        <v>60</v>
      </c>
      <c r="O163" s="37" t="s">
        <v>65</v>
      </c>
      <c r="P163" s="32" t="s">
        <v>439</v>
      </c>
      <c r="Q163" s="95" t="s">
        <v>104</v>
      </c>
      <c r="R163" s="32" t="str">
        <f t="shared" si="26"/>
        <v>Multiple</v>
      </c>
      <c r="S163" s="88">
        <f>750+500</f>
        <v>1250</v>
      </c>
      <c r="T163" s="4">
        <v>44470</v>
      </c>
      <c r="U163" s="89">
        <f t="shared" si="27"/>
        <v>6</v>
      </c>
      <c r="V163" s="69" t="str">
        <f t="shared" si="28"/>
        <v>October</v>
      </c>
      <c r="BA163" s="17">
        <f t="shared" si="29"/>
        <v>1</v>
      </c>
      <c r="BB163" s="17">
        <f t="shared" si="30"/>
        <v>5</v>
      </c>
      <c r="BC163" s="209">
        <f t="shared" si="31"/>
        <v>120</v>
      </c>
      <c r="BD163" s="277">
        <f t="shared" si="32"/>
        <v>366.77</v>
      </c>
      <c r="BE163" s="17">
        <f t="shared" si="33"/>
        <v>0</v>
      </c>
      <c r="BF163" s="213">
        <f t="shared" si="34"/>
        <v>1736.77</v>
      </c>
      <c r="BG163" s="209">
        <f t="shared" si="35"/>
        <v>486.77</v>
      </c>
    </row>
    <row r="164" spans="1:72" s="23" customFormat="1" ht="26.25" thickBot="1" x14ac:dyDescent="0.3">
      <c r="A164" s="31" t="s">
        <v>349</v>
      </c>
      <c r="B164" s="32">
        <v>38</v>
      </c>
      <c r="C164" s="31" t="s">
        <v>438</v>
      </c>
      <c r="D164" s="133">
        <v>90</v>
      </c>
      <c r="E164" s="133">
        <v>2</v>
      </c>
      <c r="F164" s="159">
        <v>60</v>
      </c>
      <c r="G164" s="31" t="s">
        <v>43</v>
      </c>
      <c r="H164" s="54">
        <v>2003</v>
      </c>
      <c r="I164" s="1">
        <v>38021</v>
      </c>
      <c r="J164" s="54">
        <v>2004</v>
      </c>
      <c r="K164" s="37" t="s">
        <v>63</v>
      </c>
      <c r="L164" s="31" t="s">
        <v>54</v>
      </c>
      <c r="M164" s="54" t="s">
        <v>46</v>
      </c>
      <c r="N164" s="32" t="s">
        <v>60</v>
      </c>
      <c r="O164" s="37" t="s">
        <v>65</v>
      </c>
      <c r="P164" s="31" t="s">
        <v>440</v>
      </c>
      <c r="Q164" s="31" t="s">
        <v>67</v>
      </c>
      <c r="R164" s="32" t="str">
        <f t="shared" si="26"/>
        <v>Single</v>
      </c>
      <c r="S164" s="88">
        <v>750</v>
      </c>
      <c r="T164" s="27">
        <v>43551</v>
      </c>
      <c r="U164" s="89">
        <f t="shared" si="27"/>
        <v>4</v>
      </c>
      <c r="V164" s="69" t="str">
        <f t="shared" si="28"/>
        <v>March</v>
      </c>
      <c r="AL164" s="179"/>
      <c r="AX164" s="182"/>
      <c r="AY164" s="204"/>
      <c r="AZ164" s="204"/>
      <c r="BA164" s="17">
        <f t="shared" si="29"/>
        <v>1</v>
      </c>
      <c r="BB164" s="17">
        <f t="shared" si="30"/>
        <v>5</v>
      </c>
      <c r="BC164" s="209">
        <f t="shared" si="31"/>
        <v>120</v>
      </c>
      <c r="BD164" s="277">
        <f t="shared" si="32"/>
        <v>366.77</v>
      </c>
      <c r="BE164" s="17">
        <f t="shared" si="33"/>
        <v>0</v>
      </c>
      <c r="BF164" s="213">
        <f t="shared" si="34"/>
        <v>1236.77</v>
      </c>
      <c r="BG164" s="209">
        <f t="shared" si="35"/>
        <v>486.77</v>
      </c>
      <c r="BS164" s="182"/>
      <c r="BT164" s="182"/>
    </row>
    <row r="165" spans="1:72" s="22" customFormat="1" ht="26.25" thickBot="1" x14ac:dyDescent="0.3">
      <c r="A165" s="32" t="s">
        <v>349</v>
      </c>
      <c r="B165" s="32">
        <v>38</v>
      </c>
      <c r="C165" s="44" t="s">
        <v>438</v>
      </c>
      <c r="D165" s="133">
        <v>90</v>
      </c>
      <c r="E165" s="133">
        <v>2</v>
      </c>
      <c r="F165" s="159">
        <v>60</v>
      </c>
      <c r="G165" s="31" t="s">
        <v>43</v>
      </c>
      <c r="H165" s="54">
        <v>2003</v>
      </c>
      <c r="I165" s="1">
        <v>38021</v>
      </c>
      <c r="J165" s="31">
        <v>2004</v>
      </c>
      <c r="K165" s="37" t="s">
        <v>63</v>
      </c>
      <c r="L165" s="54" t="s">
        <v>54</v>
      </c>
      <c r="M165" s="54" t="s">
        <v>46</v>
      </c>
      <c r="N165" s="32" t="s">
        <v>60</v>
      </c>
      <c r="O165" s="37" t="s">
        <v>65</v>
      </c>
      <c r="P165" s="31" t="s">
        <v>441</v>
      </c>
      <c r="Q165" s="110" t="s">
        <v>67</v>
      </c>
      <c r="R165" s="32" t="str">
        <f t="shared" si="26"/>
        <v>Single</v>
      </c>
      <c r="S165" s="88">
        <v>500</v>
      </c>
      <c r="T165" s="1">
        <v>43255</v>
      </c>
      <c r="U165" s="89">
        <f t="shared" si="27"/>
        <v>2</v>
      </c>
      <c r="V165" s="69" t="str">
        <f t="shared" si="28"/>
        <v>June</v>
      </c>
      <c r="AL165" s="177"/>
      <c r="AX165" s="187"/>
      <c r="AY165" s="203"/>
      <c r="AZ165" s="203"/>
      <c r="BA165" s="17">
        <f t="shared" si="29"/>
        <v>1</v>
      </c>
      <c r="BB165" s="17">
        <f t="shared" si="30"/>
        <v>5</v>
      </c>
      <c r="BC165" s="209">
        <f t="shared" si="31"/>
        <v>120</v>
      </c>
      <c r="BD165" s="277">
        <f t="shared" si="32"/>
        <v>366.77</v>
      </c>
      <c r="BE165" s="17">
        <f t="shared" si="33"/>
        <v>0</v>
      </c>
      <c r="BF165" s="213">
        <f t="shared" si="34"/>
        <v>986.77</v>
      </c>
      <c r="BG165" s="209">
        <f t="shared" si="35"/>
        <v>486.77</v>
      </c>
      <c r="BS165" s="187"/>
      <c r="BT165" s="187"/>
    </row>
    <row r="166" spans="1:72" s="22" customFormat="1" ht="26.25" thickBot="1" x14ac:dyDescent="0.3">
      <c r="A166" s="31" t="s">
        <v>349</v>
      </c>
      <c r="B166" s="32">
        <v>38</v>
      </c>
      <c r="C166" s="31" t="s">
        <v>438</v>
      </c>
      <c r="D166" s="133">
        <v>90</v>
      </c>
      <c r="E166" s="133">
        <v>2</v>
      </c>
      <c r="F166" s="159">
        <v>60</v>
      </c>
      <c r="G166" s="31" t="s">
        <v>43</v>
      </c>
      <c r="H166" s="54">
        <v>2003</v>
      </c>
      <c r="I166" s="1">
        <v>38021</v>
      </c>
      <c r="J166" s="54">
        <v>2004</v>
      </c>
      <c r="K166" s="37" t="s">
        <v>63</v>
      </c>
      <c r="L166" s="31" t="s">
        <v>54</v>
      </c>
      <c r="M166" s="54" t="s">
        <v>46</v>
      </c>
      <c r="N166" s="32" t="s">
        <v>60</v>
      </c>
      <c r="O166" s="37" t="s">
        <v>65</v>
      </c>
      <c r="P166" s="31" t="s">
        <v>442</v>
      </c>
      <c r="Q166" s="31" t="s">
        <v>67</v>
      </c>
      <c r="R166" s="32" t="str">
        <f t="shared" si="26"/>
        <v>Single</v>
      </c>
      <c r="S166" s="88">
        <v>750</v>
      </c>
      <c r="T166" s="27">
        <v>39633</v>
      </c>
      <c r="U166" s="89">
        <f t="shared" si="27"/>
        <v>6</v>
      </c>
      <c r="V166" s="69" t="str">
        <f t="shared" si="28"/>
        <v>July</v>
      </c>
      <c r="AL166" s="177"/>
      <c r="AX166" s="187"/>
      <c r="AY166" s="203"/>
      <c r="AZ166" s="203"/>
      <c r="BA166" s="17">
        <f t="shared" si="29"/>
        <v>1</v>
      </c>
      <c r="BB166" s="17">
        <f t="shared" si="30"/>
        <v>5</v>
      </c>
      <c r="BC166" s="209">
        <f t="shared" si="31"/>
        <v>120</v>
      </c>
      <c r="BD166" s="277">
        <f t="shared" si="32"/>
        <v>366.77</v>
      </c>
      <c r="BE166" s="17">
        <f t="shared" si="33"/>
        <v>0</v>
      </c>
      <c r="BF166" s="213">
        <f t="shared" si="34"/>
        <v>1236.77</v>
      </c>
      <c r="BG166" s="209">
        <f t="shared" si="35"/>
        <v>486.77</v>
      </c>
      <c r="BS166" s="187"/>
      <c r="BT166" s="187"/>
    </row>
    <row r="167" spans="1:72" s="22" customFormat="1" ht="26.25" thickBot="1" x14ac:dyDescent="0.3">
      <c r="A167" s="34" t="s">
        <v>349</v>
      </c>
      <c r="B167" s="33">
        <v>38</v>
      </c>
      <c r="C167" s="34" t="s">
        <v>438</v>
      </c>
      <c r="D167" s="134">
        <v>90</v>
      </c>
      <c r="E167" s="134">
        <v>2</v>
      </c>
      <c r="F167" s="160">
        <v>60</v>
      </c>
      <c r="G167" s="33" t="s">
        <v>43</v>
      </c>
      <c r="H167" s="54">
        <v>2003</v>
      </c>
      <c r="I167" s="28">
        <v>38021</v>
      </c>
      <c r="J167" s="33">
        <v>2004</v>
      </c>
      <c r="K167" s="37" t="s">
        <v>63</v>
      </c>
      <c r="L167" s="33" t="s">
        <v>54</v>
      </c>
      <c r="M167" s="33" t="s">
        <v>46</v>
      </c>
      <c r="N167" s="32" t="s">
        <v>60</v>
      </c>
      <c r="O167" s="37" t="s">
        <v>65</v>
      </c>
      <c r="P167" s="33" t="s">
        <v>443</v>
      </c>
      <c r="Q167" s="33" t="s">
        <v>50</v>
      </c>
      <c r="R167" s="32" t="str">
        <f t="shared" si="26"/>
        <v>Multiple</v>
      </c>
      <c r="S167" s="91">
        <f>200+800</f>
        <v>1000</v>
      </c>
      <c r="T167" s="28">
        <v>38861</v>
      </c>
      <c r="U167" s="89">
        <f t="shared" si="27"/>
        <v>4</v>
      </c>
      <c r="V167" s="69" t="str">
        <f t="shared" si="28"/>
        <v>May</v>
      </c>
      <c r="AL167" s="177"/>
      <c r="AX167" s="187"/>
      <c r="AY167" s="203"/>
      <c r="AZ167" s="203"/>
      <c r="BA167" s="17">
        <f t="shared" si="29"/>
        <v>8</v>
      </c>
      <c r="BB167" s="17">
        <f t="shared" si="30"/>
        <v>12</v>
      </c>
      <c r="BC167" s="209">
        <f t="shared" si="31"/>
        <v>120</v>
      </c>
      <c r="BD167" s="277">
        <f t="shared" si="32"/>
        <v>366.77</v>
      </c>
      <c r="BE167" s="17">
        <f t="shared" si="33"/>
        <v>0</v>
      </c>
      <c r="BF167" s="213">
        <f t="shared" si="34"/>
        <v>1486.77</v>
      </c>
      <c r="BG167" s="209">
        <f t="shared" si="35"/>
        <v>486.77</v>
      </c>
      <c r="BS167" s="187"/>
      <c r="BT167" s="187"/>
    </row>
    <row r="168" spans="1:72" s="22" customFormat="1" ht="26.25" thickBot="1" x14ac:dyDescent="0.3">
      <c r="A168" s="116" t="s">
        <v>352</v>
      </c>
      <c r="B168" s="64">
        <v>60</v>
      </c>
      <c r="C168" s="116" t="s">
        <v>267</v>
      </c>
      <c r="D168" s="130">
        <v>10</v>
      </c>
      <c r="E168" s="130">
        <v>1</v>
      </c>
      <c r="F168" s="156">
        <v>30</v>
      </c>
      <c r="G168" s="64" t="s">
        <v>43</v>
      </c>
      <c r="H168" s="64">
        <v>2004</v>
      </c>
      <c r="I168" s="58">
        <v>38021</v>
      </c>
      <c r="J168" s="64">
        <v>2004</v>
      </c>
      <c r="K168" s="64" t="s">
        <v>63</v>
      </c>
      <c r="L168" s="64" t="s">
        <v>54</v>
      </c>
      <c r="M168" s="64" t="s">
        <v>46</v>
      </c>
      <c r="N168" s="64" t="s">
        <v>60</v>
      </c>
      <c r="O168" s="64" t="s">
        <v>65</v>
      </c>
      <c r="P168" s="64" t="s">
        <v>444</v>
      </c>
      <c r="Q168" s="64" t="s">
        <v>289</v>
      </c>
      <c r="R168" s="32" t="str">
        <f t="shared" si="26"/>
        <v>Multiple</v>
      </c>
      <c r="S168" s="91">
        <f>750+200</f>
        <v>950</v>
      </c>
      <c r="T168" s="58">
        <v>39032</v>
      </c>
      <c r="U168" s="89">
        <f t="shared" si="27"/>
        <v>7</v>
      </c>
      <c r="V168" s="69" t="str">
        <f t="shared" si="28"/>
        <v>November</v>
      </c>
      <c r="AL168" s="177"/>
      <c r="AX168" s="187"/>
      <c r="AY168" s="203"/>
      <c r="AZ168" s="203"/>
      <c r="BA168" s="17">
        <f t="shared" si="29"/>
        <v>1</v>
      </c>
      <c r="BB168" s="17">
        <f t="shared" si="30"/>
        <v>3</v>
      </c>
      <c r="BC168" s="209">
        <f t="shared" si="31"/>
        <v>60</v>
      </c>
      <c r="BD168" s="277">
        <f t="shared" si="32"/>
        <v>183.38499999999999</v>
      </c>
      <c r="BE168" s="17">
        <f t="shared" si="33"/>
        <v>0</v>
      </c>
      <c r="BF168" s="213">
        <f t="shared" si="34"/>
        <v>1193.385</v>
      </c>
      <c r="BG168" s="209">
        <f t="shared" si="35"/>
        <v>243.38499999999999</v>
      </c>
      <c r="BS168" s="187"/>
      <c r="BT168" s="187"/>
    </row>
    <row r="169" spans="1:72" s="22" customFormat="1" ht="39" thickBot="1" x14ac:dyDescent="0.3">
      <c r="A169" s="116" t="s">
        <v>355</v>
      </c>
      <c r="B169" s="64">
        <v>23</v>
      </c>
      <c r="C169" s="64" t="s">
        <v>445</v>
      </c>
      <c r="D169" s="115">
        <v>10</v>
      </c>
      <c r="E169" s="115">
        <v>1</v>
      </c>
      <c r="F169" s="151">
        <v>30</v>
      </c>
      <c r="G169" s="64" t="s">
        <v>43</v>
      </c>
      <c r="H169" s="64">
        <v>1980</v>
      </c>
      <c r="I169" s="58">
        <v>37851</v>
      </c>
      <c r="J169" s="64">
        <v>2005</v>
      </c>
      <c r="K169" s="64" t="s">
        <v>208</v>
      </c>
      <c r="L169" s="64" t="s">
        <v>97</v>
      </c>
      <c r="M169" s="64" t="s">
        <v>46</v>
      </c>
      <c r="N169" s="49" t="s">
        <v>446</v>
      </c>
      <c r="O169" s="64" t="s">
        <v>65</v>
      </c>
      <c r="P169" s="64" t="s">
        <v>447</v>
      </c>
      <c r="Q169" s="64" t="s">
        <v>308</v>
      </c>
      <c r="R169" s="32" t="str">
        <f t="shared" si="26"/>
        <v>Multiple</v>
      </c>
      <c r="S169" s="91">
        <f>1500+750</f>
        <v>2250</v>
      </c>
      <c r="T169" s="58">
        <v>41407</v>
      </c>
      <c r="U169" s="89">
        <f t="shared" si="27"/>
        <v>2</v>
      </c>
      <c r="V169" s="69" t="str">
        <f t="shared" si="28"/>
        <v>May</v>
      </c>
      <c r="AL169" s="177"/>
      <c r="AX169" s="187"/>
      <c r="AY169" s="203"/>
      <c r="AZ169" s="203"/>
      <c r="BA169" s="17">
        <f t="shared" si="29"/>
        <v>8</v>
      </c>
      <c r="BB169" s="17">
        <f t="shared" si="30"/>
        <v>10</v>
      </c>
      <c r="BC169" s="209">
        <f t="shared" si="31"/>
        <v>60</v>
      </c>
      <c r="BD169" s="277">
        <f t="shared" si="32"/>
        <v>366.77</v>
      </c>
      <c r="BE169" s="17">
        <f t="shared" si="33"/>
        <v>0</v>
      </c>
      <c r="BF169" s="213">
        <f t="shared" si="34"/>
        <v>2676.77</v>
      </c>
      <c r="BG169" s="209">
        <f t="shared" si="35"/>
        <v>426.77</v>
      </c>
      <c r="BS169" s="187"/>
      <c r="BT169" s="187"/>
    </row>
    <row r="170" spans="1:72" s="23" customFormat="1" ht="26.25" thickBot="1" x14ac:dyDescent="0.3">
      <c r="A170" s="116" t="s">
        <v>357</v>
      </c>
      <c r="B170" s="64">
        <v>52</v>
      </c>
      <c r="C170" s="124" t="s">
        <v>267</v>
      </c>
      <c r="D170" s="135">
        <v>10</v>
      </c>
      <c r="E170" s="135">
        <v>1</v>
      </c>
      <c r="F170" s="161">
        <v>30</v>
      </c>
      <c r="G170" s="64" t="s">
        <v>43</v>
      </c>
      <c r="H170" s="64">
        <v>2003</v>
      </c>
      <c r="I170" s="58">
        <v>37777</v>
      </c>
      <c r="J170" s="64">
        <v>2003</v>
      </c>
      <c r="K170" s="64" t="s">
        <v>63</v>
      </c>
      <c r="L170" s="64" t="s">
        <v>54</v>
      </c>
      <c r="M170" s="64" t="s">
        <v>46</v>
      </c>
      <c r="N170" s="64" t="s">
        <v>60</v>
      </c>
      <c r="O170" s="64" t="s">
        <v>65</v>
      </c>
      <c r="P170" s="64" t="s">
        <v>292</v>
      </c>
      <c r="Q170" s="64" t="s">
        <v>91</v>
      </c>
      <c r="R170" s="32" t="str">
        <f t="shared" si="26"/>
        <v>Single</v>
      </c>
      <c r="S170" s="91">
        <v>5000</v>
      </c>
      <c r="T170" s="58">
        <v>40884</v>
      </c>
      <c r="U170" s="89">
        <f t="shared" si="27"/>
        <v>4</v>
      </c>
      <c r="V170" s="69" t="str">
        <f t="shared" si="28"/>
        <v>December</v>
      </c>
      <c r="AL170" s="179"/>
      <c r="AX170" s="182"/>
      <c r="AY170" s="204"/>
      <c r="AZ170" s="204"/>
      <c r="BA170" s="17">
        <f t="shared" si="29"/>
        <v>8</v>
      </c>
      <c r="BB170" s="17">
        <f t="shared" si="30"/>
        <v>10</v>
      </c>
      <c r="BC170" s="209">
        <f t="shared" si="31"/>
        <v>60</v>
      </c>
      <c r="BD170" s="277">
        <f t="shared" si="32"/>
        <v>366.77</v>
      </c>
      <c r="BE170" s="17">
        <f t="shared" si="33"/>
        <v>0</v>
      </c>
      <c r="BF170" s="213">
        <f t="shared" si="34"/>
        <v>5426.77</v>
      </c>
      <c r="BG170" s="209">
        <f t="shared" si="35"/>
        <v>426.77</v>
      </c>
      <c r="BS170" s="182"/>
      <c r="BT170" s="182"/>
    </row>
    <row r="171" spans="1:72" ht="25.5" x14ac:dyDescent="0.25">
      <c r="A171" s="32" t="s">
        <v>360</v>
      </c>
      <c r="B171" s="37">
        <v>46</v>
      </c>
      <c r="C171" s="37" t="s">
        <v>448</v>
      </c>
      <c r="D171" s="131">
        <v>80</v>
      </c>
      <c r="E171" s="131">
        <v>3.25</v>
      </c>
      <c r="F171" s="157">
        <v>84</v>
      </c>
      <c r="G171" s="32" t="s">
        <v>43</v>
      </c>
      <c r="H171" s="37">
        <v>2003</v>
      </c>
      <c r="I171" s="26">
        <v>37700</v>
      </c>
      <c r="J171" s="32">
        <v>2003</v>
      </c>
      <c r="K171" s="32" t="s">
        <v>63</v>
      </c>
      <c r="L171" s="32" t="s">
        <v>54</v>
      </c>
      <c r="M171" s="32" t="s">
        <v>46</v>
      </c>
      <c r="N171" s="32" t="s">
        <v>60</v>
      </c>
      <c r="O171" s="32" t="s">
        <v>65</v>
      </c>
      <c r="P171" s="32" t="s">
        <v>449</v>
      </c>
      <c r="Q171" s="95" t="s">
        <v>289</v>
      </c>
      <c r="R171" s="32" t="str">
        <f t="shared" si="26"/>
        <v>Multiple</v>
      </c>
      <c r="S171" s="88">
        <f>500+2500</f>
        <v>3000</v>
      </c>
      <c r="T171" s="4">
        <v>39366</v>
      </c>
      <c r="U171" s="89">
        <f t="shared" si="27"/>
        <v>5</v>
      </c>
      <c r="V171" s="69" t="str">
        <f t="shared" si="28"/>
        <v>October</v>
      </c>
      <c r="BA171" s="17">
        <f t="shared" si="29"/>
        <v>1</v>
      </c>
      <c r="BB171" s="17">
        <f t="shared" si="30"/>
        <v>7.5</v>
      </c>
      <c r="BC171" s="209">
        <f t="shared" si="31"/>
        <v>168</v>
      </c>
      <c r="BD171" s="277">
        <f t="shared" si="32"/>
        <v>366.77</v>
      </c>
      <c r="BE171" s="17">
        <f t="shared" si="33"/>
        <v>0</v>
      </c>
      <c r="BF171" s="213">
        <f t="shared" si="34"/>
        <v>3534.77</v>
      </c>
      <c r="BG171" s="209">
        <f t="shared" si="35"/>
        <v>534.77</v>
      </c>
    </row>
    <row r="172" spans="1:72" s="23" customFormat="1" ht="26.25" thickBot="1" x14ac:dyDescent="0.3">
      <c r="A172" s="31" t="s">
        <v>360</v>
      </c>
      <c r="B172" s="37">
        <v>46</v>
      </c>
      <c r="C172" s="54" t="s">
        <v>448</v>
      </c>
      <c r="D172" s="133">
        <v>80</v>
      </c>
      <c r="E172" s="133">
        <v>3.25</v>
      </c>
      <c r="F172" s="159">
        <v>84</v>
      </c>
      <c r="G172" s="32" t="s">
        <v>43</v>
      </c>
      <c r="H172" s="37">
        <v>2003</v>
      </c>
      <c r="I172" s="27">
        <v>37700</v>
      </c>
      <c r="J172" s="32">
        <v>2003</v>
      </c>
      <c r="K172" s="31" t="s">
        <v>63</v>
      </c>
      <c r="L172" s="31" t="s">
        <v>54</v>
      </c>
      <c r="M172" s="31" t="s">
        <v>46</v>
      </c>
      <c r="N172" s="31" t="s">
        <v>60</v>
      </c>
      <c r="O172" s="31" t="s">
        <v>65</v>
      </c>
      <c r="P172" s="31" t="s">
        <v>277</v>
      </c>
      <c r="Q172" s="110" t="s">
        <v>67</v>
      </c>
      <c r="R172" s="32" t="str">
        <f t="shared" si="26"/>
        <v>Single</v>
      </c>
      <c r="S172" s="88">
        <v>2500</v>
      </c>
      <c r="T172" s="1">
        <v>38479</v>
      </c>
      <c r="U172" s="89">
        <f t="shared" si="27"/>
        <v>7</v>
      </c>
      <c r="V172" s="69" t="str">
        <f t="shared" si="28"/>
        <v>May</v>
      </c>
      <c r="AL172" s="179"/>
      <c r="AX172" s="182"/>
      <c r="AY172" s="204"/>
      <c r="AZ172" s="204"/>
      <c r="BA172" s="17">
        <f t="shared" si="29"/>
        <v>1</v>
      </c>
      <c r="BB172" s="17">
        <f t="shared" si="30"/>
        <v>7.5</v>
      </c>
      <c r="BC172" s="209">
        <f t="shared" si="31"/>
        <v>168</v>
      </c>
      <c r="BD172" s="277">
        <f t="shared" si="32"/>
        <v>366.77</v>
      </c>
      <c r="BE172" s="17">
        <f t="shared" si="33"/>
        <v>0</v>
      </c>
      <c r="BF172" s="213">
        <f t="shared" si="34"/>
        <v>3034.77</v>
      </c>
      <c r="BG172" s="209">
        <f t="shared" si="35"/>
        <v>534.77</v>
      </c>
      <c r="BS172" s="182"/>
      <c r="BT172" s="182"/>
    </row>
    <row r="173" spans="1:72" ht="26.25" thickBot="1" x14ac:dyDescent="0.3">
      <c r="A173" s="34" t="s">
        <v>360</v>
      </c>
      <c r="B173" s="37">
        <v>46</v>
      </c>
      <c r="C173" s="33" t="s">
        <v>448</v>
      </c>
      <c r="D173" s="136">
        <v>80</v>
      </c>
      <c r="E173" s="136">
        <v>3.25</v>
      </c>
      <c r="F173" s="156">
        <v>84</v>
      </c>
      <c r="G173" s="32" t="s">
        <v>43</v>
      </c>
      <c r="H173" s="37">
        <v>2003</v>
      </c>
      <c r="I173" s="28">
        <v>37700</v>
      </c>
      <c r="J173" s="32">
        <v>2003</v>
      </c>
      <c r="K173" s="34" t="s">
        <v>63</v>
      </c>
      <c r="L173" s="34" t="s">
        <v>54</v>
      </c>
      <c r="M173" s="34" t="s">
        <v>46</v>
      </c>
      <c r="N173" s="34" t="s">
        <v>60</v>
      </c>
      <c r="O173" s="34" t="s">
        <v>65</v>
      </c>
      <c r="P173" s="34" t="s">
        <v>450</v>
      </c>
      <c r="Q173" s="90" t="s">
        <v>67</v>
      </c>
      <c r="R173" s="32" t="str">
        <f t="shared" si="26"/>
        <v>Single</v>
      </c>
      <c r="S173" s="91">
        <v>500</v>
      </c>
      <c r="T173" s="3">
        <v>37758</v>
      </c>
      <c r="U173" s="89">
        <f t="shared" si="27"/>
        <v>7</v>
      </c>
      <c r="V173" s="69" t="str">
        <f t="shared" si="28"/>
        <v>May</v>
      </c>
      <c r="BA173" s="17">
        <f t="shared" si="29"/>
        <v>1</v>
      </c>
      <c r="BB173" s="17">
        <f t="shared" si="30"/>
        <v>7.5</v>
      </c>
      <c r="BC173" s="209">
        <f t="shared" si="31"/>
        <v>168</v>
      </c>
      <c r="BD173" s="277">
        <f t="shared" si="32"/>
        <v>366.77</v>
      </c>
      <c r="BE173" s="17">
        <f t="shared" si="33"/>
        <v>0</v>
      </c>
      <c r="BF173" s="213">
        <f t="shared" si="34"/>
        <v>1034.77</v>
      </c>
      <c r="BG173" s="209">
        <f t="shared" si="35"/>
        <v>534.77</v>
      </c>
    </row>
    <row r="174" spans="1:72" ht="26.25" thickBot="1" x14ac:dyDescent="0.3">
      <c r="A174" s="116" t="s">
        <v>362</v>
      </c>
      <c r="B174" s="64">
        <v>52</v>
      </c>
      <c r="C174" s="64" t="s">
        <v>269</v>
      </c>
      <c r="D174" s="115">
        <v>80</v>
      </c>
      <c r="E174" s="115">
        <v>3.25</v>
      </c>
      <c r="F174" s="151">
        <v>84</v>
      </c>
      <c r="G174" s="64" t="s">
        <v>43</v>
      </c>
      <c r="H174" s="64">
        <v>2003</v>
      </c>
      <c r="I174" s="58">
        <v>37700</v>
      </c>
      <c r="J174" s="64">
        <v>2004</v>
      </c>
      <c r="K174" s="64" t="s">
        <v>63</v>
      </c>
      <c r="L174" s="64" t="s">
        <v>54</v>
      </c>
      <c r="M174" s="64" t="s">
        <v>64</v>
      </c>
      <c r="N174" s="64" t="s">
        <v>47</v>
      </c>
      <c r="O174" s="64" t="s">
        <v>48</v>
      </c>
      <c r="P174" s="64" t="s">
        <v>152</v>
      </c>
      <c r="Q174" s="64" t="s">
        <v>67</v>
      </c>
      <c r="R174" s="32" t="str">
        <f t="shared" si="26"/>
        <v>Single</v>
      </c>
      <c r="S174" s="91">
        <v>750</v>
      </c>
      <c r="T174" s="58">
        <v>40912</v>
      </c>
      <c r="U174" s="89">
        <f t="shared" si="27"/>
        <v>4</v>
      </c>
      <c r="V174" s="69" t="str">
        <f t="shared" si="28"/>
        <v>January</v>
      </c>
      <c r="BA174" s="17">
        <f t="shared" si="29"/>
        <v>1</v>
      </c>
      <c r="BB174" s="17">
        <f t="shared" si="30"/>
        <v>7.5</v>
      </c>
      <c r="BC174" s="209">
        <f t="shared" si="31"/>
        <v>168</v>
      </c>
      <c r="BD174" s="277">
        <f t="shared" si="32"/>
        <v>366.77</v>
      </c>
      <c r="BE174" s="17">
        <f t="shared" si="33"/>
        <v>0</v>
      </c>
      <c r="BF174" s="213">
        <f t="shared" si="34"/>
        <v>1284.77</v>
      </c>
      <c r="BG174" s="209">
        <f t="shared" si="35"/>
        <v>534.77</v>
      </c>
    </row>
    <row r="175" spans="1:72" ht="38.25" x14ac:dyDescent="0.25">
      <c r="A175" s="32" t="s">
        <v>365</v>
      </c>
      <c r="B175" s="32">
        <v>36</v>
      </c>
      <c r="C175" s="43" t="s">
        <v>451</v>
      </c>
      <c r="D175" s="109">
        <v>6</v>
      </c>
      <c r="E175" s="109">
        <v>0.66</v>
      </c>
      <c r="F175" s="145">
        <v>25</v>
      </c>
      <c r="G175" s="32" t="s">
        <v>43</v>
      </c>
      <c r="H175" s="55">
        <v>2002</v>
      </c>
      <c r="I175" s="4">
        <v>37651</v>
      </c>
      <c r="J175" s="55">
        <v>2002</v>
      </c>
      <c r="K175" s="32" t="s">
        <v>44</v>
      </c>
      <c r="L175" s="39" t="s">
        <v>54</v>
      </c>
      <c r="M175" s="32" t="s">
        <v>46</v>
      </c>
      <c r="N175" s="32" t="s">
        <v>60</v>
      </c>
      <c r="O175" s="32" t="s">
        <v>65</v>
      </c>
      <c r="P175" s="32" t="s">
        <v>452</v>
      </c>
      <c r="Q175" s="95" t="s">
        <v>67</v>
      </c>
      <c r="R175" s="32" t="str">
        <f t="shared" si="26"/>
        <v>Single</v>
      </c>
      <c r="S175" s="88">
        <v>750</v>
      </c>
      <c r="T175" s="4">
        <v>43524</v>
      </c>
      <c r="U175" s="89">
        <f t="shared" si="27"/>
        <v>5</v>
      </c>
      <c r="V175" s="69" t="str">
        <f t="shared" si="28"/>
        <v>February</v>
      </c>
      <c r="BA175" s="17">
        <f t="shared" si="29"/>
        <v>1</v>
      </c>
      <c r="BB175" s="17">
        <f t="shared" si="30"/>
        <v>2.3200000000000003</v>
      </c>
      <c r="BC175" s="209">
        <f t="shared" si="31"/>
        <v>50</v>
      </c>
      <c r="BD175" s="277">
        <f t="shared" si="32"/>
        <v>183.38499999999999</v>
      </c>
      <c r="BE175" s="17">
        <f t="shared" si="33"/>
        <v>0</v>
      </c>
      <c r="BF175" s="213">
        <f t="shared" si="34"/>
        <v>983.38499999999999</v>
      </c>
      <c r="BG175" s="209">
        <f t="shared" si="35"/>
        <v>233.38499999999999</v>
      </c>
    </row>
    <row r="176" spans="1:72" ht="39" thickBot="1" x14ac:dyDescent="0.3">
      <c r="A176" s="32" t="s">
        <v>365</v>
      </c>
      <c r="B176" s="32">
        <v>36</v>
      </c>
      <c r="C176" s="34" t="s">
        <v>451</v>
      </c>
      <c r="D176" s="34">
        <v>6</v>
      </c>
      <c r="E176" s="34">
        <v>0.66</v>
      </c>
      <c r="F176" s="155">
        <v>25</v>
      </c>
      <c r="G176" s="34" t="s">
        <v>43</v>
      </c>
      <c r="H176" s="61">
        <v>2002</v>
      </c>
      <c r="I176" s="3">
        <v>37651</v>
      </c>
      <c r="J176" s="61">
        <v>2002</v>
      </c>
      <c r="K176" s="32" t="s">
        <v>44</v>
      </c>
      <c r="L176" s="36" t="s">
        <v>54</v>
      </c>
      <c r="M176" s="33" t="s">
        <v>46</v>
      </c>
      <c r="N176" s="32" t="s">
        <v>60</v>
      </c>
      <c r="O176" s="32" t="s">
        <v>65</v>
      </c>
      <c r="P176" s="34" t="s">
        <v>453</v>
      </c>
      <c r="Q176" s="34" t="s">
        <v>67</v>
      </c>
      <c r="R176" s="32" t="str">
        <f t="shared" si="26"/>
        <v>Single</v>
      </c>
      <c r="S176" s="91">
        <v>750</v>
      </c>
      <c r="T176" s="28">
        <v>38411</v>
      </c>
      <c r="U176" s="89">
        <f t="shared" si="27"/>
        <v>2</v>
      </c>
      <c r="V176" s="69" t="str">
        <f t="shared" si="28"/>
        <v>February</v>
      </c>
      <c r="BA176" s="17">
        <f t="shared" si="29"/>
        <v>1</v>
      </c>
      <c r="BB176" s="17">
        <f t="shared" si="30"/>
        <v>2.3200000000000003</v>
      </c>
      <c r="BC176" s="209">
        <f t="shared" si="31"/>
        <v>50</v>
      </c>
      <c r="BD176" s="277">
        <f t="shared" si="32"/>
        <v>183.38499999999999</v>
      </c>
      <c r="BE176" s="17">
        <f t="shared" si="33"/>
        <v>0</v>
      </c>
      <c r="BF176" s="213">
        <f t="shared" si="34"/>
        <v>983.38499999999999</v>
      </c>
      <c r="BG176" s="209">
        <f t="shared" si="35"/>
        <v>233.38499999999999</v>
      </c>
    </row>
    <row r="177" spans="1:72" s="23" customFormat="1" ht="26.25" thickBot="1" x14ac:dyDescent="0.3">
      <c r="A177" s="64" t="s">
        <v>367</v>
      </c>
      <c r="B177" s="64">
        <v>35</v>
      </c>
      <c r="C177" s="124" t="s">
        <v>454</v>
      </c>
      <c r="D177" s="49">
        <v>160</v>
      </c>
      <c r="E177" s="49">
        <v>6</v>
      </c>
      <c r="F177" s="146">
        <v>106</v>
      </c>
      <c r="G177" s="64" t="s">
        <v>43</v>
      </c>
      <c r="H177" s="64">
        <v>2010</v>
      </c>
      <c r="I177" s="64">
        <v>2010</v>
      </c>
      <c r="J177" s="64">
        <v>2010</v>
      </c>
      <c r="K177" s="64" t="s">
        <v>63</v>
      </c>
      <c r="L177" s="64" t="s">
        <v>54</v>
      </c>
      <c r="M177" s="64" t="s">
        <v>46</v>
      </c>
      <c r="N177" s="64" t="s">
        <v>47</v>
      </c>
      <c r="O177" s="64" t="s">
        <v>48</v>
      </c>
      <c r="P177" s="64" t="s">
        <v>152</v>
      </c>
      <c r="Q177" s="64" t="s">
        <v>67</v>
      </c>
      <c r="R177" s="32" t="str">
        <f t="shared" si="26"/>
        <v>Single</v>
      </c>
      <c r="S177" s="91">
        <v>750</v>
      </c>
      <c r="T177" s="58">
        <v>42061</v>
      </c>
      <c r="U177" s="89">
        <f t="shared" si="27"/>
        <v>5</v>
      </c>
      <c r="V177" s="69" t="str">
        <f t="shared" si="28"/>
        <v>February</v>
      </c>
      <c r="AL177" s="179"/>
      <c r="AX177" s="182"/>
      <c r="AY177" s="204"/>
      <c r="AZ177" s="204"/>
      <c r="BA177" s="17">
        <f t="shared" si="29"/>
        <v>1</v>
      </c>
      <c r="BB177" s="17">
        <f t="shared" si="30"/>
        <v>13</v>
      </c>
      <c r="BC177" s="209">
        <f t="shared" si="31"/>
        <v>212</v>
      </c>
      <c r="BD177" s="277">
        <f t="shared" si="32"/>
        <v>366.77</v>
      </c>
      <c r="BE177" s="17">
        <f t="shared" si="33"/>
        <v>0</v>
      </c>
      <c r="BF177" s="213">
        <f t="shared" si="34"/>
        <v>1328.77</v>
      </c>
      <c r="BG177" s="209">
        <f t="shared" si="35"/>
        <v>578.77</v>
      </c>
      <c r="BS177" s="182"/>
      <c r="BT177" s="182"/>
    </row>
    <row r="178" spans="1:72" s="22" customFormat="1" ht="26.25" thickBot="1" x14ac:dyDescent="0.3">
      <c r="A178" s="64" t="s">
        <v>368</v>
      </c>
      <c r="B178" s="64">
        <v>44</v>
      </c>
      <c r="C178" s="64" t="s">
        <v>455</v>
      </c>
      <c r="D178" s="115">
        <v>14</v>
      </c>
      <c r="E178" s="115">
        <v>1</v>
      </c>
      <c r="F178" s="151">
        <v>70</v>
      </c>
      <c r="G178" s="64" t="s">
        <v>43</v>
      </c>
      <c r="H178" s="64">
        <v>2009</v>
      </c>
      <c r="I178" s="64">
        <v>2009</v>
      </c>
      <c r="J178" s="64">
        <v>2010</v>
      </c>
      <c r="K178" s="64" t="s">
        <v>63</v>
      </c>
      <c r="L178" s="64" t="s">
        <v>54</v>
      </c>
      <c r="M178" s="64" t="s">
        <v>46</v>
      </c>
      <c r="N178" s="64" t="s">
        <v>47</v>
      </c>
      <c r="O178" s="64" t="s">
        <v>48</v>
      </c>
      <c r="P178" s="64" t="s">
        <v>152</v>
      </c>
      <c r="Q178" s="64" t="s">
        <v>67</v>
      </c>
      <c r="R178" s="32" t="str">
        <f t="shared" si="26"/>
        <v>Single</v>
      </c>
      <c r="S178" s="91">
        <v>750</v>
      </c>
      <c r="T178" s="58">
        <v>42420</v>
      </c>
      <c r="U178" s="89">
        <f t="shared" si="27"/>
        <v>7</v>
      </c>
      <c r="V178" s="69" t="str">
        <f t="shared" si="28"/>
        <v>February</v>
      </c>
      <c r="AL178" s="177"/>
      <c r="AX178" s="187"/>
      <c r="AY178" s="203"/>
      <c r="AZ178" s="203"/>
      <c r="BA178" s="17">
        <f t="shared" si="29"/>
        <v>1</v>
      </c>
      <c r="BB178" s="17">
        <f t="shared" si="30"/>
        <v>3</v>
      </c>
      <c r="BC178" s="209">
        <f t="shared" si="31"/>
        <v>140</v>
      </c>
      <c r="BD178" s="277">
        <f t="shared" si="32"/>
        <v>183.38499999999999</v>
      </c>
      <c r="BE178" s="17">
        <f t="shared" si="33"/>
        <v>0</v>
      </c>
      <c r="BF178" s="213">
        <f t="shared" si="34"/>
        <v>1073.385</v>
      </c>
      <c r="BG178" s="209">
        <f t="shared" si="35"/>
        <v>323.38499999999999</v>
      </c>
      <c r="BS178" s="187"/>
      <c r="BT178" s="187"/>
    </row>
    <row r="179" spans="1:72" s="22" customFormat="1" ht="26.25" thickBot="1" x14ac:dyDescent="0.3">
      <c r="A179" s="64" t="s">
        <v>369</v>
      </c>
      <c r="B179" s="64">
        <v>42</v>
      </c>
      <c r="C179" s="124" t="s">
        <v>456</v>
      </c>
      <c r="D179" s="124">
        <v>12.5</v>
      </c>
      <c r="E179" s="124">
        <v>1</v>
      </c>
      <c r="F179" s="162">
        <v>36</v>
      </c>
      <c r="G179" s="64" t="s">
        <v>43</v>
      </c>
      <c r="H179" s="64">
        <v>2010</v>
      </c>
      <c r="I179" s="64">
        <v>2011</v>
      </c>
      <c r="J179" s="64">
        <v>2011</v>
      </c>
      <c r="K179" s="64" t="s">
        <v>44</v>
      </c>
      <c r="L179" s="64" t="s">
        <v>54</v>
      </c>
      <c r="M179" s="64" t="s">
        <v>64</v>
      </c>
      <c r="N179" s="64" t="s">
        <v>60</v>
      </c>
      <c r="O179" s="64" t="s">
        <v>65</v>
      </c>
      <c r="P179" s="64" t="s">
        <v>457</v>
      </c>
      <c r="Q179" s="64" t="s">
        <v>308</v>
      </c>
      <c r="R179" s="32" t="str">
        <f t="shared" si="26"/>
        <v>Multiple</v>
      </c>
      <c r="S179" s="91">
        <f>7000+750</f>
        <v>7750</v>
      </c>
      <c r="T179" s="58">
        <v>42328</v>
      </c>
      <c r="U179" s="89">
        <f t="shared" si="27"/>
        <v>6</v>
      </c>
      <c r="V179" s="69" t="str">
        <f t="shared" si="28"/>
        <v>November</v>
      </c>
      <c r="AL179" s="177"/>
      <c r="AX179" s="187"/>
      <c r="AY179" s="203"/>
      <c r="AZ179" s="203"/>
      <c r="BA179" s="17">
        <f t="shared" si="29"/>
        <v>8</v>
      </c>
      <c r="BB179" s="17">
        <f t="shared" si="30"/>
        <v>10</v>
      </c>
      <c r="BC179" s="209">
        <f t="shared" si="31"/>
        <v>72</v>
      </c>
      <c r="BD179" s="277">
        <f t="shared" si="32"/>
        <v>366.77</v>
      </c>
      <c r="BE179" s="17">
        <f t="shared" si="33"/>
        <v>0</v>
      </c>
      <c r="BF179" s="213">
        <f t="shared" si="34"/>
        <v>8188.77</v>
      </c>
      <c r="BG179" s="209">
        <f t="shared" si="35"/>
        <v>438.77</v>
      </c>
      <c r="BS179" s="187"/>
      <c r="BT179" s="187"/>
    </row>
    <row r="180" spans="1:72" s="22" customFormat="1" ht="15.75" thickBot="1" x14ac:dyDescent="0.3">
      <c r="A180" s="68" t="s">
        <v>181</v>
      </c>
      <c r="B180">
        <f>SUBTOTAL(1,B2:B179)</f>
        <v>37.432584269662918</v>
      </c>
      <c r="C180">
        <f>SUBTOTAL(3,A2:A179)</f>
        <v>178</v>
      </c>
      <c r="D180">
        <f>SUBTOTAL(1,D2:D179)</f>
        <v>157.5</v>
      </c>
      <c r="E180">
        <f>SUBTOTAL(1,E2:E179)</f>
        <v>3.6651123595505624</v>
      </c>
      <c r="F180">
        <f>SUBTOTAL(1,F2:F179)</f>
        <v>134.09550561797752</v>
      </c>
      <c r="G180" s="21"/>
      <c r="H180" s="21"/>
      <c r="I180" s="21"/>
      <c r="J180" s="21"/>
      <c r="K180" s="21"/>
      <c r="L180" s="21"/>
      <c r="M180" s="21"/>
      <c r="N180">
        <f t="array" aca="1" ref="N180" ca="1">SUMPRODUCT((SUBTOTAL(3,OFFSET(N2:N179,ROW(N2:N179)-MIN(ROW(N2:N179)),,1))*(N2:N179="Body powered")))</f>
        <v>122</v>
      </c>
      <c r="O180" s="21"/>
      <c r="P180" s="21"/>
      <c r="Q180" s="65">
        <f>SUBTOTAL(3,Q2:Q179)</f>
        <v>178</v>
      </c>
      <c r="R180" s="186">
        <f ca="1">SUMPRODUCT((SUBTOTAL(3,OFFSET(R2:R179,ROW(R2:R179)-MIN(ROW(R2:R179)),,1))*(R2:R179="Single")))</f>
        <v>144</v>
      </c>
      <c r="S180">
        <f>SUBTOTAL(1,S2:S179)</f>
        <v>2142.1348314606744</v>
      </c>
      <c r="T180" s="30"/>
      <c r="U180" s="66"/>
      <c r="V180" s="21"/>
      <c r="AL180" s="177"/>
      <c r="AX180" s="187"/>
      <c r="AY180" s="203"/>
      <c r="AZ180" s="203"/>
      <c r="BA180">
        <f t="shared" ref="BA180:BG180" si="36">SUBTOTAL(1,BA2:BA179)</f>
        <v>2.9269662921348316</v>
      </c>
      <c r="BB180">
        <f t="shared" si="36"/>
        <v>10.257191011235953</v>
      </c>
      <c r="BC180">
        <f t="shared" si="36"/>
        <v>288.5168539325843</v>
      </c>
      <c r="BD180" s="278">
        <f t="shared" si="36"/>
        <v>324.47558988763973</v>
      </c>
      <c r="BE180">
        <f t="shared" si="36"/>
        <v>57.62786516853933</v>
      </c>
      <c r="BF180">
        <f t="shared" si="36"/>
        <v>2812.7551404494438</v>
      </c>
      <c r="BG180" s="304">
        <f t="shared" si="36"/>
        <v>670.62030898876412</v>
      </c>
      <c r="BS180" s="187"/>
      <c r="BT180" s="187"/>
    </row>
    <row r="181" spans="1:72" x14ac:dyDescent="0.25">
      <c r="A181" s="68" t="s">
        <v>458</v>
      </c>
      <c r="B181">
        <f>SUBTOTAL(7,B2:B179)</f>
        <v>14.102468231943355</v>
      </c>
      <c r="D181">
        <f>SUBTOTAL(7,D2:D179)</f>
        <v>288.78101466650844</v>
      </c>
      <c r="E181">
        <f>SUBTOTAL(7,E2:E179)</f>
        <v>3.4228920667030023</v>
      </c>
      <c r="F181">
        <f>SUBTOTAL(7,F2:F179)</f>
        <v>423.36563364743921</v>
      </c>
      <c r="N181">
        <f t="array" aca="1" ref="N181" ca="1">SUMPRODUCT((SUBTOTAL(3,OFFSET(N2:N179,ROW(N2:N179)-MIN(ROW(N2:N179)),,1))*(N2:N179="Cosmetic")))</f>
        <v>49</v>
      </c>
      <c r="R181" s="186">
        <f ca="1">SUMPRODUCT((SUBTOTAL(3,OFFSET(R2:R179,ROW(R2:R179)-MIN(ROW(R2:R179)),,1))*(R2:R179="Multiple")))</f>
        <v>34</v>
      </c>
      <c r="S181">
        <f>SUBTOTAL(7,S2:S179)</f>
        <v>2189.1604932790074</v>
      </c>
      <c r="BA181">
        <f t="shared" ref="BA181:BG181" si="37">SUBTOTAL(7,BA2:BA179)</f>
        <v>3.1354097235370344</v>
      </c>
      <c r="BB181">
        <f t="shared" si="37"/>
        <v>7.5014345127195066</v>
      </c>
      <c r="BC181">
        <f t="shared" si="37"/>
        <v>879.4860866156431</v>
      </c>
      <c r="BD181" s="278">
        <f t="shared" si="37"/>
        <v>111.04315021757863</v>
      </c>
      <c r="BE181">
        <f t="shared" si="37"/>
        <v>171.56051486890397</v>
      </c>
      <c r="BF181">
        <f t="shared" si="37"/>
        <v>2506.0224076514573</v>
      </c>
      <c r="BG181" s="304">
        <f t="shared" si="37"/>
        <v>990.29077743377138</v>
      </c>
    </row>
    <row r="182" spans="1:72" x14ac:dyDescent="0.25">
      <c r="A182" s="68" t="s">
        <v>459</v>
      </c>
      <c r="B182">
        <f>SUBTOTAL(8,B2:B179)</f>
        <v>14.062798763115662</v>
      </c>
      <c r="D182">
        <f>SUBTOTAL(8,D2:D179)</f>
        <v>287.96409361071312</v>
      </c>
      <c r="E182">
        <f>SUBTOTAL(8,E2:E179)</f>
        <v>3.4132636592563497</v>
      </c>
      <c r="F182">
        <f>SUBTOTAL(8,F2:F179)</f>
        <v>422.17472936526173</v>
      </c>
      <c r="S182">
        <f>SUBTOTAL(8,S2:S179)</f>
        <v>2183.0025050092495</v>
      </c>
      <c r="BA182">
        <f t="shared" ref="BA182:BG182" si="38">SUBTOTAL(8,BA2:BA179)</f>
        <v>3.1265899881372294</v>
      </c>
      <c r="BB182">
        <f t="shared" si="38"/>
        <v>7.4803333893082691</v>
      </c>
      <c r="BC182">
        <f t="shared" si="38"/>
        <v>877.01214054297168</v>
      </c>
      <c r="BD182" s="278">
        <f t="shared" si="38"/>
        <v>110.73079193294105</v>
      </c>
      <c r="BE182">
        <f t="shared" si="38"/>
        <v>171.07792456026286</v>
      </c>
      <c r="BF182">
        <f t="shared" si="38"/>
        <v>2498.9731042141589</v>
      </c>
      <c r="BG182" s="304">
        <f t="shared" si="38"/>
        <v>987.50514384966039</v>
      </c>
    </row>
    <row r="183" spans="1:72" s="23" customFormat="1" ht="15.75" thickBot="1" x14ac:dyDescent="0.3">
      <c r="A183" s="68" t="s">
        <v>118</v>
      </c>
      <c r="B183">
        <f>SUBTOTAL(4, B2:B179)-SUBTOTAL(5, B2:B179)</f>
        <v>70</v>
      </c>
      <c r="C183" s="21"/>
      <c r="D183">
        <f>SUBTOTAL(4, D2:D179)-SUBTOTAL(5, D2:D179)</f>
        <v>2997</v>
      </c>
      <c r="E183">
        <f>SUBTOTAL(4, E2:E179)-SUBTOTAL(5, E2:E179)</f>
        <v>16.75</v>
      </c>
      <c r="F183">
        <f>SUBTOTAL(4, F2:F179)-SUBTOTAL(5, F2:F179)</f>
        <v>5490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65"/>
      <c r="R183" s="65"/>
      <c r="S183">
        <f>SUBTOTAL(4, S2:S179)-SUBTOTAL(5, S2:S179)</f>
        <v>12350</v>
      </c>
      <c r="T183" s="30"/>
      <c r="U183" s="66"/>
      <c r="V183" s="21"/>
      <c r="AL183" s="179"/>
      <c r="AX183" s="182"/>
      <c r="AY183" s="204"/>
      <c r="AZ183" s="204"/>
      <c r="BA183">
        <f t="shared" ref="BA183:BG183" si="39">SUBTOTAL(4, BA2:BA179)-SUBTOTAL(5, BA2:BA179)</f>
        <v>7</v>
      </c>
      <c r="BB183">
        <f t="shared" si="39"/>
        <v>40.5</v>
      </c>
      <c r="BC183">
        <f t="shared" si="39"/>
        <v>10980</v>
      </c>
      <c r="BD183" s="278">
        <f t="shared" si="39"/>
        <v>607.14499999999998</v>
      </c>
      <c r="BE183">
        <f t="shared" si="39"/>
        <v>619.78</v>
      </c>
      <c r="BF183">
        <f t="shared" si="39"/>
        <v>16746.925000000003</v>
      </c>
      <c r="BG183" s="304">
        <f t="shared" si="39"/>
        <v>11913.915000000001</v>
      </c>
      <c r="BS183" s="182"/>
      <c r="BT183" s="182"/>
    </row>
    <row r="184" spans="1:72" s="22" customFormat="1" ht="15.75" thickBot="1" x14ac:dyDescent="0.3">
      <c r="A184" s="68" t="s">
        <v>460</v>
      </c>
      <c r="B184">
        <f>SUBTOTAL(4, B2:B179)</f>
        <v>77</v>
      </c>
      <c r="C184" s="21"/>
      <c r="D184">
        <f>SUBTOTAL(4, D2:D179)</f>
        <v>3000</v>
      </c>
      <c r="E184">
        <f>SUBTOTAL(4, E2:E179)</f>
        <v>17</v>
      </c>
      <c r="F184">
        <f>SUBTOTAL(4, F2:F179)</f>
        <v>5500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65"/>
      <c r="R184" s="65"/>
      <c r="S184">
        <f>SUBTOTAL(4, S2:S179)</f>
        <v>12500</v>
      </c>
      <c r="T184" s="30"/>
      <c r="U184" s="66"/>
      <c r="V184" s="21"/>
      <c r="AL184" s="177"/>
      <c r="AX184" s="187"/>
      <c r="AY184" s="203"/>
      <c r="AZ184" s="203"/>
      <c r="BA184">
        <f t="shared" ref="BA184:BG184" si="40">SUBTOTAL(4, BA2:BA179)</f>
        <v>8</v>
      </c>
      <c r="BB184">
        <f t="shared" si="40"/>
        <v>42</v>
      </c>
      <c r="BC184">
        <f t="shared" si="40"/>
        <v>11000</v>
      </c>
      <c r="BD184" s="278">
        <f t="shared" si="40"/>
        <v>733.54</v>
      </c>
      <c r="BE184">
        <f t="shared" si="40"/>
        <v>619.78</v>
      </c>
      <c r="BF184">
        <f t="shared" si="40"/>
        <v>17100.310000000001</v>
      </c>
      <c r="BG184" s="304">
        <f t="shared" si="40"/>
        <v>12100.310000000001</v>
      </c>
      <c r="BS184" s="187"/>
      <c r="BT184" s="187"/>
    </row>
    <row r="185" spans="1:72" x14ac:dyDescent="0.25">
      <c r="A185" s="68" t="s">
        <v>461</v>
      </c>
      <c r="B185">
        <f>SUBTOTAL(5, B2:B179)</f>
        <v>7</v>
      </c>
      <c r="D185">
        <f>SUBTOTAL(5, D2:D179)</f>
        <v>3</v>
      </c>
      <c r="E185">
        <f>SUBTOTAL(5, E2:E179)</f>
        <v>0.25</v>
      </c>
      <c r="F185">
        <f>SUBTOTAL(5, F2:F179)</f>
        <v>10</v>
      </c>
      <c r="S185">
        <f>SUBTOTAL(5, S2:S179)</f>
        <v>150</v>
      </c>
      <c r="BA185">
        <f t="shared" ref="BA185:BG185" si="41">SUBTOTAL(5, BA2:BA179)</f>
        <v>1</v>
      </c>
      <c r="BB185">
        <f t="shared" si="41"/>
        <v>1.5</v>
      </c>
      <c r="BC185">
        <f t="shared" si="41"/>
        <v>20</v>
      </c>
      <c r="BD185" s="278">
        <f t="shared" si="41"/>
        <v>126.395</v>
      </c>
      <c r="BE185">
        <f t="shared" si="41"/>
        <v>0</v>
      </c>
      <c r="BF185">
        <f t="shared" si="41"/>
        <v>353.38499999999999</v>
      </c>
      <c r="BG185" s="304">
        <f t="shared" si="41"/>
        <v>186.39499999999998</v>
      </c>
    </row>
    <row r="186" spans="1:72" s="23" customFormat="1" ht="15.75" thickBot="1" x14ac:dyDescent="0.3">
      <c r="A186" s="21"/>
      <c r="B186" s="21"/>
      <c r="C186" s="21"/>
      <c r="D186" s="65"/>
      <c r="E186" s="65"/>
      <c r="F186" s="87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65"/>
      <c r="R186" s="65"/>
      <c r="S186" s="87">
        <f>MEDIAN(S2:S162)</f>
        <v>950</v>
      </c>
      <c r="T186" s="30"/>
      <c r="U186" s="66"/>
      <c r="V186" s="21"/>
      <c r="AL186" s="179"/>
      <c r="AX186" s="182"/>
      <c r="AY186" s="204"/>
      <c r="AZ186" s="204"/>
      <c r="BC186" s="212"/>
      <c r="BD186" s="279"/>
      <c r="BF186" s="216"/>
      <c r="BG186" s="212"/>
      <c r="BS186" s="182"/>
      <c r="BT186" s="182"/>
    </row>
    <row r="187" spans="1:72" s="22" customFormat="1" ht="15.75" thickBot="1" x14ac:dyDescent="0.3">
      <c r="A187" s="21"/>
      <c r="B187" s="21"/>
      <c r="C187" s="21"/>
      <c r="D187" s="65"/>
      <c r="E187" s="65"/>
      <c r="F187" s="87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65"/>
      <c r="R187" s="65"/>
      <c r="S187" s="87"/>
      <c r="T187" s="30"/>
      <c r="U187" s="66"/>
      <c r="V187" s="21"/>
      <c r="AL187" s="177"/>
      <c r="AX187" s="187"/>
      <c r="AY187" s="203"/>
      <c r="AZ187" s="203"/>
      <c r="BC187" s="211"/>
      <c r="BD187" s="280"/>
      <c r="BF187" s="215"/>
      <c r="BG187" s="211"/>
      <c r="BS187" s="187"/>
      <c r="BT187" s="187"/>
    </row>
    <row r="188" spans="1:72" s="22" customFormat="1" ht="15.75" thickBot="1" x14ac:dyDescent="0.3">
      <c r="A188" s="21"/>
      <c r="B188" s="21"/>
      <c r="C188" s="21"/>
      <c r="D188" s="65"/>
      <c r="E188" s="65"/>
      <c r="F188" s="87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65"/>
      <c r="R188" s="65"/>
      <c r="S188" s="87"/>
      <c r="T188" s="30"/>
      <c r="U188" s="66"/>
      <c r="V188" s="21"/>
      <c r="AL188" s="177"/>
      <c r="AX188" s="187"/>
      <c r="AY188" s="203"/>
      <c r="AZ188" s="203"/>
      <c r="BC188" s="211"/>
      <c r="BD188" s="280"/>
      <c r="BF188" s="215"/>
      <c r="BG188" s="211"/>
      <c r="BS188" s="187"/>
      <c r="BT188" s="187"/>
    </row>
    <row r="189" spans="1:72" s="22" customFormat="1" ht="15.75" thickBot="1" x14ac:dyDescent="0.3">
      <c r="A189" s="21"/>
      <c r="B189" s="21"/>
      <c r="C189" s="21"/>
      <c r="D189" s="65"/>
      <c r="E189" s="65"/>
      <c r="F189" s="87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65"/>
      <c r="R189" s="65"/>
      <c r="S189" s="87"/>
      <c r="T189" s="30"/>
      <c r="U189" s="66"/>
      <c r="V189" s="21"/>
      <c r="AL189" s="177"/>
      <c r="AX189" s="187"/>
      <c r="AY189" s="203"/>
      <c r="AZ189" s="203"/>
      <c r="BC189" s="211"/>
      <c r="BD189" s="280"/>
      <c r="BF189" s="215"/>
      <c r="BG189" s="211"/>
      <c r="BS189" s="187"/>
      <c r="BT189" s="187"/>
    </row>
  </sheetData>
  <autoFilter ref="A1:V186" xr:uid="{7E0F8CC3-20B0-4DCA-B171-59F1B5334975}"/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53BC-F57C-48BA-AE28-2659285F7733}">
  <dimension ref="A1:AF106"/>
  <sheetViews>
    <sheetView topLeftCell="H1" zoomScale="77" zoomScaleNormal="40" workbookViewId="0">
      <pane ySplit="1" topLeftCell="A2" activePane="bottomLeft" state="frozen"/>
      <selection activeCell="G1" sqref="G1"/>
      <selection pane="bottomLeft" sqref="A1:AE6"/>
    </sheetView>
  </sheetViews>
  <sheetFormatPr defaultRowHeight="15" x14ac:dyDescent="0.25"/>
  <cols>
    <col min="3" max="3" width="23.140625" customWidth="1"/>
    <col min="4" max="4" width="18.42578125" customWidth="1"/>
    <col min="5" max="5" width="16.42578125" customWidth="1"/>
    <col min="6" max="6" width="17.140625" customWidth="1"/>
    <col min="8" max="8" width="13.85546875" style="415" bestFit="1" customWidth="1"/>
    <col min="9" max="9" width="13.85546875" customWidth="1"/>
    <col min="10" max="10" width="14" style="169" bestFit="1" customWidth="1"/>
    <col min="11" max="11" width="14.42578125" customWidth="1"/>
    <col min="12" max="12" width="13.85546875" customWidth="1"/>
    <col min="13" max="14" width="13.85546875" bestFit="1" customWidth="1"/>
    <col min="15" max="15" width="12.5703125" bestFit="1" customWidth="1"/>
    <col min="16" max="16" width="10.42578125" bestFit="1" customWidth="1"/>
    <col min="17" max="17" width="26.5703125" customWidth="1"/>
    <col min="18" max="18" width="15.42578125" customWidth="1"/>
    <col min="19" max="19" width="10.140625" bestFit="1" customWidth="1"/>
    <col min="20" max="20" width="10.140625" style="174" bestFit="1" customWidth="1"/>
    <col min="21" max="21" width="10.140625" style="169" bestFit="1" customWidth="1"/>
    <col min="24" max="24" width="27.5703125" style="171" customWidth="1"/>
    <col min="26" max="26" width="11.5703125" bestFit="1" customWidth="1"/>
    <col min="27" max="27" width="11.5703125" customWidth="1"/>
    <col min="28" max="28" width="8.85546875" style="172" customWidth="1"/>
    <col min="31" max="31" width="26.42578125" customWidth="1"/>
  </cols>
  <sheetData>
    <row r="1" spans="1:32" ht="131.2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86" t="s">
        <v>5</v>
      </c>
      <c r="G1" s="12" t="s">
        <v>6</v>
      </c>
      <c r="H1" s="11" t="s">
        <v>7</v>
      </c>
      <c r="I1" s="173" t="s">
        <v>462</v>
      </c>
      <c r="J1" s="168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86" t="s">
        <v>18</v>
      </c>
      <c r="U1" s="14" t="s">
        <v>19</v>
      </c>
      <c r="V1" s="164" t="s">
        <v>20</v>
      </c>
      <c r="W1" s="164" t="s">
        <v>21</v>
      </c>
      <c r="X1" s="164" t="s">
        <v>463</v>
      </c>
      <c r="Y1" s="180" t="s">
        <v>25</v>
      </c>
      <c r="Z1" s="180" t="s">
        <v>464</v>
      </c>
      <c r="AA1" s="180" t="s">
        <v>465</v>
      </c>
      <c r="AB1" s="176" t="s">
        <v>466</v>
      </c>
      <c r="AC1" s="175" t="s">
        <v>23</v>
      </c>
      <c r="AD1" s="180" t="s">
        <v>26</v>
      </c>
    </row>
    <row r="2" spans="1:32" ht="38.25" x14ac:dyDescent="0.25">
      <c r="A2" s="31" t="s">
        <v>41</v>
      </c>
      <c r="B2" s="31">
        <v>55</v>
      </c>
      <c r="C2" s="31" t="s">
        <v>467</v>
      </c>
      <c r="D2" s="31">
        <v>13</v>
      </c>
      <c r="E2" s="31">
        <v>1</v>
      </c>
      <c r="F2" s="138">
        <v>20</v>
      </c>
      <c r="G2" s="31" t="s">
        <v>43</v>
      </c>
      <c r="H2" s="122">
        <v>1987</v>
      </c>
      <c r="I2" s="170">
        <f t="shared" ref="I2:I6" si="0">B2+H2-YEAR(J2)</f>
        <v>23</v>
      </c>
      <c r="J2" s="1">
        <v>43763</v>
      </c>
      <c r="K2" s="54">
        <v>1987</v>
      </c>
      <c r="L2" s="31" t="s">
        <v>44</v>
      </c>
      <c r="M2" s="31" t="s">
        <v>45</v>
      </c>
      <c r="N2" s="54" t="s">
        <v>46</v>
      </c>
      <c r="O2" s="31" t="s">
        <v>468</v>
      </c>
      <c r="P2" s="31" t="s">
        <v>468</v>
      </c>
      <c r="Q2" s="31" t="s">
        <v>49</v>
      </c>
      <c r="R2" s="31" t="s">
        <v>50</v>
      </c>
      <c r="S2" s="32" t="str">
        <f t="shared" ref="S2:S6" si="1">IF(OR(ISNUMBER(SEARCH("&amp;", R2)), ISNUMBER(SEARCH(",", R2))), "Multiple", "Single")</f>
        <v>Multiple</v>
      </c>
      <c r="T2" s="88">
        <v>350</v>
      </c>
      <c r="U2" s="27">
        <v>44048</v>
      </c>
      <c r="V2" s="165">
        <f t="shared" ref="V2:V6" si="2">WEEKDAY(U2)</f>
        <v>4</v>
      </c>
      <c r="W2" s="69" t="str">
        <f t="shared" ref="W2:W6" si="3">TEXT(U2,"mmmm")</f>
        <v>August</v>
      </c>
      <c r="X2" s="171">
        <f t="shared" ref="X2:X6" si="4">(IMSUB(K2,H2))*1</f>
        <v>0</v>
      </c>
      <c r="Y2">
        <v>2</v>
      </c>
      <c r="Z2">
        <f t="shared" ref="Z2:Z6" si="5">IF(DATE(K2,1,1)&lt;DATE(2003,5,17),18.38,(DATE(2021,10,1)-DATE(K2,1,1))/365.25)</f>
        <v>18.38</v>
      </c>
      <c r="AA2">
        <f t="shared" ref="AA2:AA6" si="6">Z2/Y2</f>
        <v>9.19</v>
      </c>
      <c r="AB2" s="172" t="s">
        <v>469</v>
      </c>
      <c r="AC2">
        <f ca="1">SUMPRODUCT((SUBTOTAL(3,OFFSET(X2:X6,ROW(X2:X6)-MIN(ROW(X2:X6)),,1))*(X2:X6&lt;=5)))</f>
        <v>4</v>
      </c>
      <c r="AD2">
        <v>1450</v>
      </c>
      <c r="AE2" s="180" t="s">
        <v>470</v>
      </c>
      <c r="AF2">
        <f>COUNTIF(Z2:Z6,18.38)</f>
        <v>3</v>
      </c>
    </row>
    <row r="3" spans="1:32" ht="64.5" thickBot="1" x14ac:dyDescent="0.3">
      <c r="A3" s="34" t="s">
        <v>58</v>
      </c>
      <c r="B3" s="34">
        <v>57</v>
      </c>
      <c r="C3" s="167" t="s">
        <v>61</v>
      </c>
      <c r="D3" s="166" t="s">
        <v>62</v>
      </c>
      <c r="E3" s="34">
        <v>0.67</v>
      </c>
      <c r="F3" s="155">
        <v>25</v>
      </c>
      <c r="G3" s="34" t="s">
        <v>43</v>
      </c>
      <c r="H3" s="119">
        <v>1979</v>
      </c>
      <c r="I3" s="170">
        <f t="shared" si="0"/>
        <v>17</v>
      </c>
      <c r="J3" s="3">
        <v>43637</v>
      </c>
      <c r="K3" s="33">
        <v>1986</v>
      </c>
      <c r="L3" s="34" t="s">
        <v>63</v>
      </c>
      <c r="M3" s="34" t="s">
        <v>45</v>
      </c>
      <c r="N3" s="33" t="s">
        <v>64</v>
      </c>
      <c r="O3" s="34" t="s">
        <v>60</v>
      </c>
      <c r="P3" s="34" t="s">
        <v>65</v>
      </c>
      <c r="Q3" s="34" t="s">
        <v>66</v>
      </c>
      <c r="R3" s="34" t="s">
        <v>67</v>
      </c>
      <c r="S3" s="32" t="str">
        <f t="shared" si="1"/>
        <v>Single</v>
      </c>
      <c r="T3" s="91">
        <v>500</v>
      </c>
      <c r="U3" s="28">
        <v>43729</v>
      </c>
      <c r="V3" s="165">
        <f t="shared" si="2"/>
        <v>7</v>
      </c>
      <c r="W3" s="69" t="str">
        <f t="shared" si="3"/>
        <v>September</v>
      </c>
      <c r="X3" s="171">
        <f t="shared" si="4"/>
        <v>7</v>
      </c>
      <c r="Y3">
        <v>2</v>
      </c>
      <c r="Z3">
        <f t="shared" si="5"/>
        <v>18.38</v>
      </c>
      <c r="AA3">
        <f t="shared" si="6"/>
        <v>9.19</v>
      </c>
      <c r="AB3" s="172" t="s">
        <v>471</v>
      </c>
      <c r="AC3">
        <f ca="1">SUMPRODUCT((SUBTOTAL(3,OFFSET(X2:X6,ROW(X2:X6)-MIN(ROW(X2:X6)),,1))*(X2:X6&lt;=10)))-SUMPRODUCT((SUBTOTAL(3,OFFSET(X2:X6,ROW(X2:X6)-MIN(ROW(X2:X6)),,1))*(X2:X6&lt;=5)))</f>
        <v>1</v>
      </c>
      <c r="AD3">
        <v>1250</v>
      </c>
    </row>
    <row r="4" spans="1:32" ht="25.5" x14ac:dyDescent="0.25">
      <c r="A4" s="32" t="s">
        <v>70</v>
      </c>
      <c r="B4" s="32">
        <v>59</v>
      </c>
      <c r="C4" s="32" t="s">
        <v>77</v>
      </c>
      <c r="D4" s="32">
        <v>12</v>
      </c>
      <c r="E4" s="32">
        <v>1</v>
      </c>
      <c r="F4" s="88">
        <v>22</v>
      </c>
      <c r="G4" s="32" t="s">
        <v>43</v>
      </c>
      <c r="H4" s="118">
        <v>1988</v>
      </c>
      <c r="I4" s="170">
        <f t="shared" si="0"/>
        <v>28</v>
      </c>
      <c r="J4" s="4">
        <v>43570</v>
      </c>
      <c r="K4" s="37">
        <v>1989</v>
      </c>
      <c r="L4" s="39" t="s">
        <v>63</v>
      </c>
      <c r="M4" s="32" t="s">
        <v>54</v>
      </c>
      <c r="N4" s="37" t="s">
        <v>46</v>
      </c>
      <c r="O4" s="32" t="s">
        <v>60</v>
      </c>
      <c r="P4" s="39" t="s">
        <v>65</v>
      </c>
      <c r="Q4" s="32" t="s">
        <v>78</v>
      </c>
      <c r="R4" s="32" t="s">
        <v>67</v>
      </c>
      <c r="S4" s="32" t="str">
        <f t="shared" si="1"/>
        <v>Single</v>
      </c>
      <c r="T4" s="88">
        <v>750</v>
      </c>
      <c r="U4" s="26">
        <v>44062</v>
      </c>
      <c r="V4" s="165">
        <f t="shared" si="2"/>
        <v>4</v>
      </c>
      <c r="W4" s="69" t="str">
        <f t="shared" si="3"/>
        <v>August</v>
      </c>
      <c r="X4" s="171">
        <f t="shared" si="4"/>
        <v>1</v>
      </c>
      <c r="Y4">
        <v>2</v>
      </c>
      <c r="Z4">
        <f t="shared" si="5"/>
        <v>18.38</v>
      </c>
      <c r="AA4">
        <f t="shared" si="6"/>
        <v>9.19</v>
      </c>
      <c r="AB4" s="172" t="s">
        <v>472</v>
      </c>
      <c r="AC4">
        <f ca="1">SUMPRODUCT((SUBTOTAL(3,OFFSET(X2:X6,ROW(X2:X6)-MIN(ROW(X2:X6)),,1))*(X2:X6&lt;=15)))-SUMPRODUCT((SUBTOTAL(3,OFFSET(X2:X6,ROW(X2:X6)-MIN(ROW(X2:X6)),,1))*(X2:X6&lt;=10)))</f>
        <v>0</v>
      </c>
      <c r="AD4">
        <v>1500</v>
      </c>
    </row>
    <row r="5" spans="1:32" ht="51.75" thickBot="1" x14ac:dyDescent="0.3">
      <c r="A5" s="34" t="s">
        <v>75</v>
      </c>
      <c r="B5" s="32">
        <v>45</v>
      </c>
      <c r="C5" s="167" t="s">
        <v>88</v>
      </c>
      <c r="D5" s="32">
        <v>32</v>
      </c>
      <c r="E5" s="32">
        <v>2</v>
      </c>
      <c r="F5" s="88">
        <v>90</v>
      </c>
      <c r="G5" s="34" t="s">
        <v>89</v>
      </c>
      <c r="H5" s="119">
        <v>2018</v>
      </c>
      <c r="I5" s="170">
        <f t="shared" si="0"/>
        <v>45</v>
      </c>
      <c r="J5" s="3">
        <v>43454</v>
      </c>
      <c r="K5" s="33">
        <v>2019</v>
      </c>
      <c r="L5" s="36" t="s">
        <v>63</v>
      </c>
      <c r="M5" s="34" t="s">
        <v>54</v>
      </c>
      <c r="N5" s="33" t="s">
        <v>64</v>
      </c>
      <c r="O5" s="34" t="s">
        <v>60</v>
      </c>
      <c r="P5" s="36" t="s">
        <v>65</v>
      </c>
      <c r="Q5" s="34" t="s">
        <v>90</v>
      </c>
      <c r="R5" s="34" t="s">
        <v>91</v>
      </c>
      <c r="S5" s="32" t="str">
        <f t="shared" si="1"/>
        <v>Single</v>
      </c>
      <c r="T5" s="91">
        <v>1000</v>
      </c>
      <c r="U5" s="28">
        <v>43819</v>
      </c>
      <c r="V5" s="165">
        <f t="shared" si="2"/>
        <v>6</v>
      </c>
      <c r="W5" s="69" t="str">
        <f t="shared" si="3"/>
        <v>December</v>
      </c>
      <c r="X5" s="171">
        <f t="shared" si="4"/>
        <v>1</v>
      </c>
      <c r="Y5">
        <v>1</v>
      </c>
      <c r="Z5">
        <f t="shared" si="5"/>
        <v>2.7488021902806299</v>
      </c>
      <c r="AA5">
        <f t="shared" si="6"/>
        <v>2.7488021902806299</v>
      </c>
      <c r="AB5" s="172" t="s">
        <v>473</v>
      </c>
      <c r="AC5">
        <f ca="1">SUMPRODUCT((SUBTOTAL(3,OFFSET(X2:X6,ROW(X2:X6)-MIN(ROW(X2:X6)),,1))*(X2:X6&lt;=20)))-SUMPRODUCT((SUBTOTAL(3,OFFSET(X2:X6,ROW(X2:X6)-MIN(ROW(X2:X6)),,1))*(X2:X6&lt;=15)))</f>
        <v>0</v>
      </c>
      <c r="AD5">
        <v>1000</v>
      </c>
    </row>
    <row r="6" spans="1:32" ht="51" x14ac:dyDescent="0.25">
      <c r="A6" s="39" t="s">
        <v>81</v>
      </c>
      <c r="B6" s="39">
        <v>46</v>
      </c>
      <c r="C6" s="92" t="s">
        <v>96</v>
      </c>
      <c r="D6" s="93">
        <v>12</v>
      </c>
      <c r="E6" s="93">
        <v>1</v>
      </c>
      <c r="F6" s="139">
        <v>22</v>
      </c>
      <c r="G6" s="39" t="s">
        <v>43</v>
      </c>
      <c r="H6" s="414">
        <v>2018</v>
      </c>
      <c r="I6" s="170">
        <f t="shared" si="0"/>
        <v>46</v>
      </c>
      <c r="J6" s="9">
        <v>43365</v>
      </c>
      <c r="K6" s="55">
        <v>2019</v>
      </c>
      <c r="L6" s="32" t="s">
        <v>63</v>
      </c>
      <c r="M6" s="39" t="s">
        <v>474</v>
      </c>
      <c r="N6" s="55" t="s">
        <v>46</v>
      </c>
      <c r="O6" s="32" t="s">
        <v>468</v>
      </c>
      <c r="P6" s="39" t="s">
        <v>468</v>
      </c>
      <c r="Q6" s="39" t="s">
        <v>98</v>
      </c>
      <c r="R6" s="39" t="s">
        <v>67</v>
      </c>
      <c r="S6" s="32" t="str">
        <f t="shared" si="1"/>
        <v>Single</v>
      </c>
      <c r="T6" s="88">
        <v>7000</v>
      </c>
      <c r="U6" s="94">
        <v>43730</v>
      </c>
      <c r="V6" s="165">
        <f t="shared" si="2"/>
        <v>1</v>
      </c>
      <c r="W6" s="69" t="str">
        <f t="shared" si="3"/>
        <v>September</v>
      </c>
      <c r="X6" s="171">
        <f t="shared" si="4"/>
        <v>1</v>
      </c>
      <c r="Y6">
        <v>1</v>
      </c>
      <c r="Z6">
        <f t="shared" si="5"/>
        <v>2.7488021902806299</v>
      </c>
      <c r="AA6">
        <f t="shared" si="6"/>
        <v>2.7488021902806299</v>
      </c>
      <c r="AB6" s="172" t="s">
        <v>475</v>
      </c>
      <c r="AC6">
        <f ca="1">SUMPRODUCT((SUBTOTAL(3,OFFSET(X2:X6,ROW(X2:X6)-MIN(ROW(X2:X6)),,1))*(X2:X6&lt;=25)))-SUMPRODUCT((SUBTOTAL(3,OFFSET(X2:X6,ROW(X2:X6)-MIN(ROW(X2:X6)),,1))*(X2:X6&lt;=20)))</f>
        <v>0</v>
      </c>
      <c r="AD6">
        <v>7000</v>
      </c>
    </row>
    <row r="7" spans="1:32" x14ac:dyDescent="0.25">
      <c r="A7" s="416"/>
      <c r="B7" s="416"/>
      <c r="C7" s="416"/>
      <c r="D7" s="416"/>
      <c r="H7"/>
      <c r="J7"/>
      <c r="T7"/>
      <c r="U7"/>
      <c r="X7"/>
      <c r="Y7" s="416"/>
      <c r="Z7" s="416"/>
      <c r="AA7" s="416"/>
      <c r="AB7" s="416"/>
      <c r="AC7" s="416"/>
    </row>
    <row r="8" spans="1:32" x14ac:dyDescent="0.25">
      <c r="H8"/>
      <c r="J8"/>
      <c r="T8"/>
      <c r="U8"/>
      <c r="X8"/>
      <c r="Y8" s="416"/>
      <c r="AB8"/>
    </row>
    <row r="9" spans="1:32" x14ac:dyDescent="0.25">
      <c r="H9"/>
      <c r="J9"/>
      <c r="T9"/>
      <c r="U9"/>
      <c r="X9"/>
      <c r="AB9"/>
    </row>
    <row r="10" spans="1:32" x14ac:dyDescent="0.25">
      <c r="H10"/>
      <c r="J10"/>
      <c r="T10"/>
      <c r="U10"/>
      <c r="X10"/>
      <c r="AB10"/>
    </row>
    <row r="11" spans="1:32" x14ac:dyDescent="0.25">
      <c r="H11"/>
      <c r="J11"/>
      <c r="T11"/>
      <c r="U11"/>
      <c r="X11"/>
      <c r="AB11"/>
    </row>
    <row r="12" spans="1:32" x14ac:dyDescent="0.25">
      <c r="H12"/>
      <c r="J12"/>
      <c r="T12"/>
      <c r="U12"/>
      <c r="X12"/>
      <c r="AB12"/>
    </row>
    <row r="13" spans="1:32" x14ac:dyDescent="0.25">
      <c r="H13"/>
      <c r="J13"/>
      <c r="T13"/>
      <c r="U13"/>
      <c r="X13"/>
      <c r="AB13"/>
    </row>
    <row r="14" spans="1:32" x14ac:dyDescent="0.25">
      <c r="H14"/>
      <c r="J14"/>
      <c r="T14"/>
      <c r="U14"/>
      <c r="X14"/>
      <c r="AB14"/>
    </row>
    <row r="15" spans="1:32" x14ac:dyDescent="0.25">
      <c r="H15"/>
      <c r="J15"/>
      <c r="T15"/>
      <c r="U15"/>
      <c r="X15"/>
      <c r="AB15"/>
    </row>
    <row r="16" spans="1:32" x14ac:dyDescent="0.25">
      <c r="H16"/>
      <c r="J16"/>
      <c r="T16"/>
      <c r="U16"/>
      <c r="X16"/>
      <c r="AB16"/>
    </row>
    <row r="17" spans="1:28" x14ac:dyDescent="0.25">
      <c r="H17"/>
      <c r="J17"/>
      <c r="T17"/>
      <c r="U17"/>
      <c r="X17"/>
      <c r="AB17"/>
    </row>
    <row r="18" spans="1:28" x14ac:dyDescent="0.25">
      <c r="H18"/>
      <c r="J18"/>
      <c r="T18"/>
      <c r="U18"/>
      <c r="X18"/>
      <c r="AB18"/>
    </row>
    <row r="19" spans="1:28" x14ac:dyDescent="0.25">
      <c r="A19" s="180"/>
      <c r="H19"/>
      <c r="J19"/>
      <c r="T19"/>
      <c r="U19"/>
      <c r="X19"/>
      <c r="AB19"/>
    </row>
    <row r="20" spans="1:28" x14ac:dyDescent="0.25">
      <c r="H20"/>
      <c r="J20"/>
      <c r="T20"/>
      <c r="U20"/>
      <c r="X20"/>
      <c r="AB20"/>
    </row>
    <row r="21" spans="1:28" x14ac:dyDescent="0.25">
      <c r="H21"/>
      <c r="J21"/>
      <c r="T21"/>
      <c r="U21"/>
      <c r="X21"/>
      <c r="AB21"/>
    </row>
    <row r="22" spans="1:28" x14ac:dyDescent="0.25">
      <c r="H22"/>
      <c r="J22"/>
      <c r="T22"/>
      <c r="U22"/>
      <c r="X22"/>
      <c r="AB22"/>
    </row>
    <row r="23" spans="1:28" x14ac:dyDescent="0.25">
      <c r="H23"/>
      <c r="J23"/>
      <c r="T23"/>
      <c r="U23"/>
      <c r="X23"/>
      <c r="AB23"/>
    </row>
    <row r="24" spans="1:28" x14ac:dyDescent="0.25">
      <c r="H24"/>
      <c r="J24"/>
      <c r="T24"/>
      <c r="U24"/>
      <c r="X24"/>
      <c r="AB24"/>
    </row>
    <row r="25" spans="1:28" x14ac:dyDescent="0.25">
      <c r="H25"/>
      <c r="J25"/>
      <c r="T25"/>
      <c r="U25"/>
      <c r="X25"/>
      <c r="AB25"/>
    </row>
    <row r="26" spans="1:28" x14ac:dyDescent="0.25">
      <c r="H26"/>
      <c r="J26"/>
      <c r="T26"/>
      <c r="U26"/>
      <c r="X26"/>
      <c r="AB26"/>
    </row>
    <row r="27" spans="1:28" x14ac:dyDescent="0.25">
      <c r="H27"/>
      <c r="J27"/>
      <c r="T27"/>
      <c r="U27"/>
      <c r="X27"/>
      <c r="AB27"/>
    </row>
    <row r="28" spans="1:28" x14ac:dyDescent="0.25">
      <c r="H28"/>
      <c r="J28"/>
      <c r="T28"/>
      <c r="U28"/>
      <c r="X28"/>
      <c r="AB28"/>
    </row>
    <row r="29" spans="1:28" x14ac:dyDescent="0.25">
      <c r="H29"/>
      <c r="J29"/>
      <c r="T29"/>
      <c r="U29"/>
      <c r="X29"/>
      <c r="AB29"/>
    </row>
    <row r="30" spans="1:28" x14ac:dyDescent="0.25">
      <c r="H30"/>
      <c r="J30"/>
      <c r="T30"/>
      <c r="U30"/>
      <c r="X30"/>
      <c r="AB30"/>
    </row>
    <row r="31" spans="1:28" x14ac:dyDescent="0.25">
      <c r="H31"/>
      <c r="J31"/>
      <c r="T31"/>
      <c r="U31"/>
      <c r="X31"/>
      <c r="AB31"/>
    </row>
    <row r="32" spans="1:28" x14ac:dyDescent="0.25">
      <c r="H32"/>
      <c r="J32"/>
      <c r="T32"/>
      <c r="U32"/>
      <c r="X32"/>
      <c r="AB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spans="1:28" x14ac:dyDescent="0.25">
      <c r="H97"/>
      <c r="J97"/>
      <c r="T97"/>
      <c r="U97"/>
      <c r="X97"/>
      <c r="AB97"/>
    </row>
    <row r="98" spans="1:28" x14ac:dyDescent="0.25">
      <c r="H98"/>
      <c r="J98"/>
      <c r="T98"/>
      <c r="U98"/>
      <c r="X98"/>
      <c r="AB98"/>
    </row>
    <row r="99" spans="1:28" x14ac:dyDescent="0.25">
      <c r="H99"/>
      <c r="J99"/>
      <c r="T99"/>
      <c r="U99"/>
      <c r="X99"/>
      <c r="AB99"/>
    </row>
    <row r="100" spans="1:28" x14ac:dyDescent="0.25">
      <c r="H100"/>
      <c r="J100"/>
      <c r="T100"/>
      <c r="U100"/>
      <c r="X100"/>
      <c r="AB100"/>
    </row>
    <row r="101" spans="1:28" x14ac:dyDescent="0.25">
      <c r="H101"/>
      <c r="J101"/>
      <c r="T101"/>
      <c r="U101"/>
      <c r="X101"/>
      <c r="AB101"/>
    </row>
    <row r="102" spans="1:28" x14ac:dyDescent="0.25">
      <c r="H102"/>
      <c r="J102"/>
      <c r="T102"/>
      <c r="U102"/>
      <c r="X102"/>
      <c r="AB102"/>
    </row>
    <row r="103" spans="1:28" x14ac:dyDescent="0.25">
      <c r="H103"/>
      <c r="J103"/>
      <c r="T103"/>
      <c r="U103"/>
      <c r="X103"/>
      <c r="AB103"/>
    </row>
    <row r="104" spans="1:28" x14ac:dyDescent="0.25">
      <c r="H104"/>
      <c r="J104"/>
      <c r="T104"/>
      <c r="U104"/>
      <c r="X104"/>
      <c r="AB104"/>
    </row>
    <row r="105" spans="1:28" x14ac:dyDescent="0.25">
      <c r="H105"/>
      <c r="J105"/>
      <c r="T105"/>
      <c r="U105"/>
      <c r="X105"/>
      <c r="AB105"/>
    </row>
    <row r="106" spans="1:28" x14ac:dyDescent="0.25">
      <c r="A106" s="68"/>
      <c r="T106"/>
      <c r="Y106" s="171"/>
      <c r="Z106" s="171"/>
      <c r="AA106" s="171"/>
    </row>
  </sheetData>
  <autoFilter ref="A1:AA105" xr:uid="{58EE05CA-CB32-451A-9B09-16D076EF0447}"/>
  <mergeCells count="5">
    <mergeCell ref="A7:B7"/>
    <mergeCell ref="C7:D7"/>
    <mergeCell ref="Y7:Y8"/>
    <mergeCell ref="AB7:AC7"/>
    <mergeCell ref="Z7:AA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A65A-4D50-4782-A1A1-3A95DC4B3DA5}">
  <dimension ref="A1:U6"/>
  <sheetViews>
    <sheetView tabSelected="1" zoomScale="70" zoomScaleNormal="70" workbookViewId="0">
      <selection activeCell="T5" sqref="T5"/>
    </sheetView>
  </sheetViews>
  <sheetFormatPr defaultRowHeight="15" x14ac:dyDescent="0.25"/>
  <cols>
    <col min="5" max="5" width="12.140625" customWidth="1"/>
  </cols>
  <sheetData>
    <row r="1" spans="1:21" ht="225" x14ac:dyDescent="0.25">
      <c r="A1" s="11" t="s">
        <v>0</v>
      </c>
      <c r="B1" s="12" t="s">
        <v>1</v>
      </c>
      <c r="C1" s="12" t="s">
        <v>2</v>
      </c>
      <c r="D1" s="12" t="s">
        <v>4</v>
      </c>
      <c r="E1" s="12" t="s">
        <v>6</v>
      </c>
      <c r="F1" s="11" t="s">
        <v>7</v>
      </c>
      <c r="G1" s="173" t="s">
        <v>462</v>
      </c>
      <c r="H1" s="168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86" t="s">
        <v>18</v>
      </c>
      <c r="Q1" s="14" t="s">
        <v>19</v>
      </c>
      <c r="R1" s="180"/>
      <c r="S1" s="180"/>
      <c r="T1" s="180"/>
    </row>
    <row r="2" spans="1:21" x14ac:dyDescent="0.25">
      <c r="A2" s="31" t="s">
        <v>41</v>
      </c>
      <c r="B2" s="31"/>
      <c r="C2" s="31"/>
      <c r="D2" s="31"/>
      <c r="E2" s="31"/>
      <c r="F2" s="122"/>
      <c r="G2" s="170"/>
      <c r="H2" s="1"/>
      <c r="I2" s="54"/>
      <c r="J2" s="31"/>
      <c r="K2" s="31"/>
      <c r="L2" s="54"/>
      <c r="M2" s="31"/>
      <c r="N2" s="31"/>
      <c r="O2" s="31"/>
      <c r="P2" s="88"/>
      <c r="Q2" s="27"/>
      <c r="U2" s="180"/>
    </row>
    <row r="3" spans="1:21" ht="15.75" thickBot="1" x14ac:dyDescent="0.3">
      <c r="A3" s="34" t="s">
        <v>58</v>
      </c>
      <c r="B3" s="34"/>
      <c r="C3" s="167"/>
      <c r="D3" s="34"/>
      <c r="E3" s="34"/>
      <c r="F3" s="119"/>
      <c r="G3" s="170"/>
      <c r="H3" s="3"/>
      <c r="I3" s="33"/>
      <c r="J3" s="34"/>
      <c r="K3" s="34"/>
      <c r="L3" s="33"/>
      <c r="M3" s="34"/>
      <c r="N3" s="34"/>
      <c r="O3" s="34"/>
      <c r="P3" s="91"/>
      <c r="Q3" s="28"/>
    </row>
    <row r="4" spans="1:21" x14ac:dyDescent="0.25">
      <c r="A4" s="32" t="s">
        <v>70</v>
      </c>
      <c r="B4" s="32"/>
      <c r="C4" s="32"/>
      <c r="D4" s="32"/>
      <c r="E4" s="32"/>
      <c r="F4" s="118"/>
      <c r="G4" s="170"/>
      <c r="H4" s="4"/>
      <c r="I4" s="37"/>
      <c r="J4" s="39"/>
      <c r="K4" s="32"/>
      <c r="L4" s="37"/>
      <c r="M4" s="32"/>
      <c r="N4" s="39"/>
      <c r="O4" s="32"/>
      <c r="P4" s="88"/>
      <c r="Q4" s="26"/>
    </row>
    <row r="5" spans="1:21" ht="15.75" thickBot="1" x14ac:dyDescent="0.3">
      <c r="A5" s="34" t="s">
        <v>75</v>
      </c>
      <c r="B5" s="32"/>
      <c r="C5" s="167"/>
      <c r="D5" s="32"/>
      <c r="E5" s="34"/>
      <c r="F5" s="119"/>
      <c r="G5" s="170"/>
      <c r="H5" s="3"/>
      <c r="I5" s="33"/>
      <c r="J5" s="36"/>
      <c r="K5" s="34"/>
      <c r="L5" s="33"/>
      <c r="M5" s="34"/>
      <c r="N5" s="36"/>
      <c r="O5" s="34"/>
      <c r="P5" s="91"/>
      <c r="Q5" s="28"/>
    </row>
    <row r="6" spans="1:21" x14ac:dyDescent="0.25">
      <c r="A6" s="39" t="s">
        <v>81</v>
      </c>
      <c r="B6" s="39"/>
      <c r="C6" s="92"/>
      <c r="D6" s="93"/>
      <c r="E6" s="39"/>
      <c r="F6" s="414"/>
      <c r="G6" s="170"/>
      <c r="H6" s="9"/>
      <c r="I6" s="55"/>
      <c r="J6" s="32"/>
      <c r="K6" s="39"/>
      <c r="L6" s="55"/>
      <c r="M6" s="32"/>
      <c r="N6" s="39"/>
      <c r="O6" s="39"/>
      <c r="P6" s="88"/>
      <c r="Q6" s="9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153-F7BD-47C8-BD7A-C5D521A08E77}">
  <dimension ref="A1:AM90"/>
  <sheetViews>
    <sheetView topLeftCell="J1" zoomScale="63" zoomScaleNormal="100" workbookViewId="0">
      <pane ySplit="1" topLeftCell="A2" activePane="bottomLeft" state="frozen"/>
      <selection pane="bottomLeft" activeCell="A42" sqref="A42"/>
    </sheetView>
  </sheetViews>
  <sheetFormatPr defaultRowHeight="15" x14ac:dyDescent="0.25"/>
  <cols>
    <col min="1" max="1" width="11" bestFit="1" customWidth="1"/>
    <col min="3" max="3" width="15" bestFit="1" customWidth="1"/>
    <col min="6" max="6" width="28.42578125" customWidth="1"/>
    <col min="7" max="7" width="14.85546875" customWidth="1"/>
    <col min="8" max="8" width="16.42578125" bestFit="1" customWidth="1"/>
    <col min="9" max="10" width="17" customWidth="1"/>
    <col min="11" max="11" width="12.5703125" customWidth="1"/>
    <col min="12" max="12" width="11.85546875" customWidth="1"/>
    <col min="13" max="13" width="13.42578125" customWidth="1"/>
    <col min="14" max="14" width="12.42578125" customWidth="1"/>
    <col min="15" max="15" width="13.28515625" customWidth="1"/>
    <col min="16" max="16" width="12.28515625" bestFit="1" customWidth="1"/>
    <col min="17" max="18" width="11.5703125" bestFit="1" customWidth="1"/>
    <col min="20" max="20" width="10.140625" customWidth="1"/>
    <col min="23" max="23" width="17.42578125" customWidth="1"/>
    <col min="25" max="25" width="17.7109375" customWidth="1"/>
    <col min="27" max="27" width="25.42578125" customWidth="1"/>
    <col min="29" max="29" width="11.7109375" customWidth="1"/>
    <col min="30" max="30" width="9.5703125" style="304" bestFit="1" customWidth="1"/>
    <col min="31" max="31" width="9.5703125" style="169" bestFit="1" customWidth="1"/>
    <col min="32" max="32" width="11.42578125" customWidth="1"/>
    <col min="33" max="33" width="14.140625" customWidth="1"/>
    <col min="34" max="34" width="10.140625" bestFit="1" customWidth="1"/>
    <col min="36" max="36" width="13.42578125" customWidth="1"/>
    <col min="37" max="37" width="12.85546875" customWidth="1"/>
    <col min="38" max="38" width="22.5703125" customWidth="1"/>
    <col min="39" max="39" width="17.42578125" customWidth="1"/>
  </cols>
  <sheetData>
    <row r="1" spans="1:39" s="229" customFormat="1" ht="131.25" x14ac:dyDescent="0.25">
      <c r="A1" s="253" t="s">
        <v>476</v>
      </c>
      <c r="B1" s="254" t="s">
        <v>477</v>
      </c>
      <c r="C1" s="254" t="s">
        <v>478</v>
      </c>
      <c r="D1" s="255" t="s">
        <v>479</v>
      </c>
      <c r="E1" s="255" t="s">
        <v>6</v>
      </c>
      <c r="F1" s="256" t="s">
        <v>480</v>
      </c>
      <c r="G1" s="12" t="s">
        <v>3</v>
      </c>
      <c r="H1" s="12" t="s">
        <v>4</v>
      </c>
      <c r="I1" s="86" t="s">
        <v>5</v>
      </c>
      <c r="J1" s="295" t="s">
        <v>10</v>
      </c>
      <c r="K1" s="255" t="s">
        <v>7</v>
      </c>
      <c r="L1" s="255" t="s">
        <v>481</v>
      </c>
      <c r="M1" s="255" t="s">
        <v>482</v>
      </c>
      <c r="N1" s="255" t="s">
        <v>483</v>
      </c>
      <c r="O1" s="227" t="s">
        <v>8</v>
      </c>
      <c r="P1" s="273" t="s">
        <v>484</v>
      </c>
      <c r="Q1" s="228" t="s">
        <v>485</v>
      </c>
      <c r="R1" s="228" t="s">
        <v>486</v>
      </c>
      <c r="S1" s="257" t="s">
        <v>487</v>
      </c>
      <c r="T1" s="257" t="s">
        <v>488</v>
      </c>
      <c r="U1" s="227" t="s">
        <v>489</v>
      </c>
      <c r="V1" s="227" t="s">
        <v>490</v>
      </c>
      <c r="W1" s="227" t="s">
        <v>491</v>
      </c>
      <c r="X1" s="227" t="s">
        <v>492</v>
      </c>
      <c r="Y1" s="227" t="s">
        <v>493</v>
      </c>
      <c r="Z1" s="227" t="s">
        <v>494</v>
      </c>
      <c r="AA1" s="12" t="s">
        <v>15</v>
      </c>
      <c r="AB1" s="12" t="s">
        <v>16</v>
      </c>
      <c r="AC1" s="12" t="s">
        <v>17</v>
      </c>
      <c r="AD1" s="296" t="s">
        <v>18</v>
      </c>
      <c r="AE1" s="14" t="s">
        <v>19</v>
      </c>
      <c r="AF1" s="188" t="s">
        <v>495</v>
      </c>
      <c r="AG1" s="188" t="s">
        <v>496</v>
      </c>
      <c r="AH1" s="217" t="s">
        <v>32</v>
      </c>
      <c r="AI1" s="188" t="s">
        <v>33</v>
      </c>
      <c r="AJ1" s="188" t="s">
        <v>34</v>
      </c>
      <c r="AK1" s="189" t="s">
        <v>35</v>
      </c>
      <c r="AL1" s="188" t="s">
        <v>36</v>
      </c>
      <c r="AM1" s="258"/>
    </row>
    <row r="2" spans="1:39" ht="29.25" thickBot="1" x14ac:dyDescent="0.3">
      <c r="A2" s="230" t="s">
        <v>497</v>
      </c>
      <c r="B2" s="230"/>
      <c r="C2" s="231" t="s">
        <v>498</v>
      </c>
      <c r="D2" s="232">
        <v>36</v>
      </c>
      <c r="E2" s="231" t="s">
        <v>43</v>
      </c>
      <c r="F2" s="230" t="s">
        <v>499</v>
      </c>
      <c r="G2" s="275"/>
      <c r="H2" s="275"/>
      <c r="I2" s="275"/>
      <c r="J2" s="275"/>
      <c r="K2" s="37"/>
      <c r="L2" s="230" t="s">
        <v>64</v>
      </c>
      <c r="M2" s="230" t="s">
        <v>54</v>
      </c>
      <c r="N2" s="230"/>
      <c r="O2" s="26"/>
      <c r="P2" s="234" t="s">
        <v>500</v>
      </c>
      <c r="Q2" s="234" t="s">
        <v>501</v>
      </c>
      <c r="R2" s="234" t="s">
        <v>502</v>
      </c>
      <c r="S2" s="230" t="s">
        <v>503</v>
      </c>
      <c r="T2" s="230" t="s">
        <v>503</v>
      </c>
      <c r="U2" s="230">
        <v>5500</v>
      </c>
      <c r="V2" s="230">
        <v>5500</v>
      </c>
      <c r="W2" s="230">
        <f>IFERROR((V2/U2)*100, "NA")</f>
        <v>100</v>
      </c>
      <c r="X2" s="230">
        <v>5500</v>
      </c>
      <c r="Y2" s="230">
        <v>0</v>
      </c>
      <c r="Z2" s="230" t="s">
        <v>504</v>
      </c>
      <c r="AA2" s="234"/>
      <c r="AB2" s="234"/>
      <c r="AC2" s="234"/>
      <c r="AD2" s="297"/>
      <c r="AE2" s="234"/>
      <c r="AF2" s="230"/>
      <c r="AG2" s="230"/>
      <c r="AH2" s="230"/>
      <c r="AI2" s="180"/>
      <c r="AJ2" s="180"/>
      <c r="AK2" s="180"/>
      <c r="AL2" s="180"/>
      <c r="AM2" s="180"/>
    </row>
    <row r="3" spans="1:39" ht="29.25" thickBot="1" x14ac:dyDescent="0.3">
      <c r="A3" s="180">
        <v>1</v>
      </c>
      <c r="B3" s="230" t="s">
        <v>329</v>
      </c>
      <c r="C3" s="230"/>
      <c r="D3" s="231" t="s">
        <v>505</v>
      </c>
      <c r="E3" s="232" t="s">
        <v>43</v>
      </c>
      <c r="F3" s="43" t="s">
        <v>428</v>
      </c>
      <c r="G3" s="117">
        <v>80</v>
      </c>
      <c r="H3" s="117">
        <v>2</v>
      </c>
      <c r="I3" s="151">
        <v>77</v>
      </c>
      <c r="J3" s="39" t="s">
        <v>44</v>
      </c>
      <c r="K3" s="230">
        <v>1990</v>
      </c>
      <c r="L3" s="230" t="s">
        <v>64</v>
      </c>
      <c r="M3" s="230" t="s">
        <v>54</v>
      </c>
      <c r="N3" s="230">
        <v>2004</v>
      </c>
      <c r="O3" s="234">
        <v>38299</v>
      </c>
      <c r="P3" s="230"/>
      <c r="Q3" s="233"/>
      <c r="R3" s="233"/>
      <c r="S3" s="230" t="s">
        <v>506</v>
      </c>
      <c r="T3" s="230" t="s">
        <v>65</v>
      </c>
      <c r="U3" s="230"/>
      <c r="V3" s="230"/>
      <c r="W3" s="230"/>
      <c r="X3" s="230"/>
      <c r="Y3" s="230"/>
      <c r="Z3" s="230"/>
      <c r="AA3" s="32" t="s">
        <v>152</v>
      </c>
      <c r="AB3" s="95" t="s">
        <v>67</v>
      </c>
      <c r="AC3" s="32" t="str">
        <f>IF(OR(ISNUMBER(SEARCH("&amp;", AB3)), ISNUMBER(SEARCH(",", AB3))), "Multiple", "Single")</f>
        <v>Single</v>
      </c>
      <c r="AD3" s="298">
        <v>750</v>
      </c>
      <c r="AE3" s="26">
        <v>42767</v>
      </c>
      <c r="AF3" s="17">
        <f>IF(OR(ISNUMBER( SEARCH("major",AB3))), 8, 1)</f>
        <v>1</v>
      </c>
      <c r="AG3" s="17">
        <f>(H3*2)+AF3</f>
        <v>5</v>
      </c>
      <c r="AH3" s="209">
        <f>IF(D3&lt;18, 4*I3, 2*I3)</f>
        <v>154</v>
      </c>
      <c r="AI3" s="17">
        <f>IF(D3&gt;=18, IF(E3="Male", IF(AG3&gt;24, 2*366.77, IF(AG3&gt;=4, 366.77, 0.5*366.77)), IF(AG3&gt;24, 2*252.79, IF(AG3&gt;=4, 252.79, 0.5*252.79))), IF(AG3&gt;24, 2*309.89, IF(AG3&gt;=4, 309.89, 0.5*309.89)))</f>
        <v>366.77</v>
      </c>
      <c r="AJ3" s="17">
        <f>IF(D3&gt;=18, IF(E3="Male", IF(AG3&gt;24, 366.77, 0), IF(AG3&gt;24, 252.79, 0)), 2*309.89)</f>
        <v>0</v>
      </c>
      <c r="AK3" s="213">
        <f>AD3+AH3+AI3+AJ3</f>
        <v>1270.77</v>
      </c>
      <c r="AL3" s="209">
        <f>AH3+AI3+AJ3</f>
        <v>520.77</v>
      </c>
      <c r="AM3" s="180"/>
    </row>
    <row r="4" spans="1:39" s="185" customFormat="1" ht="29.25" thickBot="1" x14ac:dyDescent="0.3">
      <c r="A4" s="286">
        <v>2</v>
      </c>
      <c r="B4" s="287" t="s">
        <v>329</v>
      </c>
      <c r="C4" s="287"/>
      <c r="D4" s="288" t="s">
        <v>505</v>
      </c>
      <c r="E4" s="289" t="s">
        <v>43</v>
      </c>
      <c r="F4" s="290" t="s">
        <v>428</v>
      </c>
      <c r="G4" s="117">
        <v>80</v>
      </c>
      <c r="H4" s="117">
        <v>2</v>
      </c>
      <c r="I4" s="151">
        <v>77</v>
      </c>
      <c r="J4" s="49" t="s">
        <v>44</v>
      </c>
      <c r="K4" s="287">
        <v>1990</v>
      </c>
      <c r="L4" s="287" t="s">
        <v>64</v>
      </c>
      <c r="M4" s="287" t="s">
        <v>54</v>
      </c>
      <c r="N4" s="287">
        <v>2004</v>
      </c>
      <c r="O4" s="291">
        <v>38299</v>
      </c>
      <c r="P4" s="287"/>
      <c r="Q4" s="292"/>
      <c r="R4" s="292"/>
      <c r="S4" s="287" t="s">
        <v>506</v>
      </c>
      <c r="T4" s="287" t="s">
        <v>65</v>
      </c>
      <c r="U4" s="287"/>
      <c r="V4" s="287"/>
      <c r="W4" s="287"/>
      <c r="X4" s="287"/>
      <c r="Y4" s="287"/>
      <c r="Z4" s="287"/>
      <c r="AA4" s="34" t="s">
        <v>429</v>
      </c>
      <c r="AB4" s="34" t="s">
        <v>67</v>
      </c>
      <c r="AC4" s="36" t="str">
        <f>IF(OR(ISNUMBER(SEARCH("&amp;", AB4)), ISNUMBER(SEARCH(",", AB4))), "Multiple", "Single")</f>
        <v>Single</v>
      </c>
      <c r="AD4" s="299">
        <v>750</v>
      </c>
      <c r="AE4" s="28">
        <v>39464</v>
      </c>
      <c r="AF4" s="29">
        <f>IF(OR(ISNUMBER( SEARCH("major",AB4))), 8, 1)</f>
        <v>1</v>
      </c>
      <c r="AG4" s="29">
        <f>(H4*2)+AF4</f>
        <v>5</v>
      </c>
      <c r="AH4" s="293">
        <f>IF(D4&lt;18, 4*I4, 2*I4)</f>
        <v>154</v>
      </c>
      <c r="AI4" s="29">
        <f>IF(D4&gt;=18, IF(E4="Male", IF(AG4&gt;24, 2*366.77, IF(AG4&gt;=4, 366.77, 0.5*366.77)), IF(AG4&gt;24, 2*252.79, IF(AG4&gt;=4, 252.79, 0.5*252.79))), IF(AG4&gt;24, 2*309.89, IF(AG4&gt;=4, 309.89, 0.5*309.89)))</f>
        <v>366.77</v>
      </c>
      <c r="AJ4" s="29">
        <f>IF(D4&gt;=18, IF(E4="Male", IF(AG4&gt;24, 366.77, 0), IF(AG4&gt;24, 252.79, 0)), 2*309.89)</f>
        <v>0</v>
      </c>
      <c r="AK4" s="294">
        <f>AD4+AH4+AI4+AJ4</f>
        <v>1270.77</v>
      </c>
      <c r="AL4" s="293">
        <f>AH4+AI4+AJ4</f>
        <v>520.77</v>
      </c>
      <c r="AM4" s="286"/>
    </row>
    <row r="5" spans="1:39" ht="42.75" x14ac:dyDescent="0.25">
      <c r="A5" s="282" t="s">
        <v>507</v>
      </c>
      <c r="B5" s="282"/>
      <c r="C5" s="283" t="s">
        <v>508</v>
      </c>
      <c r="D5" s="284">
        <v>13</v>
      </c>
      <c r="E5" s="283" t="s">
        <v>43</v>
      </c>
      <c r="F5" s="282" t="s">
        <v>404</v>
      </c>
      <c r="G5" s="283"/>
      <c r="H5" s="283"/>
      <c r="I5" s="283"/>
      <c r="J5" s="32"/>
      <c r="K5" s="282"/>
      <c r="L5" s="282" t="s">
        <v>64</v>
      </c>
      <c r="M5" s="282" t="s">
        <v>45</v>
      </c>
      <c r="N5" s="282"/>
      <c r="O5" s="282"/>
      <c r="P5" s="285" t="s">
        <v>509</v>
      </c>
      <c r="Q5" s="285" t="s">
        <v>510</v>
      </c>
      <c r="R5" s="285" t="s">
        <v>511</v>
      </c>
      <c r="S5" s="282" t="s">
        <v>503</v>
      </c>
      <c r="T5" s="282" t="s">
        <v>503</v>
      </c>
      <c r="U5" s="282">
        <v>4500</v>
      </c>
      <c r="V5" s="282">
        <v>4500</v>
      </c>
      <c r="W5" s="282">
        <f>IFERROR((V5/U5)*100, "NA")</f>
        <v>100</v>
      </c>
      <c r="X5" s="282">
        <v>4500</v>
      </c>
      <c r="Y5" s="282">
        <v>0</v>
      </c>
      <c r="Z5" s="282" t="s">
        <v>504</v>
      </c>
      <c r="AA5" s="285"/>
      <c r="AB5" s="285"/>
      <c r="AC5" s="285"/>
      <c r="AD5" s="300"/>
      <c r="AE5" s="285"/>
      <c r="AF5" s="282"/>
      <c r="AG5" s="282"/>
      <c r="AH5" s="282"/>
      <c r="AI5" s="180"/>
      <c r="AJ5" s="180"/>
      <c r="AK5" s="180"/>
      <c r="AL5" s="180"/>
      <c r="AM5" s="180"/>
    </row>
    <row r="6" spans="1:39" ht="39" thickBot="1" x14ac:dyDescent="0.3">
      <c r="A6" s="180">
        <v>1</v>
      </c>
      <c r="B6" s="32" t="s">
        <v>293</v>
      </c>
      <c r="C6" s="230"/>
      <c r="D6" s="32">
        <v>12</v>
      </c>
      <c r="E6" s="32" t="s">
        <v>43</v>
      </c>
      <c r="F6" s="32" t="s">
        <v>404</v>
      </c>
      <c r="G6" s="32">
        <v>7</v>
      </c>
      <c r="H6" s="32">
        <v>0.75</v>
      </c>
      <c r="I6" s="88">
        <v>22</v>
      </c>
      <c r="J6" s="32" t="s">
        <v>208</v>
      </c>
      <c r="K6" s="37">
        <v>2009</v>
      </c>
      <c r="L6" s="282" t="s">
        <v>64</v>
      </c>
      <c r="M6" s="282" t="s">
        <v>45</v>
      </c>
      <c r="N6" s="37">
        <v>2011</v>
      </c>
      <c r="O6" s="4">
        <v>40521</v>
      </c>
      <c r="P6" s="230"/>
      <c r="Q6" s="233"/>
      <c r="R6" s="233"/>
      <c r="S6" s="282" t="s">
        <v>503</v>
      </c>
      <c r="T6" s="282" t="s">
        <v>503</v>
      </c>
      <c r="U6" s="230"/>
      <c r="V6" s="230"/>
      <c r="W6" s="230"/>
      <c r="X6" s="230"/>
      <c r="Y6" s="230"/>
      <c r="Z6" s="230"/>
      <c r="AA6" s="32" t="s">
        <v>405</v>
      </c>
      <c r="AB6" s="32" t="s">
        <v>91</v>
      </c>
      <c r="AC6" s="32" t="str">
        <f t="shared" ref="AC6:AC11" si="0">IF(OR(ISNUMBER(SEARCH("&amp;", AB6)), ISNUMBER(SEARCH(",", AB6))), "Multiple", "Single")</f>
        <v>Single</v>
      </c>
      <c r="AD6" s="298">
        <v>500</v>
      </c>
      <c r="AE6" s="26">
        <v>42733</v>
      </c>
      <c r="AF6" s="29">
        <f t="shared" ref="AF6:AF11" si="1">IF(OR(ISNUMBER( SEARCH("major",AB6))), 8, 1)</f>
        <v>8</v>
      </c>
      <c r="AG6" s="29">
        <f t="shared" ref="AG6:AG11" si="2">(H6*2)+AF6</f>
        <v>9.5</v>
      </c>
      <c r="AH6" s="293">
        <f t="shared" ref="AH6:AH11" si="3">IF(D6&lt;18, 4*I6, 2*I6)</f>
        <v>88</v>
      </c>
      <c r="AI6" s="29">
        <f t="shared" ref="AI6:AI11" si="4">IF(D6&gt;=18, IF(E6="Male", IF(AG6&gt;24, 2*366.77, IF(AG6&gt;=4, 366.77, 0.5*366.77)), IF(AG6&gt;24, 2*252.79, IF(AG6&gt;=4, 252.79, 0.5*252.79))), IF(AG6&gt;24, 2*309.89, IF(AG6&gt;=4, 309.89, 0.5*309.89)))</f>
        <v>309.89</v>
      </c>
      <c r="AJ6" s="29">
        <f t="shared" ref="AJ6:AJ11" si="5">IF(D6&gt;=18, IF(E6="Male", IF(AG6&gt;24, 366.77, 0), IF(AG6&gt;24, 252.79, 0)), 2*309.89)</f>
        <v>619.78</v>
      </c>
      <c r="AK6" s="294">
        <f t="shared" ref="AK6:AK11" si="6">AD6+AH6+AI6+AJ6</f>
        <v>1517.67</v>
      </c>
      <c r="AL6" s="293">
        <f t="shared" ref="AL6:AL11" si="7">AH6+AI6+AJ6</f>
        <v>1017.67</v>
      </c>
      <c r="AM6" s="180"/>
    </row>
    <row r="7" spans="1:39" ht="39" thickBot="1" x14ac:dyDescent="0.3">
      <c r="A7" s="180">
        <v>2</v>
      </c>
      <c r="B7" s="31" t="s">
        <v>293</v>
      </c>
      <c r="C7" s="230"/>
      <c r="D7" s="54">
        <v>12</v>
      </c>
      <c r="E7" s="54" t="s">
        <v>43</v>
      </c>
      <c r="F7" s="31" t="s">
        <v>404</v>
      </c>
      <c r="G7" s="32">
        <v>7</v>
      </c>
      <c r="H7" s="32">
        <v>0.75</v>
      </c>
      <c r="I7" s="88">
        <v>22</v>
      </c>
      <c r="J7" s="32" t="s">
        <v>208</v>
      </c>
      <c r="K7" s="54">
        <v>2009</v>
      </c>
      <c r="L7" s="282" t="s">
        <v>64</v>
      </c>
      <c r="M7" s="282" t="s">
        <v>45</v>
      </c>
      <c r="N7" s="54">
        <v>2011</v>
      </c>
      <c r="O7" s="27">
        <v>40521</v>
      </c>
      <c r="P7" s="230"/>
      <c r="Q7" s="233"/>
      <c r="R7" s="233"/>
      <c r="S7" s="282" t="s">
        <v>503</v>
      </c>
      <c r="T7" s="282" t="s">
        <v>503</v>
      </c>
      <c r="U7" s="230"/>
      <c r="V7" s="230"/>
      <c r="W7" s="230"/>
      <c r="X7" s="230"/>
      <c r="Y7" s="230"/>
      <c r="Z7" s="230"/>
      <c r="AA7" s="54" t="s">
        <v>406</v>
      </c>
      <c r="AB7" s="54" t="s">
        <v>91</v>
      </c>
      <c r="AC7" s="32" t="str">
        <f t="shared" si="0"/>
        <v>Single</v>
      </c>
      <c r="AD7" s="298">
        <v>7000</v>
      </c>
      <c r="AE7" s="27">
        <v>42124</v>
      </c>
      <c r="AF7" s="29">
        <f t="shared" si="1"/>
        <v>8</v>
      </c>
      <c r="AG7" s="29">
        <f t="shared" si="2"/>
        <v>9.5</v>
      </c>
      <c r="AH7" s="293">
        <f t="shared" si="3"/>
        <v>88</v>
      </c>
      <c r="AI7" s="29">
        <f t="shared" si="4"/>
        <v>309.89</v>
      </c>
      <c r="AJ7" s="29">
        <f t="shared" si="5"/>
        <v>619.78</v>
      </c>
      <c r="AK7" s="294">
        <f t="shared" si="6"/>
        <v>8017.67</v>
      </c>
      <c r="AL7" s="293">
        <f t="shared" si="7"/>
        <v>1017.67</v>
      </c>
      <c r="AM7" s="180"/>
    </row>
    <row r="8" spans="1:39" ht="39" thickBot="1" x14ac:dyDescent="0.3">
      <c r="A8" s="180">
        <v>3</v>
      </c>
      <c r="B8" s="31" t="s">
        <v>293</v>
      </c>
      <c r="C8" s="230"/>
      <c r="D8" s="32">
        <v>12</v>
      </c>
      <c r="E8" s="54" t="s">
        <v>43</v>
      </c>
      <c r="F8" s="31" t="s">
        <v>404</v>
      </c>
      <c r="G8" s="32">
        <v>7</v>
      </c>
      <c r="H8" s="32">
        <v>0.75</v>
      </c>
      <c r="I8" s="88">
        <v>22</v>
      </c>
      <c r="J8" s="32" t="s">
        <v>208</v>
      </c>
      <c r="K8" s="54">
        <v>2009</v>
      </c>
      <c r="L8" s="282" t="s">
        <v>64</v>
      </c>
      <c r="M8" s="282" t="s">
        <v>45</v>
      </c>
      <c r="N8" s="54">
        <v>2011</v>
      </c>
      <c r="O8" s="27">
        <v>40521</v>
      </c>
      <c r="P8" s="230"/>
      <c r="Q8" s="233"/>
      <c r="R8" s="233"/>
      <c r="S8" s="282" t="s">
        <v>503</v>
      </c>
      <c r="T8" s="282" t="s">
        <v>503</v>
      </c>
      <c r="U8" s="230"/>
      <c r="V8" s="230"/>
      <c r="W8" s="230"/>
      <c r="X8" s="230"/>
      <c r="Y8" s="230"/>
      <c r="Z8" s="230"/>
      <c r="AA8" s="54" t="s">
        <v>292</v>
      </c>
      <c r="AB8" s="54" t="s">
        <v>91</v>
      </c>
      <c r="AC8" s="32" t="str">
        <f t="shared" si="0"/>
        <v>Single</v>
      </c>
      <c r="AD8" s="298">
        <v>5000</v>
      </c>
      <c r="AE8" s="27">
        <v>42185</v>
      </c>
      <c r="AF8" s="29">
        <f t="shared" si="1"/>
        <v>8</v>
      </c>
      <c r="AG8" s="29">
        <f t="shared" si="2"/>
        <v>9.5</v>
      </c>
      <c r="AH8" s="293">
        <f t="shared" si="3"/>
        <v>88</v>
      </c>
      <c r="AI8" s="29">
        <f t="shared" si="4"/>
        <v>309.89</v>
      </c>
      <c r="AJ8" s="29">
        <f t="shared" si="5"/>
        <v>619.78</v>
      </c>
      <c r="AK8" s="294">
        <f t="shared" si="6"/>
        <v>6017.67</v>
      </c>
      <c r="AL8" s="293">
        <f t="shared" si="7"/>
        <v>1017.67</v>
      </c>
      <c r="AM8" s="180"/>
    </row>
    <row r="9" spans="1:39" ht="39" thickBot="1" x14ac:dyDescent="0.3">
      <c r="A9" s="180">
        <v>4</v>
      </c>
      <c r="B9" s="31" t="s">
        <v>293</v>
      </c>
      <c r="C9" s="230"/>
      <c r="D9" s="32">
        <v>12</v>
      </c>
      <c r="E9" s="54" t="s">
        <v>43</v>
      </c>
      <c r="F9" s="31" t="s">
        <v>404</v>
      </c>
      <c r="G9" s="32">
        <v>7</v>
      </c>
      <c r="H9" s="32">
        <v>0.75</v>
      </c>
      <c r="I9" s="88">
        <v>22</v>
      </c>
      <c r="J9" s="32" t="s">
        <v>208</v>
      </c>
      <c r="K9" s="54">
        <v>2009</v>
      </c>
      <c r="L9" s="282" t="s">
        <v>64</v>
      </c>
      <c r="M9" s="282" t="s">
        <v>45</v>
      </c>
      <c r="N9" s="54">
        <v>2011</v>
      </c>
      <c r="O9" s="27">
        <v>40521</v>
      </c>
      <c r="P9" s="230"/>
      <c r="Q9" s="233"/>
      <c r="R9" s="233"/>
      <c r="S9" s="282" t="s">
        <v>503</v>
      </c>
      <c r="T9" s="282" t="s">
        <v>503</v>
      </c>
      <c r="U9" s="230"/>
      <c r="V9" s="230"/>
      <c r="W9" s="230"/>
      <c r="X9" s="230"/>
      <c r="Y9" s="230"/>
      <c r="Z9" s="230"/>
      <c r="AA9" s="54" t="s">
        <v>152</v>
      </c>
      <c r="AB9" s="54" t="s">
        <v>67</v>
      </c>
      <c r="AC9" s="32" t="str">
        <f t="shared" si="0"/>
        <v>Single</v>
      </c>
      <c r="AD9" s="298">
        <v>750</v>
      </c>
      <c r="AE9" s="27">
        <v>41997</v>
      </c>
      <c r="AF9" s="29">
        <f t="shared" si="1"/>
        <v>1</v>
      </c>
      <c r="AG9" s="29">
        <f t="shared" si="2"/>
        <v>2.5</v>
      </c>
      <c r="AH9" s="293">
        <f t="shared" si="3"/>
        <v>88</v>
      </c>
      <c r="AI9" s="29">
        <f t="shared" si="4"/>
        <v>154.94499999999999</v>
      </c>
      <c r="AJ9" s="29">
        <f t="shared" si="5"/>
        <v>619.78</v>
      </c>
      <c r="AK9" s="294">
        <f t="shared" si="6"/>
        <v>1612.7249999999999</v>
      </c>
      <c r="AL9" s="293">
        <f t="shared" si="7"/>
        <v>862.72499999999991</v>
      </c>
      <c r="AM9" s="180"/>
    </row>
    <row r="10" spans="1:39" ht="39" thickBot="1" x14ac:dyDescent="0.3">
      <c r="A10" s="180">
        <v>5</v>
      </c>
      <c r="B10" s="31" t="s">
        <v>293</v>
      </c>
      <c r="C10" s="230"/>
      <c r="D10" s="32">
        <v>12</v>
      </c>
      <c r="E10" s="54" t="s">
        <v>43</v>
      </c>
      <c r="F10" s="31" t="s">
        <v>404</v>
      </c>
      <c r="G10" s="32">
        <v>7</v>
      </c>
      <c r="H10" s="32">
        <v>0.75</v>
      </c>
      <c r="I10" s="88">
        <v>22</v>
      </c>
      <c r="J10" s="32" t="s">
        <v>208</v>
      </c>
      <c r="K10" s="54">
        <v>2009</v>
      </c>
      <c r="L10" s="282" t="s">
        <v>64</v>
      </c>
      <c r="M10" s="282" t="s">
        <v>45</v>
      </c>
      <c r="N10" s="54">
        <v>2011</v>
      </c>
      <c r="O10" s="27">
        <v>40521</v>
      </c>
      <c r="P10" s="230"/>
      <c r="Q10" s="233"/>
      <c r="R10" s="233"/>
      <c r="S10" s="282" t="s">
        <v>503</v>
      </c>
      <c r="T10" s="282" t="s">
        <v>503</v>
      </c>
      <c r="U10" s="230"/>
      <c r="V10" s="230"/>
      <c r="W10" s="230"/>
      <c r="X10" s="230"/>
      <c r="Y10" s="230"/>
      <c r="Z10" s="230"/>
      <c r="AA10" s="54" t="s">
        <v>407</v>
      </c>
      <c r="AB10" s="54" t="s">
        <v>91</v>
      </c>
      <c r="AC10" s="32" t="str">
        <f t="shared" si="0"/>
        <v>Single</v>
      </c>
      <c r="AD10" s="298">
        <v>5000</v>
      </c>
      <c r="AE10" s="27">
        <v>41887</v>
      </c>
      <c r="AF10" s="29">
        <f t="shared" si="1"/>
        <v>8</v>
      </c>
      <c r="AG10" s="29">
        <f t="shared" si="2"/>
        <v>9.5</v>
      </c>
      <c r="AH10" s="293">
        <f t="shared" si="3"/>
        <v>88</v>
      </c>
      <c r="AI10" s="29">
        <f t="shared" si="4"/>
        <v>309.89</v>
      </c>
      <c r="AJ10" s="29">
        <f t="shared" si="5"/>
        <v>619.78</v>
      </c>
      <c r="AK10" s="294">
        <f t="shared" si="6"/>
        <v>6017.67</v>
      </c>
      <c r="AL10" s="293">
        <f t="shared" si="7"/>
        <v>1017.67</v>
      </c>
      <c r="AM10" s="180"/>
    </row>
    <row r="11" spans="1:39" s="185" customFormat="1" ht="39" thickBot="1" x14ac:dyDescent="0.3">
      <c r="A11" s="180">
        <v>6</v>
      </c>
      <c r="B11" s="34" t="s">
        <v>293</v>
      </c>
      <c r="C11" s="287"/>
      <c r="D11" s="36">
        <v>12</v>
      </c>
      <c r="E11" s="33" t="s">
        <v>43</v>
      </c>
      <c r="F11" s="34" t="s">
        <v>404</v>
      </c>
      <c r="G11" s="36">
        <v>7</v>
      </c>
      <c r="H11" s="36">
        <v>0.75</v>
      </c>
      <c r="I11" s="147">
        <v>22</v>
      </c>
      <c r="J11" s="36" t="s">
        <v>208</v>
      </c>
      <c r="K11" s="33">
        <v>2009</v>
      </c>
      <c r="L11" s="305" t="s">
        <v>64</v>
      </c>
      <c r="M11" s="305" t="s">
        <v>45</v>
      </c>
      <c r="N11" s="33">
        <v>2011</v>
      </c>
      <c r="O11" s="28">
        <v>40521</v>
      </c>
      <c r="P11" s="287"/>
      <c r="Q11" s="292"/>
      <c r="R11" s="292"/>
      <c r="S11" s="305" t="s">
        <v>503</v>
      </c>
      <c r="T11" s="305" t="s">
        <v>503</v>
      </c>
      <c r="U11" s="287"/>
      <c r="V11" s="287"/>
      <c r="W11" s="287"/>
      <c r="X11" s="287"/>
      <c r="Y11" s="287"/>
      <c r="Z11" s="287"/>
      <c r="AA11" s="33" t="s">
        <v>407</v>
      </c>
      <c r="AB11" s="33" t="s">
        <v>91</v>
      </c>
      <c r="AC11" s="36" t="str">
        <f t="shared" si="0"/>
        <v>Single</v>
      </c>
      <c r="AD11" s="299">
        <v>5000</v>
      </c>
      <c r="AE11" s="28">
        <v>41840</v>
      </c>
      <c r="AF11" s="29">
        <f t="shared" si="1"/>
        <v>8</v>
      </c>
      <c r="AG11" s="29">
        <f t="shared" si="2"/>
        <v>9.5</v>
      </c>
      <c r="AH11" s="293">
        <f t="shared" si="3"/>
        <v>88</v>
      </c>
      <c r="AI11" s="29">
        <f t="shared" si="4"/>
        <v>309.89</v>
      </c>
      <c r="AJ11" s="29">
        <f t="shared" si="5"/>
        <v>619.78</v>
      </c>
      <c r="AK11" s="294">
        <f t="shared" si="6"/>
        <v>6017.67</v>
      </c>
      <c r="AL11" s="293">
        <f t="shared" si="7"/>
        <v>1017.67</v>
      </c>
      <c r="AM11" s="286"/>
    </row>
    <row r="12" spans="1:39" ht="29.25" thickBot="1" x14ac:dyDescent="0.3">
      <c r="A12" s="230" t="s">
        <v>512</v>
      </c>
      <c r="B12" s="230"/>
      <c r="C12" s="231" t="s">
        <v>513</v>
      </c>
      <c r="D12" s="232">
        <v>31</v>
      </c>
      <c r="E12" s="231" t="s">
        <v>43</v>
      </c>
      <c r="F12" s="230" t="s">
        <v>380</v>
      </c>
      <c r="G12" s="283"/>
      <c r="H12" s="283"/>
      <c r="I12" s="283"/>
      <c r="J12" s="283"/>
      <c r="K12" s="282"/>
      <c r="L12" s="282" t="s">
        <v>64</v>
      </c>
      <c r="M12" s="282" t="s">
        <v>54</v>
      </c>
      <c r="N12" s="282"/>
      <c r="O12" s="282"/>
      <c r="P12" s="234" t="s">
        <v>514</v>
      </c>
      <c r="Q12" s="234" t="s">
        <v>515</v>
      </c>
      <c r="R12" s="234" t="s">
        <v>516</v>
      </c>
      <c r="S12" s="282" t="s">
        <v>506</v>
      </c>
      <c r="T12" s="282"/>
      <c r="U12" s="230">
        <v>8250</v>
      </c>
      <c r="V12" s="230">
        <v>2000</v>
      </c>
      <c r="W12" s="230">
        <f>IFERROR((V12/U12)*100, "NA")</f>
        <v>24.242424242424242</v>
      </c>
      <c r="X12" s="230">
        <v>0</v>
      </c>
      <c r="Y12" s="230" t="s">
        <v>517</v>
      </c>
      <c r="Z12" s="230" t="s">
        <v>518</v>
      </c>
      <c r="AA12" s="285"/>
      <c r="AB12" s="285"/>
      <c r="AC12" s="285"/>
      <c r="AD12" s="300"/>
      <c r="AE12" s="285"/>
      <c r="AF12" s="282"/>
      <c r="AG12" s="282"/>
      <c r="AH12" s="282"/>
      <c r="AI12" s="180"/>
      <c r="AJ12" s="180"/>
      <c r="AK12" s="180"/>
      <c r="AL12" s="180"/>
      <c r="AM12" s="180"/>
    </row>
    <row r="13" spans="1:39" ht="51.75" thickBot="1" x14ac:dyDescent="0.3">
      <c r="A13" s="180">
        <v>1</v>
      </c>
      <c r="B13" s="230" t="s">
        <v>272</v>
      </c>
      <c r="C13" s="230"/>
      <c r="D13" s="32">
        <v>31</v>
      </c>
      <c r="E13" s="33" t="s">
        <v>43</v>
      </c>
      <c r="F13" s="43" t="s">
        <v>380</v>
      </c>
      <c r="G13" s="115">
        <v>80</v>
      </c>
      <c r="H13" s="115">
        <v>3.25</v>
      </c>
      <c r="I13" s="151">
        <v>84</v>
      </c>
      <c r="J13" s="32" t="s">
        <v>44</v>
      </c>
      <c r="K13" s="32">
        <v>2011</v>
      </c>
      <c r="L13" s="282" t="s">
        <v>64</v>
      </c>
      <c r="M13" s="282" t="s">
        <v>54</v>
      </c>
      <c r="N13" s="230">
        <v>2012</v>
      </c>
      <c r="O13" s="4">
        <v>40850</v>
      </c>
      <c r="P13" s="230"/>
      <c r="Q13" s="233"/>
      <c r="R13" s="233"/>
      <c r="S13" s="32" t="s">
        <v>60</v>
      </c>
      <c r="T13" s="32" t="s">
        <v>65</v>
      </c>
      <c r="U13" s="230"/>
      <c r="V13" s="230"/>
      <c r="W13" s="230"/>
      <c r="X13" s="230"/>
      <c r="Y13" s="230"/>
      <c r="Z13" s="230"/>
      <c r="AA13" s="32" t="s">
        <v>381</v>
      </c>
      <c r="AB13" s="95" t="s">
        <v>382</v>
      </c>
      <c r="AC13" s="32" t="str">
        <f>IF(OR(ISNUMBER(SEARCH("&amp;", AB13)), ISNUMBER(SEARCH(",", AB13))), "Multiple", "Single")</f>
        <v>Multiple</v>
      </c>
      <c r="AD13" s="88">
        <f>750+500+500</f>
        <v>1750</v>
      </c>
      <c r="AE13" s="4">
        <v>44131</v>
      </c>
      <c r="AF13" s="29">
        <f>IF(OR(ISNUMBER( SEARCH("major",AB13))), 8, 1)</f>
        <v>1</v>
      </c>
      <c r="AG13" s="29">
        <f>(H13*2)+AF13</f>
        <v>7.5</v>
      </c>
      <c r="AH13" s="293">
        <f>IF(D13&lt;18, 4*I13, 2*I13)</f>
        <v>168</v>
      </c>
      <c r="AI13" s="29">
        <f>IF(D13&gt;=18, IF(E13="Male", IF(AG13&gt;24, 2*366.77, IF(AG13&gt;=4, 366.77, 0.5*366.77)), IF(AG13&gt;24, 2*252.79, IF(AG13&gt;=4, 252.79, 0.5*252.79))), IF(AG13&gt;24, 2*309.89, IF(AG13&gt;=4, 309.89, 0.5*309.89)))</f>
        <v>366.77</v>
      </c>
      <c r="AJ13" s="29">
        <f>IF(D13&gt;=18, IF(E13="Male", IF(AG13&gt;24, 366.77, 0), IF(AG13&gt;24, 252.79, 0)), 2*309.89)</f>
        <v>0</v>
      </c>
      <c r="AK13" s="294">
        <f>AD13+AH13+AI13+AJ13</f>
        <v>2284.77</v>
      </c>
      <c r="AL13" s="293">
        <f>AH13+AI13+AJ13</f>
        <v>534.77</v>
      </c>
      <c r="AM13" s="180"/>
    </row>
    <row r="14" spans="1:39" s="185" customFormat="1" ht="26.25" thickBot="1" x14ac:dyDescent="0.3">
      <c r="A14" s="286">
        <v>2</v>
      </c>
      <c r="B14" s="287" t="s">
        <v>272</v>
      </c>
      <c r="C14" s="287"/>
      <c r="D14" s="33">
        <v>31</v>
      </c>
      <c r="E14" s="36" t="s">
        <v>43</v>
      </c>
      <c r="F14" s="50" t="s">
        <v>380</v>
      </c>
      <c r="G14" s="115">
        <v>80</v>
      </c>
      <c r="H14" s="115">
        <v>3.25</v>
      </c>
      <c r="I14" s="151">
        <v>84</v>
      </c>
      <c r="J14" s="34" t="s">
        <v>44</v>
      </c>
      <c r="K14" s="33">
        <v>2011</v>
      </c>
      <c r="L14" s="305" t="s">
        <v>64</v>
      </c>
      <c r="M14" s="305" t="s">
        <v>54</v>
      </c>
      <c r="N14" s="287">
        <v>2012</v>
      </c>
      <c r="O14" s="5">
        <v>40850</v>
      </c>
      <c r="P14" s="287"/>
      <c r="Q14" s="292"/>
      <c r="R14" s="292"/>
      <c r="S14" s="34" t="s">
        <v>60</v>
      </c>
      <c r="T14" s="33" t="s">
        <v>65</v>
      </c>
      <c r="U14" s="287"/>
      <c r="V14" s="287"/>
      <c r="W14" s="287"/>
      <c r="X14" s="287"/>
      <c r="Y14" s="287"/>
      <c r="Z14" s="287"/>
      <c r="AA14" s="33" t="s">
        <v>383</v>
      </c>
      <c r="AB14" s="33" t="s">
        <v>384</v>
      </c>
      <c r="AC14" s="36" t="str">
        <f>IF(OR(ISNUMBER(SEARCH("&amp;", AB14)), ISNUMBER(SEARCH(",", AB14))), "Multiple", "Single")</f>
        <v>Single</v>
      </c>
      <c r="AD14" s="147">
        <v>750</v>
      </c>
      <c r="AE14" s="28">
        <v>42409</v>
      </c>
      <c r="AF14" s="29">
        <f>IF(OR(ISNUMBER( SEARCH("major",AB14))), 8, 1)</f>
        <v>1</v>
      </c>
      <c r="AG14" s="29">
        <f>(H14*2)+AF14</f>
        <v>7.5</v>
      </c>
      <c r="AH14" s="293">
        <f>IF(D14&lt;18, 4*I14, 2*I14)</f>
        <v>168</v>
      </c>
      <c r="AI14" s="29">
        <f>IF(D14&gt;=18, IF(E14="Male", IF(AG14&gt;24, 2*366.77, IF(AG14&gt;=4, 366.77, 0.5*366.77)), IF(AG14&gt;24, 2*252.79, IF(AG14&gt;=4, 252.79, 0.5*252.79))), IF(AG14&gt;24, 2*309.89, IF(AG14&gt;=4, 309.89, 0.5*309.89)))</f>
        <v>366.77</v>
      </c>
      <c r="AJ14" s="29">
        <f>IF(D14&gt;=18, IF(E14="Male", IF(AG14&gt;24, 366.77, 0), IF(AG14&gt;24, 252.79, 0)), 2*309.89)</f>
        <v>0</v>
      </c>
      <c r="AK14" s="294">
        <f>AD14+AH14+AI14+AJ14</f>
        <v>1284.77</v>
      </c>
      <c r="AL14" s="293">
        <f>AH14+AI14+AJ14</f>
        <v>534.77</v>
      </c>
      <c r="AM14" s="286"/>
    </row>
    <row r="15" spans="1:39" ht="42.75" x14ac:dyDescent="0.25">
      <c r="A15" s="230" t="s">
        <v>519</v>
      </c>
      <c r="B15" s="230"/>
      <c r="C15" s="231" t="s">
        <v>520</v>
      </c>
      <c r="D15" s="232">
        <v>43</v>
      </c>
      <c r="E15" s="231" t="s">
        <v>43</v>
      </c>
      <c r="F15" s="230" t="s">
        <v>332</v>
      </c>
      <c r="G15" s="283"/>
      <c r="H15" s="283"/>
      <c r="I15" s="283"/>
      <c r="J15" s="283"/>
      <c r="K15" s="282"/>
      <c r="L15" s="233" t="s">
        <v>64</v>
      </c>
      <c r="M15" s="233" t="s">
        <v>45</v>
      </c>
      <c r="N15" s="282"/>
      <c r="O15" s="282"/>
      <c r="P15" s="234" t="s">
        <v>521</v>
      </c>
      <c r="Q15" s="234" t="s">
        <v>522</v>
      </c>
      <c r="R15" s="234" t="s">
        <v>522</v>
      </c>
      <c r="S15" s="282" t="s">
        <v>506</v>
      </c>
      <c r="T15" s="282"/>
      <c r="U15" s="230">
        <v>13200</v>
      </c>
      <c r="V15" s="230">
        <v>0</v>
      </c>
      <c r="W15" s="230">
        <f>IFERROR((V15/U15)*100, "NA")</f>
        <v>0</v>
      </c>
      <c r="X15" s="230">
        <v>0</v>
      </c>
      <c r="Y15" s="230" t="s">
        <v>523</v>
      </c>
      <c r="Z15" s="230" t="s">
        <v>518</v>
      </c>
      <c r="AA15" s="285"/>
      <c r="AB15" s="285"/>
      <c r="AC15" s="285"/>
      <c r="AD15" s="300"/>
      <c r="AE15" s="285"/>
      <c r="AF15" s="282"/>
      <c r="AG15" s="282"/>
      <c r="AH15" s="282"/>
      <c r="AI15" s="180"/>
      <c r="AJ15" s="180"/>
      <c r="AK15" s="180"/>
      <c r="AL15" s="180"/>
      <c r="AM15" s="180"/>
    </row>
    <row r="16" spans="1:39" ht="39" thickBot="1" x14ac:dyDescent="0.3">
      <c r="A16" s="180">
        <v>1</v>
      </c>
      <c r="B16" s="230" t="s">
        <v>233</v>
      </c>
      <c r="C16" s="230"/>
      <c r="D16" s="32">
        <v>41</v>
      </c>
      <c r="E16" s="231" t="s">
        <v>43</v>
      </c>
      <c r="F16" s="43" t="s">
        <v>332</v>
      </c>
      <c r="G16" s="109">
        <v>12</v>
      </c>
      <c r="H16" s="109">
        <v>0.75</v>
      </c>
      <c r="I16" s="145">
        <v>20</v>
      </c>
      <c r="J16" s="32" t="s">
        <v>115</v>
      </c>
      <c r="K16" s="230">
        <v>2013</v>
      </c>
      <c r="L16" s="233" t="s">
        <v>64</v>
      </c>
      <c r="M16" s="233" t="s">
        <v>45</v>
      </c>
      <c r="N16" s="230">
        <v>2013</v>
      </c>
      <c r="O16" s="4">
        <v>41341</v>
      </c>
      <c r="P16" s="230"/>
      <c r="Q16" s="233"/>
      <c r="R16" s="233"/>
      <c r="S16" s="32" t="s">
        <v>60</v>
      </c>
      <c r="T16" s="32" t="s">
        <v>65</v>
      </c>
      <c r="U16" s="230"/>
      <c r="V16" s="230"/>
      <c r="W16" s="230"/>
      <c r="X16" s="230"/>
      <c r="Y16" s="230"/>
      <c r="Z16" s="230"/>
      <c r="AA16" s="32" t="s">
        <v>333</v>
      </c>
      <c r="AB16" s="95" t="s">
        <v>67</v>
      </c>
      <c r="AC16" s="32" t="str">
        <f>IF(OR(ISNUMBER(SEARCH("&amp;", AB16)), ISNUMBER(SEARCH(",", AB16))), "Multiple", "Single")</f>
        <v>Single</v>
      </c>
      <c r="AD16" s="88">
        <v>2500</v>
      </c>
      <c r="AE16" s="4">
        <v>44043</v>
      </c>
      <c r="AF16" s="29">
        <f>IF(OR(ISNUMBER( SEARCH("major",AB16))), 8, 1)</f>
        <v>1</v>
      </c>
      <c r="AG16" s="29">
        <f>(H16*2)+AF16</f>
        <v>2.5</v>
      </c>
      <c r="AH16" s="293">
        <f>IF(D16&lt;18, 4*I16, 2*I16)</f>
        <v>40</v>
      </c>
      <c r="AI16" s="29">
        <f>IF(D16&gt;=18, IF(E16="Male", IF(AG16&gt;24, 2*366.77, IF(AG16&gt;=4, 366.77, 0.5*366.77)), IF(AG16&gt;24, 2*252.79, IF(AG16&gt;=4, 252.79, 0.5*252.79))), IF(AG16&gt;24, 2*309.89, IF(AG16&gt;=4, 309.89, 0.5*309.89)))</f>
        <v>183.38499999999999</v>
      </c>
      <c r="AJ16" s="29">
        <f>IF(D16&gt;=18, IF(E16="Male", IF(AG16&gt;24, 366.77, 0), IF(AG16&gt;24, 252.79, 0)), 2*309.89)</f>
        <v>0</v>
      </c>
      <c r="AK16" s="294">
        <f>AD16+AH16+AI16+AJ16</f>
        <v>2723.3850000000002</v>
      </c>
      <c r="AL16" s="293">
        <f>AH16+AI16+AJ16</f>
        <v>223.38499999999999</v>
      </c>
      <c r="AM16" s="180"/>
    </row>
    <row r="17" spans="1:39" s="185" customFormat="1" ht="39" thickBot="1" x14ac:dyDescent="0.3">
      <c r="A17" s="286">
        <v>2</v>
      </c>
      <c r="B17" s="287" t="s">
        <v>233</v>
      </c>
      <c r="C17" s="287"/>
      <c r="D17" s="33">
        <v>41</v>
      </c>
      <c r="E17" s="288" t="s">
        <v>43</v>
      </c>
      <c r="F17" s="50" t="s">
        <v>332</v>
      </c>
      <c r="G17" s="306">
        <v>12</v>
      </c>
      <c r="H17" s="306">
        <v>0.75</v>
      </c>
      <c r="I17" s="307">
        <v>20</v>
      </c>
      <c r="J17" s="36" t="s">
        <v>115</v>
      </c>
      <c r="K17" s="287">
        <v>2013</v>
      </c>
      <c r="L17" s="292" t="s">
        <v>64</v>
      </c>
      <c r="M17" s="292" t="s">
        <v>45</v>
      </c>
      <c r="N17" s="287">
        <v>2013</v>
      </c>
      <c r="O17" s="5">
        <v>41341</v>
      </c>
      <c r="P17" s="287"/>
      <c r="Q17" s="292"/>
      <c r="R17" s="292"/>
      <c r="S17" s="34" t="s">
        <v>60</v>
      </c>
      <c r="T17" s="33" t="s">
        <v>65</v>
      </c>
      <c r="U17" s="287"/>
      <c r="V17" s="287"/>
      <c r="W17" s="287"/>
      <c r="X17" s="287"/>
      <c r="Y17" s="287"/>
      <c r="Z17" s="287"/>
      <c r="AA17" s="33" t="s">
        <v>335</v>
      </c>
      <c r="AB17" s="33" t="s">
        <v>67</v>
      </c>
      <c r="AC17" s="36" t="str">
        <f>IF(OR(ISNUMBER(SEARCH("&amp;", AB17)), ISNUMBER(SEARCH(",", AB17))), "Multiple", "Single")</f>
        <v>Single</v>
      </c>
      <c r="AD17" s="147">
        <v>1500</v>
      </c>
      <c r="AE17" s="28">
        <v>41999</v>
      </c>
      <c r="AF17" s="29">
        <f>IF(OR(ISNUMBER( SEARCH("major",AB17))), 8, 1)</f>
        <v>1</v>
      </c>
      <c r="AG17" s="29">
        <f>(H17*2)+AF17</f>
        <v>2.5</v>
      </c>
      <c r="AH17" s="293">
        <f>IF(D17&lt;18, 4*I17, 2*I17)</f>
        <v>40</v>
      </c>
      <c r="AI17" s="29">
        <f>IF(D17&gt;=18, IF(E17="Male", IF(AG17&gt;24, 2*366.77, IF(AG17&gt;=4, 366.77, 0.5*366.77)), IF(AG17&gt;24, 2*252.79, IF(AG17&gt;=4, 252.79, 0.5*252.79))), IF(AG17&gt;24, 2*309.89, IF(AG17&gt;=4, 309.89, 0.5*309.89)))</f>
        <v>183.38499999999999</v>
      </c>
      <c r="AJ17" s="29">
        <f>IF(D17&gt;=18, IF(E17="Male", IF(AG17&gt;24, 366.77, 0), IF(AG17&gt;24, 252.79, 0)), 2*309.89)</f>
        <v>0</v>
      </c>
      <c r="AK17" s="294">
        <f>AD17+AH17+AI17+AJ17</f>
        <v>1723.385</v>
      </c>
      <c r="AL17" s="293">
        <f>AH17+AI17+AJ17</f>
        <v>223.38499999999999</v>
      </c>
      <c r="AM17" s="286"/>
    </row>
    <row r="18" spans="1:39" ht="43.5" thickBot="1" x14ac:dyDescent="0.3">
      <c r="A18" s="230" t="s">
        <v>524</v>
      </c>
      <c r="B18" s="230"/>
      <c r="C18" s="231" t="s">
        <v>525</v>
      </c>
      <c r="D18" s="232">
        <v>46</v>
      </c>
      <c r="E18" s="231" t="s">
        <v>43</v>
      </c>
      <c r="F18" s="230" t="s">
        <v>350</v>
      </c>
      <c r="G18" s="283"/>
      <c r="H18" s="283"/>
      <c r="I18" s="283"/>
      <c r="J18" s="283"/>
      <c r="K18" s="282"/>
      <c r="L18" s="282" t="s">
        <v>46</v>
      </c>
      <c r="M18" s="282" t="s">
        <v>54</v>
      </c>
      <c r="N18" s="282"/>
      <c r="O18" s="282"/>
      <c r="P18" s="234" t="s">
        <v>526</v>
      </c>
      <c r="Q18" s="234" t="s">
        <v>527</v>
      </c>
      <c r="R18" s="234" t="s">
        <v>527</v>
      </c>
      <c r="S18" s="282" t="s">
        <v>503</v>
      </c>
      <c r="T18" s="282" t="s">
        <v>503</v>
      </c>
      <c r="U18" s="230">
        <v>6300</v>
      </c>
      <c r="V18" s="230">
        <v>6300</v>
      </c>
      <c r="W18" s="230">
        <f>IFERROR((V18/U18)*100, "NA")</f>
        <v>100</v>
      </c>
      <c r="X18" s="230">
        <v>6300</v>
      </c>
      <c r="Y18" s="230">
        <v>0</v>
      </c>
      <c r="Z18" s="230" t="s">
        <v>504</v>
      </c>
      <c r="AA18" s="285"/>
      <c r="AB18" s="285"/>
      <c r="AC18" s="285"/>
      <c r="AD18" s="300"/>
      <c r="AE18" s="285"/>
      <c r="AF18" s="282"/>
      <c r="AG18" s="282"/>
      <c r="AH18" s="282"/>
      <c r="AI18" s="180"/>
      <c r="AJ18" s="180"/>
      <c r="AK18" s="180"/>
      <c r="AL18" s="180"/>
      <c r="AM18" s="180"/>
    </row>
    <row r="19" spans="1:39" s="185" customFormat="1" ht="39" thickBot="1" x14ac:dyDescent="0.3">
      <c r="A19" s="286">
        <v>1</v>
      </c>
      <c r="B19" s="287" t="s">
        <v>242</v>
      </c>
      <c r="C19" s="287"/>
      <c r="D19" s="49">
        <v>44</v>
      </c>
      <c r="E19" s="288" t="s">
        <v>43</v>
      </c>
      <c r="F19" s="49" t="s">
        <v>350</v>
      </c>
      <c r="G19" s="115">
        <v>250</v>
      </c>
      <c r="H19" s="115">
        <v>6</v>
      </c>
      <c r="I19" s="151">
        <v>190</v>
      </c>
      <c r="J19" s="49" t="s">
        <v>63</v>
      </c>
      <c r="K19" s="287">
        <v>2012</v>
      </c>
      <c r="L19" s="305" t="s">
        <v>46</v>
      </c>
      <c r="M19" s="305" t="s">
        <v>54</v>
      </c>
      <c r="N19" s="287">
        <v>2012</v>
      </c>
      <c r="O19" s="6">
        <v>41190</v>
      </c>
      <c r="P19" s="287"/>
      <c r="Q19" s="292"/>
      <c r="R19" s="292"/>
      <c r="S19" s="305" t="s">
        <v>503</v>
      </c>
      <c r="T19" s="305" t="s">
        <v>503</v>
      </c>
      <c r="U19" s="287"/>
      <c r="V19" s="287"/>
      <c r="W19" s="287"/>
      <c r="X19" s="287"/>
      <c r="Y19" s="287"/>
      <c r="Z19" s="287"/>
      <c r="AA19" s="49" t="s">
        <v>351</v>
      </c>
      <c r="AB19" s="49" t="s">
        <v>67</v>
      </c>
      <c r="AC19" s="36" t="str">
        <f>IF(OR(ISNUMBER(SEARCH("&amp;", AB19)), ISNUMBER(SEARCH(",", AB19))), "Multiple", "Single")</f>
        <v>Single</v>
      </c>
      <c r="AD19" s="147">
        <v>750</v>
      </c>
      <c r="AE19" s="58">
        <v>42021</v>
      </c>
      <c r="AF19" s="29">
        <f>IF(OR(ISNUMBER( SEARCH("major",AB19))), 8, 1)</f>
        <v>1</v>
      </c>
      <c r="AG19" s="29">
        <f>(H19*2)+AF19</f>
        <v>13</v>
      </c>
      <c r="AH19" s="293">
        <f>IF(D19&lt;18, 4*I19, 2*I19)</f>
        <v>380</v>
      </c>
      <c r="AI19" s="29">
        <f>IF(D19&gt;=18, IF(E19="Male", IF(AG19&gt;24, 2*366.77, IF(AG19&gt;=4, 366.77, 0.5*366.77)), IF(AG19&gt;24, 2*252.79, IF(AG19&gt;=4, 252.79, 0.5*252.79))), IF(AG19&gt;24, 2*309.89, IF(AG19&gt;=4, 309.89, 0.5*309.89)))</f>
        <v>366.77</v>
      </c>
      <c r="AJ19" s="29">
        <f>IF(D19&gt;=18, IF(E19="Male", IF(AG19&gt;24, 366.77, 0), IF(AG19&gt;24, 252.79, 0)), 2*309.89)</f>
        <v>0</v>
      </c>
      <c r="AK19" s="294">
        <f>AD19+AH19+AI19+AJ19</f>
        <v>1496.77</v>
      </c>
      <c r="AL19" s="293">
        <f>AH19+AI19+AJ19</f>
        <v>746.77</v>
      </c>
      <c r="AM19" s="286"/>
    </row>
    <row r="20" spans="1:39" ht="57" x14ac:dyDescent="0.25">
      <c r="A20" s="230" t="s">
        <v>528</v>
      </c>
      <c r="B20" s="230"/>
      <c r="C20" s="231" t="s">
        <v>529</v>
      </c>
      <c r="D20" s="232">
        <v>74</v>
      </c>
      <c r="E20" s="231" t="s">
        <v>43</v>
      </c>
      <c r="F20" s="230" t="s">
        <v>353</v>
      </c>
      <c r="G20" s="283"/>
      <c r="H20" s="283"/>
      <c r="I20" s="283"/>
      <c r="J20" s="283"/>
      <c r="K20" s="282"/>
      <c r="L20" s="282" t="s">
        <v>64</v>
      </c>
      <c r="M20" s="282" t="s">
        <v>54</v>
      </c>
      <c r="N20" s="282"/>
      <c r="O20" s="282"/>
      <c r="P20" s="234" t="s">
        <v>530</v>
      </c>
      <c r="Q20" s="234" t="s">
        <v>531</v>
      </c>
      <c r="R20" s="234" t="s">
        <v>532</v>
      </c>
      <c r="S20" s="282" t="s">
        <v>503</v>
      </c>
      <c r="T20" s="282"/>
      <c r="U20" s="230">
        <v>15000</v>
      </c>
      <c r="V20" s="230">
        <v>15000</v>
      </c>
      <c r="W20" s="230">
        <f>IFERROR((V20/U20)*100, "NA")</f>
        <v>100</v>
      </c>
      <c r="X20" s="230">
        <v>15000</v>
      </c>
      <c r="Y20" s="230">
        <v>0</v>
      </c>
      <c r="Z20" s="230" t="s">
        <v>504</v>
      </c>
      <c r="AA20" s="285"/>
      <c r="AB20" s="285"/>
      <c r="AC20" s="285"/>
      <c r="AD20" s="300"/>
      <c r="AE20" s="285"/>
      <c r="AF20" s="282"/>
      <c r="AG20" s="282"/>
      <c r="AH20" s="282"/>
      <c r="AI20" s="180"/>
      <c r="AJ20" s="180"/>
      <c r="AK20" s="180"/>
      <c r="AL20" s="180"/>
      <c r="AM20" s="180"/>
    </row>
    <row r="21" spans="1:39" ht="51.75" thickBot="1" x14ac:dyDescent="0.3">
      <c r="A21" s="180">
        <v>1</v>
      </c>
      <c r="B21" s="230" t="s">
        <v>245</v>
      </c>
      <c r="C21" s="230"/>
      <c r="D21" s="32">
        <v>72</v>
      </c>
      <c r="E21" s="231" t="s">
        <v>43</v>
      </c>
      <c r="F21" s="32" t="s">
        <v>353</v>
      </c>
      <c r="G21" s="32">
        <v>20</v>
      </c>
      <c r="H21" s="32">
        <v>1.5</v>
      </c>
      <c r="I21" s="88">
        <v>65</v>
      </c>
      <c r="J21" s="32" t="s">
        <v>63</v>
      </c>
      <c r="K21" s="230">
        <v>2012</v>
      </c>
      <c r="L21" s="282" t="s">
        <v>64</v>
      </c>
      <c r="M21" s="282" t="s">
        <v>54</v>
      </c>
      <c r="N21" s="230">
        <v>2012</v>
      </c>
      <c r="O21" s="4">
        <v>41086</v>
      </c>
      <c r="P21" s="230"/>
      <c r="Q21" s="233"/>
      <c r="R21" s="233"/>
      <c r="S21" s="37" t="s">
        <v>60</v>
      </c>
      <c r="T21" s="32" t="s">
        <v>65</v>
      </c>
      <c r="U21" s="230"/>
      <c r="V21" s="230"/>
      <c r="W21" s="230"/>
      <c r="X21" s="230"/>
      <c r="Y21" s="230"/>
      <c r="Z21" s="230"/>
      <c r="AA21" s="32" t="s">
        <v>354</v>
      </c>
      <c r="AB21" s="32" t="s">
        <v>67</v>
      </c>
      <c r="AC21" s="32" t="str">
        <f>IF(OR(ISNUMBER(SEARCH("&amp;", AB21)), ISNUMBER(SEARCH(",", AB21))), "Multiple", "Single")</f>
        <v>Single</v>
      </c>
      <c r="AD21" s="88">
        <v>750</v>
      </c>
      <c r="AE21" s="26">
        <v>43663</v>
      </c>
      <c r="AF21" s="29">
        <f>IF(OR(ISNUMBER( SEARCH("major",AB21))), 8, 1)</f>
        <v>1</v>
      </c>
      <c r="AG21" s="29">
        <f>(H21*2)+AF21</f>
        <v>4</v>
      </c>
      <c r="AH21" s="293">
        <f>IF(D21&lt;18, 4*I21, 2*I21)</f>
        <v>130</v>
      </c>
      <c r="AI21" s="29">
        <f>IF(D21&gt;=18, IF(E21="Male", IF(AG21&gt;24, 2*366.77, IF(AG21&gt;=4, 366.77, 0.5*366.77)), IF(AG21&gt;24, 2*252.79, IF(AG21&gt;=4, 252.79, 0.5*252.79))), IF(AG21&gt;24, 2*309.89, IF(AG21&gt;=4, 309.89, 0.5*309.89)))</f>
        <v>366.77</v>
      </c>
      <c r="AJ21" s="29">
        <f>IF(D21&gt;=18, IF(E21="Male", IF(AG21&gt;24, 366.77, 0), IF(AG21&gt;24, 252.79, 0)), 2*309.89)</f>
        <v>0</v>
      </c>
      <c r="AK21" s="294">
        <f>AD21+AH21+AI21+AJ21</f>
        <v>1246.77</v>
      </c>
      <c r="AL21" s="293">
        <f>AH21+AI21+AJ21</f>
        <v>496.77</v>
      </c>
      <c r="AM21" s="180"/>
    </row>
    <row r="22" spans="1:39" s="185" customFormat="1" ht="51.75" thickBot="1" x14ac:dyDescent="0.3">
      <c r="A22" s="286">
        <v>2</v>
      </c>
      <c r="B22" s="287" t="s">
        <v>245</v>
      </c>
      <c r="C22" s="287"/>
      <c r="D22" s="33">
        <v>72</v>
      </c>
      <c r="E22" s="288" t="s">
        <v>43</v>
      </c>
      <c r="F22" s="34" t="s">
        <v>353</v>
      </c>
      <c r="G22" s="36">
        <v>20</v>
      </c>
      <c r="H22" s="36">
        <v>1.5</v>
      </c>
      <c r="I22" s="147">
        <v>65</v>
      </c>
      <c r="J22" s="33" t="s">
        <v>63</v>
      </c>
      <c r="K22" s="287">
        <v>2012</v>
      </c>
      <c r="L22" s="305" t="s">
        <v>64</v>
      </c>
      <c r="M22" s="305" t="s">
        <v>54</v>
      </c>
      <c r="N22" s="287">
        <v>2012</v>
      </c>
      <c r="O22" s="5">
        <v>41086</v>
      </c>
      <c r="P22" s="287"/>
      <c r="Q22" s="292"/>
      <c r="R22" s="292"/>
      <c r="S22" s="33" t="s">
        <v>60</v>
      </c>
      <c r="T22" s="33" t="s">
        <v>65</v>
      </c>
      <c r="U22" s="287"/>
      <c r="V22" s="287"/>
      <c r="W22" s="287"/>
      <c r="X22" s="287"/>
      <c r="Y22" s="287"/>
      <c r="Z22" s="287"/>
      <c r="AA22" s="33" t="s">
        <v>356</v>
      </c>
      <c r="AB22" s="33" t="s">
        <v>91</v>
      </c>
      <c r="AC22" s="36" t="str">
        <f>IF(OR(ISNUMBER(SEARCH("&amp;", AB22)), ISNUMBER(SEARCH(",", AB22))), "Multiple", "Single")</f>
        <v>Single</v>
      </c>
      <c r="AD22" s="147">
        <v>750</v>
      </c>
      <c r="AE22" s="28">
        <v>41451</v>
      </c>
      <c r="AF22" s="29">
        <f>IF(OR(ISNUMBER( SEARCH("major",AB22))), 8, 1)</f>
        <v>8</v>
      </c>
      <c r="AG22" s="29">
        <f>(H22*2)+AF22</f>
        <v>11</v>
      </c>
      <c r="AH22" s="293">
        <f>IF(D22&lt;18, 4*I22, 2*I22)</f>
        <v>130</v>
      </c>
      <c r="AI22" s="29">
        <f>IF(D22&gt;=18, IF(E22="Male", IF(AG22&gt;24, 2*366.77, IF(AG22&gt;=4, 366.77, 0.5*366.77)), IF(AG22&gt;24, 2*252.79, IF(AG22&gt;=4, 252.79, 0.5*252.79))), IF(AG22&gt;24, 2*309.89, IF(AG22&gt;=4, 309.89, 0.5*309.89)))</f>
        <v>366.77</v>
      </c>
      <c r="AJ22" s="29">
        <f>IF(D22&gt;=18, IF(E22="Male", IF(AG22&gt;24, 366.77, 0), IF(AG22&gt;24, 252.79, 0)), 2*309.89)</f>
        <v>0</v>
      </c>
      <c r="AK22" s="294">
        <f>AD22+AH22+AI22+AJ22</f>
        <v>1246.77</v>
      </c>
      <c r="AL22" s="293">
        <f>AH22+AI22+AJ22</f>
        <v>496.77</v>
      </c>
      <c r="AM22" s="286"/>
    </row>
    <row r="23" spans="1:39" ht="29.25" thickBot="1" x14ac:dyDescent="0.3">
      <c r="A23" s="230" t="s">
        <v>533</v>
      </c>
      <c r="B23" s="230"/>
      <c r="C23" s="231" t="s">
        <v>534</v>
      </c>
      <c r="D23" s="232">
        <v>50</v>
      </c>
      <c r="E23" s="231" t="s">
        <v>43</v>
      </c>
      <c r="F23" s="230" t="s">
        <v>535</v>
      </c>
      <c r="K23" s="282"/>
      <c r="L23" s="282" t="s">
        <v>46</v>
      </c>
      <c r="M23" s="282" t="s">
        <v>54</v>
      </c>
      <c r="N23" s="282"/>
      <c r="O23" s="282"/>
      <c r="P23" s="234" t="s">
        <v>536</v>
      </c>
      <c r="Q23" s="234" t="s">
        <v>536</v>
      </c>
      <c r="R23" s="234" t="s">
        <v>537</v>
      </c>
      <c r="S23" s="282" t="s">
        <v>60</v>
      </c>
      <c r="T23" s="282"/>
      <c r="U23" s="230">
        <v>8500</v>
      </c>
      <c r="V23" s="230">
        <v>2000</v>
      </c>
      <c r="W23" s="230">
        <f>IFERROR((V23/U23)*100, "NA")</f>
        <v>23.52941176470588</v>
      </c>
      <c r="X23" s="230">
        <v>2000</v>
      </c>
      <c r="Y23" s="230" t="s">
        <v>517</v>
      </c>
      <c r="Z23" s="230" t="s">
        <v>518</v>
      </c>
      <c r="AA23" s="285"/>
      <c r="AB23" s="285"/>
      <c r="AC23" s="285"/>
      <c r="AD23" s="300"/>
      <c r="AE23" s="285"/>
      <c r="AF23" s="282"/>
      <c r="AG23" s="282"/>
      <c r="AH23" s="282"/>
      <c r="AI23" s="180"/>
      <c r="AJ23" s="180"/>
      <c r="AK23" s="180"/>
      <c r="AL23" s="180"/>
      <c r="AM23" s="180"/>
    </row>
    <row r="24" spans="1:39" s="185" customFormat="1" ht="26.25" thickBot="1" x14ac:dyDescent="0.3">
      <c r="A24" s="286"/>
      <c r="B24" s="287" t="s">
        <v>186</v>
      </c>
      <c r="C24" s="287"/>
      <c r="D24" s="288" t="s">
        <v>538</v>
      </c>
      <c r="E24" s="289" t="s">
        <v>43</v>
      </c>
      <c r="F24" s="64" t="s">
        <v>259</v>
      </c>
      <c r="G24" s="114">
        <v>200</v>
      </c>
      <c r="H24" s="114">
        <v>4.75</v>
      </c>
      <c r="I24" s="150">
        <v>219</v>
      </c>
      <c r="J24" s="64" t="s">
        <v>63</v>
      </c>
      <c r="K24" s="287">
        <v>2015</v>
      </c>
      <c r="L24" s="305" t="s">
        <v>46</v>
      </c>
      <c r="M24" s="305" t="s">
        <v>54</v>
      </c>
      <c r="N24" s="287">
        <v>2015</v>
      </c>
      <c r="O24" s="58">
        <v>42261</v>
      </c>
      <c r="P24" s="287"/>
      <c r="Q24" s="292"/>
      <c r="R24" s="292"/>
      <c r="S24" s="64" t="s">
        <v>60</v>
      </c>
      <c r="T24" s="64" t="s">
        <v>65</v>
      </c>
      <c r="U24" s="287"/>
      <c r="V24" s="287"/>
      <c r="W24" s="287"/>
      <c r="X24" s="287"/>
      <c r="Y24" s="287"/>
      <c r="Z24" s="287"/>
      <c r="AA24" s="64" t="s">
        <v>260</v>
      </c>
      <c r="AB24" s="64" t="s">
        <v>67</v>
      </c>
      <c r="AC24" s="36" t="str">
        <f>IF(OR(ISNUMBER(SEARCH("&amp;", AB24)), ISNUMBER(SEARCH(",", AB24))), "Multiple", "Single")</f>
        <v>Single</v>
      </c>
      <c r="AD24" s="147">
        <v>5000</v>
      </c>
      <c r="AE24" s="58">
        <v>42431</v>
      </c>
      <c r="AF24" s="29">
        <f>IF(OR(ISNUMBER( SEARCH("major",AB24))), 8, 1)</f>
        <v>1</v>
      </c>
      <c r="AG24" s="29">
        <f>(H24*2)+AF24</f>
        <v>10.5</v>
      </c>
      <c r="AH24" s="293">
        <f>IF(D24&lt;18, 4*I24, 2*I24)</f>
        <v>438</v>
      </c>
      <c r="AI24" s="29">
        <f>IF(D24&gt;=18, IF(E24="Male", IF(AG24&gt;24, 2*366.77, IF(AG24&gt;=4, 366.77, 0.5*366.77)), IF(AG24&gt;24, 2*252.79, IF(AG24&gt;=4, 252.79, 0.5*252.79))), IF(AG24&gt;24, 2*309.89, IF(AG24&gt;=4, 309.89, 0.5*309.89)))</f>
        <v>366.77</v>
      </c>
      <c r="AJ24" s="29">
        <f>IF(D24&gt;=18, IF(E24="Male", IF(AG24&gt;24, 366.77, 0), IF(AG24&gt;24, 252.79, 0)), 2*309.89)</f>
        <v>0</v>
      </c>
      <c r="AK24" s="294">
        <f>AD24+AH24+AI24+AJ24</f>
        <v>5804.77</v>
      </c>
      <c r="AL24" s="293">
        <f>AH24+AI24+AJ24</f>
        <v>804.77</v>
      </c>
      <c r="AM24" s="286"/>
    </row>
    <row r="25" spans="1:39" ht="43.5" thickBot="1" x14ac:dyDescent="0.3">
      <c r="A25" s="230" t="s">
        <v>539</v>
      </c>
      <c r="B25" s="230"/>
      <c r="C25" s="231" t="s">
        <v>540</v>
      </c>
      <c r="D25" s="232">
        <v>33</v>
      </c>
      <c r="E25" s="231" t="s">
        <v>43</v>
      </c>
      <c r="F25" s="230" t="s">
        <v>231</v>
      </c>
      <c r="G25" s="263"/>
      <c r="H25" s="263"/>
      <c r="I25" s="263"/>
      <c r="J25" s="263"/>
      <c r="K25" s="264"/>
      <c r="L25" s="305" t="s">
        <v>46</v>
      </c>
      <c r="M25" s="305" t="s">
        <v>54</v>
      </c>
      <c r="N25" s="264"/>
      <c r="O25" s="264"/>
      <c r="P25" s="234">
        <v>42544</v>
      </c>
      <c r="Q25" s="234" t="s">
        <v>541</v>
      </c>
      <c r="R25" s="234" t="s">
        <v>542</v>
      </c>
      <c r="S25" s="264" t="s">
        <v>60</v>
      </c>
      <c r="T25" s="264"/>
      <c r="U25" s="230">
        <v>8250</v>
      </c>
      <c r="V25" s="230">
        <v>0</v>
      </c>
      <c r="W25" s="230">
        <f>IFERROR((V25/U25)*100, "NA")</f>
        <v>0</v>
      </c>
      <c r="X25" s="230">
        <v>0</v>
      </c>
      <c r="Y25" s="230">
        <v>8250</v>
      </c>
      <c r="Z25" s="230" t="s">
        <v>518</v>
      </c>
      <c r="AA25" s="265"/>
      <c r="AB25" s="265"/>
      <c r="AC25" s="265"/>
      <c r="AD25" s="301"/>
      <c r="AE25" s="262"/>
      <c r="AF25" s="264"/>
      <c r="AG25" s="259"/>
      <c r="AH25" s="259"/>
      <c r="AI25" s="180"/>
      <c r="AJ25" s="180"/>
      <c r="AK25" s="180"/>
      <c r="AL25" s="180"/>
      <c r="AM25" s="180"/>
    </row>
    <row r="26" spans="1:39" ht="39" thickBot="1" x14ac:dyDescent="0.3">
      <c r="A26" s="180"/>
      <c r="B26" s="32" t="s">
        <v>169</v>
      </c>
      <c r="C26" s="235"/>
      <c r="D26" s="32">
        <v>31</v>
      </c>
      <c r="E26" s="32" t="s">
        <v>43</v>
      </c>
      <c r="F26" s="32" t="s">
        <v>231</v>
      </c>
      <c r="G26" s="32">
        <v>18</v>
      </c>
      <c r="H26" s="32">
        <v>1.5</v>
      </c>
      <c r="I26" s="88">
        <v>40</v>
      </c>
      <c r="J26" s="31" t="s">
        <v>44</v>
      </c>
      <c r="K26" s="235">
        <v>2015</v>
      </c>
      <c r="L26" s="235" t="s">
        <v>64</v>
      </c>
      <c r="M26" s="32" t="s">
        <v>54</v>
      </c>
      <c r="N26" s="235">
        <v>2016</v>
      </c>
      <c r="O26" s="4">
        <v>42544</v>
      </c>
      <c r="P26" s="260"/>
      <c r="Q26" s="233"/>
      <c r="R26" s="233"/>
      <c r="S26" s="31" t="s">
        <v>60</v>
      </c>
      <c r="T26" s="32" t="s">
        <v>65</v>
      </c>
      <c r="U26" s="261"/>
      <c r="V26" s="235"/>
      <c r="W26" s="230"/>
      <c r="X26" s="235"/>
      <c r="Y26" s="235"/>
      <c r="Z26" s="235"/>
      <c r="AA26" s="32" t="s">
        <v>232</v>
      </c>
      <c r="AB26" s="32" t="s">
        <v>104</v>
      </c>
      <c r="AC26" s="32" t="str">
        <f>IF(OR(ISNUMBER(SEARCH("&amp;", AB26)), ISNUMBER(SEARCH(",", AB26))), "Multiple", "Single")</f>
        <v>Multiple</v>
      </c>
      <c r="AD26" s="88">
        <f>2500+750</f>
        <v>3250</v>
      </c>
      <c r="AE26" s="26">
        <v>42797</v>
      </c>
      <c r="AF26" s="29">
        <f>IF(OR(ISNUMBER( SEARCH("major",AB26))), 8, 1)</f>
        <v>1</v>
      </c>
      <c r="AG26" s="29">
        <f>(H26*2)+AF26</f>
        <v>4</v>
      </c>
      <c r="AH26" s="293">
        <f>IF(D26&lt;18, 4*I26, 2*I26)</f>
        <v>80</v>
      </c>
      <c r="AI26" s="29">
        <f>IF(D26&gt;=18, IF(E26="Male", IF(AG26&gt;24, 2*366.77, IF(AG26&gt;=4, 366.77, 0.5*366.77)), IF(AG26&gt;24, 2*252.79, IF(AG26&gt;=4, 252.79, 0.5*252.79))), IF(AG26&gt;24, 2*309.89, IF(AG26&gt;=4, 309.89, 0.5*309.89)))</f>
        <v>366.77</v>
      </c>
      <c r="AJ26" s="29">
        <f>IF(D26&gt;=18, IF(E26="Male", IF(AG26&gt;24, 366.77, 0), IF(AG26&gt;24, 252.79, 0)), 2*309.89)</f>
        <v>0</v>
      </c>
      <c r="AK26" s="294">
        <f>AD26+AH26+AI26+AJ26</f>
        <v>3696.77</v>
      </c>
      <c r="AL26" s="293">
        <f>AH26+AI26+AJ26</f>
        <v>446.77</v>
      </c>
      <c r="AM26" s="180"/>
    </row>
    <row r="27" spans="1:39" ht="39" thickBot="1" x14ac:dyDescent="0.3">
      <c r="A27" s="180"/>
      <c r="B27" s="31" t="s">
        <v>169</v>
      </c>
      <c r="C27" s="235"/>
      <c r="D27" s="32">
        <v>31</v>
      </c>
      <c r="E27" s="31" t="s">
        <v>43</v>
      </c>
      <c r="F27" s="44" t="s">
        <v>231</v>
      </c>
      <c r="G27" s="32">
        <v>18</v>
      </c>
      <c r="H27" s="32">
        <v>1.5</v>
      </c>
      <c r="I27" s="88">
        <v>40</v>
      </c>
      <c r="J27" s="31" t="s">
        <v>44</v>
      </c>
      <c r="K27" s="235">
        <v>2015</v>
      </c>
      <c r="L27" s="235" t="s">
        <v>64</v>
      </c>
      <c r="M27" s="32" t="s">
        <v>54</v>
      </c>
      <c r="N27" s="235">
        <v>2016</v>
      </c>
      <c r="O27" s="1">
        <v>42544</v>
      </c>
      <c r="P27" s="260"/>
      <c r="Q27" s="233"/>
      <c r="R27" s="233"/>
      <c r="S27" s="31" t="s">
        <v>60</v>
      </c>
      <c r="T27" s="31" t="s">
        <v>65</v>
      </c>
      <c r="U27" s="235"/>
      <c r="V27" s="235"/>
      <c r="W27" s="230"/>
      <c r="X27" s="235"/>
      <c r="Y27" s="235"/>
      <c r="Z27" s="235"/>
      <c r="AA27" s="31" t="s">
        <v>234</v>
      </c>
      <c r="AB27" s="110" t="s">
        <v>67</v>
      </c>
      <c r="AC27" s="32" t="str">
        <f>IF(OR(ISNUMBER(SEARCH("&amp;", AB27)), ISNUMBER(SEARCH(",", AB27))), "Multiple", "Single")</f>
        <v>Single</v>
      </c>
      <c r="AD27" s="88">
        <v>2500</v>
      </c>
      <c r="AE27" s="1">
        <v>42703</v>
      </c>
      <c r="AF27" s="29">
        <f>IF(OR(ISNUMBER( SEARCH("major",AB27))), 8, 1)</f>
        <v>1</v>
      </c>
      <c r="AG27" s="29">
        <f>(H27*2)+AF27</f>
        <v>4</v>
      </c>
      <c r="AH27" s="293">
        <f>IF(D27&lt;18, 4*I27, 2*I27)</f>
        <v>80</v>
      </c>
      <c r="AI27" s="29">
        <f>IF(D27&gt;=18, IF(E27="Male", IF(AG27&gt;24, 2*366.77, IF(AG27&gt;=4, 366.77, 0.5*366.77)), IF(AG27&gt;24, 2*252.79, IF(AG27&gt;=4, 252.79, 0.5*252.79))), IF(AG27&gt;24, 2*309.89, IF(AG27&gt;=4, 309.89, 0.5*309.89)))</f>
        <v>366.77</v>
      </c>
      <c r="AJ27" s="29">
        <f>IF(D27&gt;=18, IF(E27="Male", IF(AG27&gt;24, 366.77, 0), IF(AG27&gt;24, 252.79, 0)), 2*309.89)</f>
        <v>0</v>
      </c>
      <c r="AK27" s="294">
        <f>AD27+AH27+AI27+AJ27</f>
        <v>2946.77</v>
      </c>
      <c r="AL27" s="293">
        <f>AH27+AI27+AJ27</f>
        <v>446.77</v>
      </c>
      <c r="AM27" s="180"/>
    </row>
    <row r="28" spans="1:39" s="185" customFormat="1" ht="39" thickBot="1" x14ac:dyDescent="0.3">
      <c r="A28" s="286"/>
      <c r="B28" s="34" t="s">
        <v>169</v>
      </c>
      <c r="C28" s="312"/>
      <c r="D28" s="36">
        <v>31</v>
      </c>
      <c r="E28" s="34" t="s">
        <v>43</v>
      </c>
      <c r="F28" s="50" t="s">
        <v>231</v>
      </c>
      <c r="G28" s="36">
        <v>18</v>
      </c>
      <c r="H28" s="36">
        <v>1.5</v>
      </c>
      <c r="I28" s="147">
        <v>40</v>
      </c>
      <c r="J28" s="34" t="s">
        <v>44</v>
      </c>
      <c r="K28" s="313">
        <v>2015</v>
      </c>
      <c r="L28" s="314" t="s">
        <v>64</v>
      </c>
      <c r="M28" s="34" t="s">
        <v>54</v>
      </c>
      <c r="N28" s="313">
        <v>2016</v>
      </c>
      <c r="O28" s="3">
        <v>42544</v>
      </c>
      <c r="P28" s="315"/>
      <c r="Q28" s="292"/>
      <c r="R28" s="292"/>
      <c r="S28" s="34" t="s">
        <v>60</v>
      </c>
      <c r="T28" s="34" t="s">
        <v>65</v>
      </c>
      <c r="U28" s="313"/>
      <c r="V28" s="313"/>
      <c r="W28" s="287"/>
      <c r="X28" s="313"/>
      <c r="Y28" s="313"/>
      <c r="Z28" s="313"/>
      <c r="AA28" s="34" t="s">
        <v>236</v>
      </c>
      <c r="AB28" s="90" t="s">
        <v>91</v>
      </c>
      <c r="AC28" s="36" t="str">
        <f>IF(OR(ISNUMBER(SEARCH("&amp;", AB28)), ISNUMBER(SEARCH(",", AB28))), "Multiple", "Single")</f>
        <v>Single</v>
      </c>
      <c r="AD28" s="147">
        <v>5000</v>
      </c>
      <c r="AE28" s="3">
        <v>42705</v>
      </c>
      <c r="AF28" s="29">
        <f>IF(OR(ISNUMBER( SEARCH("major",AB28))), 8, 1)</f>
        <v>8</v>
      </c>
      <c r="AG28" s="29">
        <f>(H28*2)+AF28</f>
        <v>11</v>
      </c>
      <c r="AH28" s="293">
        <f>IF(D28&lt;18, 4*I28, 2*I28)</f>
        <v>80</v>
      </c>
      <c r="AI28" s="29">
        <f>IF(D28&gt;=18, IF(E28="Male", IF(AG28&gt;24, 2*366.77, IF(AG28&gt;=4, 366.77, 0.5*366.77)), IF(AG28&gt;24, 2*252.79, IF(AG28&gt;=4, 252.79, 0.5*252.79))), IF(AG28&gt;24, 2*309.89, IF(AG28&gt;=4, 309.89, 0.5*309.89)))</f>
        <v>366.77</v>
      </c>
      <c r="AJ28" s="29">
        <f>IF(D28&gt;=18, IF(E28="Male", IF(AG28&gt;24, 366.77, 0), IF(AG28&gt;24, 252.79, 0)), 2*309.89)</f>
        <v>0</v>
      </c>
      <c r="AK28" s="294">
        <f>AD28+AH28+AI28+AJ28</f>
        <v>5446.77</v>
      </c>
      <c r="AL28" s="293">
        <f>AH28+AI28+AJ28</f>
        <v>446.77</v>
      </c>
      <c r="AM28" s="286"/>
    </row>
    <row r="29" spans="1:39" ht="42.75" x14ac:dyDescent="0.25">
      <c r="A29" s="230" t="s">
        <v>543</v>
      </c>
      <c r="B29" s="230" t="s">
        <v>173</v>
      </c>
      <c r="C29" s="231" t="s">
        <v>544</v>
      </c>
      <c r="D29" s="232">
        <v>29</v>
      </c>
      <c r="E29" s="231" t="s">
        <v>43</v>
      </c>
      <c r="F29" s="230" t="s">
        <v>238</v>
      </c>
      <c r="G29" s="309"/>
      <c r="H29" s="309"/>
      <c r="I29" s="309"/>
      <c r="J29" s="309"/>
      <c r="K29" s="308"/>
      <c r="L29" s="308" t="s">
        <v>46</v>
      </c>
      <c r="M29" s="308" t="s">
        <v>54</v>
      </c>
      <c r="N29" s="308"/>
      <c r="O29" s="308"/>
      <c r="P29" s="234" t="s">
        <v>545</v>
      </c>
      <c r="Q29" s="234" t="s">
        <v>546</v>
      </c>
      <c r="R29" s="234" t="s">
        <v>547</v>
      </c>
      <c r="S29" s="308" t="s">
        <v>60</v>
      </c>
      <c r="T29" s="308"/>
      <c r="U29" s="230">
        <v>15000</v>
      </c>
      <c r="V29" s="230">
        <v>15000</v>
      </c>
      <c r="W29" s="230">
        <f>IFERROR((V29/U29)*100, "NA")</f>
        <v>100</v>
      </c>
      <c r="X29" s="230">
        <v>15000</v>
      </c>
      <c r="Y29" s="230">
        <v>0</v>
      </c>
      <c r="Z29" s="230" t="s">
        <v>504</v>
      </c>
      <c r="AA29" s="311"/>
      <c r="AB29" s="311"/>
      <c r="AC29" s="311"/>
      <c r="AD29" s="302"/>
      <c r="AE29" s="310"/>
      <c r="AF29" s="266"/>
      <c r="AG29" s="266"/>
      <c r="AH29" s="266"/>
      <c r="AI29" s="180"/>
      <c r="AJ29" s="180"/>
      <c r="AK29" s="180"/>
      <c r="AL29" s="180"/>
      <c r="AM29" s="180"/>
    </row>
    <row r="30" spans="1:39" ht="39" thickBot="1" x14ac:dyDescent="0.3">
      <c r="A30" s="180"/>
      <c r="B30" s="247" t="s">
        <v>173</v>
      </c>
      <c r="C30" s="247"/>
      <c r="D30" s="32">
        <v>27</v>
      </c>
      <c r="E30" s="32" t="s">
        <v>43</v>
      </c>
      <c r="F30" s="32" t="s">
        <v>238</v>
      </c>
      <c r="G30" s="32">
        <v>6</v>
      </c>
      <c r="H30" s="32">
        <v>0.5</v>
      </c>
      <c r="I30" s="88">
        <v>15</v>
      </c>
      <c r="J30" s="32" t="s">
        <v>44</v>
      </c>
      <c r="K30" s="247">
        <v>2016</v>
      </c>
      <c r="L30" s="308" t="s">
        <v>46</v>
      </c>
      <c r="M30" s="308" t="s">
        <v>54</v>
      </c>
      <c r="N30" s="247">
        <v>2016</v>
      </c>
      <c r="O30" s="4">
        <v>42486</v>
      </c>
      <c r="P30" s="267"/>
      <c r="Q30" s="233"/>
      <c r="R30" s="233"/>
      <c r="S30" s="247" t="s">
        <v>503</v>
      </c>
      <c r="T30" s="247" t="s">
        <v>503</v>
      </c>
      <c r="U30" s="247"/>
      <c r="V30" s="247"/>
      <c r="W30" s="230"/>
      <c r="X30" s="247"/>
      <c r="Y30" s="247"/>
      <c r="Z30" s="247"/>
      <c r="AA30" s="32" t="s">
        <v>239</v>
      </c>
      <c r="AB30" s="32" t="s">
        <v>104</v>
      </c>
      <c r="AC30" s="32" t="str">
        <f>IF(OR(ISNUMBER(SEARCH("&amp;", AB30)), ISNUMBER(SEARCH(",", AB30))), "Multiple", "Single")</f>
        <v>Multiple</v>
      </c>
      <c r="AD30" s="88">
        <f>750+200</f>
        <v>950</v>
      </c>
      <c r="AE30" s="26">
        <v>43612</v>
      </c>
      <c r="AF30" s="29">
        <f>IF(OR(ISNUMBER( SEARCH("major",AB30))), 8, 1)</f>
        <v>1</v>
      </c>
      <c r="AG30" s="29">
        <f>(H30*2)+AF30</f>
        <v>2</v>
      </c>
      <c r="AH30" s="293">
        <f>IF(D30&lt;18, 4*I30, 2*I30)</f>
        <v>30</v>
      </c>
      <c r="AI30" s="29">
        <f>IF(D30&gt;=18, IF(E30="Male", IF(AG30&gt;24, 2*366.77, IF(AG30&gt;=4, 366.77, 0.5*366.77)), IF(AG30&gt;24, 2*252.79, IF(AG30&gt;=4, 252.79, 0.5*252.79))), IF(AG30&gt;24, 2*309.89, IF(AG30&gt;=4, 309.89, 0.5*309.89)))</f>
        <v>183.38499999999999</v>
      </c>
      <c r="AJ30" s="29">
        <f>IF(D30&gt;=18, IF(E30="Male", IF(AG30&gt;24, 366.77, 0), IF(AG30&gt;24, 252.79, 0)), 2*309.89)</f>
        <v>0</v>
      </c>
      <c r="AK30" s="294">
        <f>AD30+AH30+AI30+AJ30</f>
        <v>1163.385</v>
      </c>
      <c r="AL30" s="293">
        <f>AH30+AI30+AJ30</f>
        <v>213.38499999999999</v>
      </c>
      <c r="AM30" s="180"/>
    </row>
    <row r="31" spans="1:39" s="185" customFormat="1" ht="39" thickBot="1" x14ac:dyDescent="0.3">
      <c r="A31" s="286"/>
      <c r="B31" s="316" t="s">
        <v>173</v>
      </c>
      <c r="C31" s="316"/>
      <c r="D31" s="36">
        <v>27</v>
      </c>
      <c r="E31" s="34" t="s">
        <v>43</v>
      </c>
      <c r="F31" s="34" t="s">
        <v>238</v>
      </c>
      <c r="G31" s="36">
        <v>6</v>
      </c>
      <c r="H31" s="36">
        <v>0.5</v>
      </c>
      <c r="I31" s="147">
        <v>15</v>
      </c>
      <c r="J31" s="34" t="s">
        <v>44</v>
      </c>
      <c r="K31" s="316">
        <v>2016</v>
      </c>
      <c r="L31" s="317" t="s">
        <v>46</v>
      </c>
      <c r="M31" s="317" t="s">
        <v>54</v>
      </c>
      <c r="N31" s="316">
        <v>2016</v>
      </c>
      <c r="O31" s="5">
        <v>42486</v>
      </c>
      <c r="P31" s="318"/>
      <c r="Q31" s="292"/>
      <c r="R31" s="292"/>
      <c r="S31" s="316" t="s">
        <v>503</v>
      </c>
      <c r="T31" s="316" t="s">
        <v>503</v>
      </c>
      <c r="U31" s="316"/>
      <c r="V31" s="316"/>
      <c r="W31" s="287"/>
      <c r="X31" s="316"/>
      <c r="Y31" s="316"/>
      <c r="Z31" s="316"/>
      <c r="AA31" s="34" t="s">
        <v>241</v>
      </c>
      <c r="AB31" s="34" t="s">
        <v>91</v>
      </c>
      <c r="AC31" s="36" t="str">
        <f>IF(OR(ISNUMBER(SEARCH("&amp;", AB31)), ISNUMBER(SEARCH(",", AB31))), "Multiple", "Single")</f>
        <v>Single</v>
      </c>
      <c r="AD31" s="147">
        <v>5000</v>
      </c>
      <c r="AE31" s="28">
        <v>43301</v>
      </c>
      <c r="AF31" s="29">
        <f>IF(OR(ISNUMBER( SEARCH("major",AB31))), 8, 1)</f>
        <v>8</v>
      </c>
      <c r="AG31" s="29">
        <f>(H31*2)+AF31</f>
        <v>9</v>
      </c>
      <c r="AH31" s="293">
        <f>IF(D31&lt;18, 4*I31, 2*I31)</f>
        <v>30</v>
      </c>
      <c r="AI31" s="29">
        <f>IF(D31&gt;=18, IF(E31="Male", IF(AG31&gt;24, 2*366.77, IF(AG31&gt;=4, 366.77, 0.5*366.77)), IF(AG31&gt;24, 2*252.79, IF(AG31&gt;=4, 252.79, 0.5*252.79))), IF(AG31&gt;24, 2*309.89, IF(AG31&gt;=4, 309.89, 0.5*309.89)))</f>
        <v>366.77</v>
      </c>
      <c r="AJ31" s="29">
        <f>IF(D31&gt;=18, IF(E31="Male", IF(AG31&gt;24, 366.77, 0), IF(AG31&gt;24, 252.79, 0)), 2*309.89)</f>
        <v>0</v>
      </c>
      <c r="AK31" s="294">
        <f>AD31+AH31+AI31+AJ31</f>
        <v>5396.77</v>
      </c>
      <c r="AL31" s="293">
        <f>AH31+AI31+AJ31</f>
        <v>396.77</v>
      </c>
      <c r="AM31" s="286"/>
    </row>
    <row r="32" spans="1:39" ht="42.75" x14ac:dyDescent="0.25">
      <c r="A32" s="230" t="s">
        <v>548</v>
      </c>
      <c r="B32" s="230"/>
      <c r="C32" s="231" t="s">
        <v>549</v>
      </c>
      <c r="D32" s="232">
        <v>29</v>
      </c>
      <c r="E32" s="231" t="s">
        <v>43</v>
      </c>
      <c r="F32" s="230" t="s">
        <v>316</v>
      </c>
      <c r="G32" s="268"/>
      <c r="H32" s="268"/>
      <c r="I32" s="268"/>
      <c r="J32" s="268"/>
      <c r="K32" s="180"/>
      <c r="L32" s="319" t="s">
        <v>46</v>
      </c>
      <c r="M32" s="319" t="s">
        <v>54</v>
      </c>
      <c r="N32" s="180"/>
      <c r="O32" s="269"/>
      <c r="P32" s="234" t="s">
        <v>550</v>
      </c>
      <c r="Q32" s="234" t="s">
        <v>551</v>
      </c>
      <c r="R32" s="234" t="s">
        <v>552</v>
      </c>
      <c r="S32" s="308" t="s">
        <v>60</v>
      </c>
      <c r="T32" s="180"/>
      <c r="U32" s="230">
        <v>15000</v>
      </c>
      <c r="V32" s="230">
        <v>15000</v>
      </c>
      <c r="W32" s="230">
        <f>IFERROR((V32/U32)*100, "NA")</f>
        <v>100</v>
      </c>
      <c r="X32" s="230">
        <v>15000</v>
      </c>
      <c r="Y32" s="230">
        <v>0</v>
      </c>
      <c r="Z32" s="230" t="s">
        <v>504</v>
      </c>
      <c r="AA32" s="270"/>
      <c r="AB32" s="270"/>
      <c r="AC32" s="270"/>
      <c r="AD32" s="303"/>
      <c r="AE32" s="274"/>
      <c r="AF32" s="269"/>
      <c r="AG32" s="269"/>
      <c r="AH32" s="269"/>
      <c r="AI32" s="180"/>
      <c r="AJ32" s="180"/>
      <c r="AK32" s="266"/>
      <c r="AL32" s="180"/>
      <c r="AM32" s="180"/>
    </row>
    <row r="33" spans="1:39" ht="30" thickBot="1" x14ac:dyDescent="0.3">
      <c r="A33" s="247" t="s">
        <v>553</v>
      </c>
      <c r="B33" s="247"/>
      <c r="C33" s="248" t="s">
        <v>554</v>
      </c>
      <c r="D33" s="249">
        <v>21</v>
      </c>
      <c r="E33" s="250" t="s">
        <v>43</v>
      </c>
      <c r="F33" s="247" t="s">
        <v>555</v>
      </c>
      <c r="G33" s="268"/>
      <c r="H33" s="268"/>
      <c r="I33" s="268"/>
      <c r="J33" s="268"/>
      <c r="K33" s="272"/>
      <c r="L33" s="308" t="s">
        <v>46</v>
      </c>
      <c r="M33" s="308" t="s">
        <v>54</v>
      </c>
      <c r="N33" s="272"/>
      <c r="O33" s="269"/>
      <c r="P33" s="252">
        <v>41437</v>
      </c>
      <c r="Q33" s="252">
        <v>41450</v>
      </c>
      <c r="R33" s="252">
        <v>41450</v>
      </c>
      <c r="S33" s="180" t="s">
        <v>503</v>
      </c>
      <c r="T33" s="180"/>
      <c r="U33" s="320">
        <v>7500</v>
      </c>
      <c r="V33" s="320">
        <v>3750</v>
      </c>
      <c r="W33" s="230">
        <f>IFERROR((V33/U33)*100, "NA")</f>
        <v>50</v>
      </c>
      <c r="X33" s="320">
        <v>3750</v>
      </c>
      <c r="Y33" s="320" t="s">
        <v>556</v>
      </c>
      <c r="Z33" s="320" t="s">
        <v>518</v>
      </c>
      <c r="AA33" s="270"/>
      <c r="AB33" s="270"/>
      <c r="AC33" s="270"/>
      <c r="AD33" s="303"/>
      <c r="AE33" s="274"/>
      <c r="AF33" s="269"/>
      <c r="AG33" s="269"/>
      <c r="AH33" s="269"/>
      <c r="AI33" s="180"/>
      <c r="AJ33" s="180"/>
      <c r="AK33" s="180"/>
      <c r="AL33" s="180"/>
      <c r="AM33" s="180"/>
    </row>
    <row r="34" spans="1:39" ht="39" thickBot="1" x14ac:dyDescent="0.3">
      <c r="A34" s="180"/>
      <c r="B34" s="32" t="s">
        <v>227</v>
      </c>
      <c r="C34" s="271"/>
      <c r="D34" s="60">
        <v>29</v>
      </c>
      <c r="E34" s="32" t="s">
        <v>43</v>
      </c>
      <c r="F34" s="32" t="s">
        <v>316</v>
      </c>
      <c r="G34" s="32">
        <v>166</v>
      </c>
      <c r="H34" s="32">
        <v>4.5</v>
      </c>
      <c r="I34" s="88">
        <v>151</v>
      </c>
      <c r="J34" s="32" t="s">
        <v>44</v>
      </c>
      <c r="K34" s="221">
        <v>2016</v>
      </c>
      <c r="L34" s="308" t="s">
        <v>46</v>
      </c>
      <c r="M34" s="308" t="s">
        <v>54</v>
      </c>
      <c r="N34" s="221">
        <v>2016</v>
      </c>
      <c r="O34" s="222">
        <v>41437</v>
      </c>
      <c r="P34" s="269"/>
      <c r="Q34" s="180"/>
      <c r="R34" s="266"/>
      <c r="S34" s="32" t="s">
        <v>60</v>
      </c>
      <c r="T34" s="32" t="s">
        <v>65</v>
      </c>
      <c r="U34" s="180"/>
      <c r="V34" s="266"/>
      <c r="W34" s="180"/>
      <c r="X34" s="180"/>
      <c r="Y34" s="269"/>
      <c r="Z34" s="269"/>
      <c r="AA34" s="32" t="s">
        <v>317</v>
      </c>
      <c r="AB34" s="32" t="s">
        <v>67</v>
      </c>
      <c r="AC34" s="32" t="str">
        <f t="shared" ref="AC34:AC39" si="8">IF(OR(ISNUMBER(SEARCH("&amp;", AB34)), ISNUMBER(SEARCH(",", AB34))), "Multiple", "Single")</f>
        <v>Single</v>
      </c>
      <c r="AD34" s="88">
        <v>150</v>
      </c>
      <c r="AE34" s="26">
        <v>44145</v>
      </c>
      <c r="AF34" s="29">
        <f t="shared" ref="AF34:AF39" si="9">IF(OR(ISNUMBER( SEARCH("major",AB34))), 8, 1)</f>
        <v>1</v>
      </c>
      <c r="AG34" s="29">
        <f t="shared" ref="AG34:AG39" si="10">(H34*2)+AF34</f>
        <v>10</v>
      </c>
      <c r="AH34" s="293">
        <f t="shared" ref="AH34:AH39" si="11">IF(D34&lt;18, 4*I34, 2*I34)</f>
        <v>302</v>
      </c>
      <c r="AI34" s="29">
        <f t="shared" ref="AI34:AI39" si="12">IF(D34&gt;=18, IF(E34="Male", IF(AG34&gt;24, 2*366.77, IF(AG34&gt;=4, 366.77, 0.5*366.77)), IF(AG34&gt;24, 2*252.79, IF(AG34&gt;=4, 252.79, 0.5*252.79))), IF(AG34&gt;24, 2*309.89, IF(AG34&gt;=4, 309.89, 0.5*309.89)))</f>
        <v>366.77</v>
      </c>
      <c r="AJ34" s="29">
        <f t="shared" ref="AJ34:AJ39" si="13">IF(D34&gt;=18, IF(E34="Male", IF(AG34&gt;24, 366.77, 0), IF(AG34&gt;24, 252.79, 0)), 2*309.89)</f>
        <v>0</v>
      </c>
      <c r="AK34" s="294">
        <f t="shared" ref="AK34:AK39" si="14">AD34+AH34+AI34+AJ34</f>
        <v>818.77</v>
      </c>
      <c r="AL34" s="293">
        <f t="shared" ref="AL34:AL39" si="15">AH34+AI34+AJ34</f>
        <v>668.77</v>
      </c>
      <c r="AM34" s="180"/>
    </row>
    <row r="35" spans="1:39" ht="39" thickBot="1" x14ac:dyDescent="0.3">
      <c r="A35" s="180"/>
      <c r="B35" s="31" t="s">
        <v>227</v>
      </c>
      <c r="C35" s="271"/>
      <c r="D35" s="54">
        <v>29</v>
      </c>
      <c r="E35" s="31" t="s">
        <v>43</v>
      </c>
      <c r="F35" s="31" t="s">
        <v>316</v>
      </c>
      <c r="G35" s="32">
        <v>166</v>
      </c>
      <c r="H35" s="32">
        <v>4.5</v>
      </c>
      <c r="I35" s="88">
        <v>151</v>
      </c>
      <c r="J35" s="31" t="s">
        <v>44</v>
      </c>
      <c r="K35" s="223">
        <v>2016</v>
      </c>
      <c r="L35" s="308" t="s">
        <v>46</v>
      </c>
      <c r="M35" s="308" t="s">
        <v>54</v>
      </c>
      <c r="N35" s="223">
        <v>2016</v>
      </c>
      <c r="O35" s="224">
        <v>41437</v>
      </c>
      <c r="P35" s="269"/>
      <c r="Q35" s="266"/>
      <c r="R35" s="266"/>
      <c r="S35" s="31" t="s">
        <v>60</v>
      </c>
      <c r="T35" s="31" t="s">
        <v>65</v>
      </c>
      <c r="U35" s="180"/>
      <c r="V35" s="266"/>
      <c r="W35" s="180"/>
      <c r="X35" s="266"/>
      <c r="Y35" s="269"/>
      <c r="Z35" s="269"/>
      <c r="AA35" s="31" t="s">
        <v>319</v>
      </c>
      <c r="AB35" s="31" t="s">
        <v>67</v>
      </c>
      <c r="AC35" s="32" t="str">
        <f t="shared" si="8"/>
        <v>Single</v>
      </c>
      <c r="AD35" s="88">
        <f>2500+150</f>
        <v>2650</v>
      </c>
      <c r="AE35" s="27">
        <v>44025</v>
      </c>
      <c r="AF35" s="29">
        <f t="shared" si="9"/>
        <v>1</v>
      </c>
      <c r="AG35" s="29">
        <f t="shared" si="10"/>
        <v>10</v>
      </c>
      <c r="AH35" s="293">
        <f t="shared" si="11"/>
        <v>302</v>
      </c>
      <c r="AI35" s="29">
        <f t="shared" si="12"/>
        <v>366.77</v>
      </c>
      <c r="AJ35" s="29">
        <f t="shared" si="13"/>
        <v>0</v>
      </c>
      <c r="AK35" s="294">
        <f t="shared" si="14"/>
        <v>3318.77</v>
      </c>
      <c r="AL35" s="293">
        <f t="shared" si="15"/>
        <v>668.77</v>
      </c>
      <c r="AM35" s="180"/>
    </row>
    <row r="36" spans="1:39" ht="39" thickBot="1" x14ac:dyDescent="0.3">
      <c r="A36" s="180"/>
      <c r="B36" s="32" t="s">
        <v>227</v>
      </c>
      <c r="C36" s="271"/>
      <c r="D36" s="54">
        <v>29</v>
      </c>
      <c r="E36" s="31" t="s">
        <v>43</v>
      </c>
      <c r="F36" s="31" t="s">
        <v>316</v>
      </c>
      <c r="G36" s="32">
        <v>166</v>
      </c>
      <c r="H36" s="32">
        <v>4.5</v>
      </c>
      <c r="I36" s="88">
        <v>151</v>
      </c>
      <c r="J36" s="31" t="s">
        <v>44</v>
      </c>
      <c r="K36" s="223">
        <v>2016</v>
      </c>
      <c r="L36" s="308" t="s">
        <v>46</v>
      </c>
      <c r="M36" s="308" t="s">
        <v>54</v>
      </c>
      <c r="N36" s="223">
        <v>2016</v>
      </c>
      <c r="O36" s="224">
        <v>41437</v>
      </c>
      <c r="P36" s="269"/>
      <c r="Q36" s="266"/>
      <c r="R36" s="266"/>
      <c r="S36" s="31" t="s">
        <v>60</v>
      </c>
      <c r="T36" s="31" t="s">
        <v>65</v>
      </c>
      <c r="U36" s="180"/>
      <c r="V36" s="266"/>
      <c r="W36" s="180"/>
      <c r="X36" s="266"/>
      <c r="Y36" s="269"/>
      <c r="Z36" s="269"/>
      <c r="AA36" s="31" t="s">
        <v>321</v>
      </c>
      <c r="AB36" s="31" t="s">
        <v>67</v>
      </c>
      <c r="AC36" s="32" t="str">
        <f t="shared" si="8"/>
        <v>Single</v>
      </c>
      <c r="AD36" s="88">
        <v>750</v>
      </c>
      <c r="AE36" s="27">
        <v>43995</v>
      </c>
      <c r="AF36" s="29">
        <f t="shared" si="9"/>
        <v>1</v>
      </c>
      <c r="AG36" s="29">
        <f t="shared" si="10"/>
        <v>10</v>
      </c>
      <c r="AH36" s="293">
        <f t="shared" si="11"/>
        <v>302</v>
      </c>
      <c r="AI36" s="29">
        <f t="shared" si="12"/>
        <v>366.77</v>
      </c>
      <c r="AJ36" s="29">
        <f t="shared" si="13"/>
        <v>0</v>
      </c>
      <c r="AK36" s="294">
        <f t="shared" si="14"/>
        <v>1418.77</v>
      </c>
      <c r="AL36" s="293">
        <f t="shared" si="15"/>
        <v>668.77</v>
      </c>
      <c r="AM36" s="180"/>
    </row>
    <row r="37" spans="1:39" ht="39" thickBot="1" x14ac:dyDescent="0.3">
      <c r="A37" s="180"/>
      <c r="B37" s="31" t="s">
        <v>227</v>
      </c>
      <c r="C37" s="271"/>
      <c r="D37" s="54">
        <v>29</v>
      </c>
      <c r="E37" s="31" t="s">
        <v>43</v>
      </c>
      <c r="F37" s="31" t="s">
        <v>316</v>
      </c>
      <c r="G37" s="32">
        <v>166</v>
      </c>
      <c r="H37" s="32">
        <v>4.5</v>
      </c>
      <c r="I37" s="88">
        <v>151</v>
      </c>
      <c r="J37" s="31" t="s">
        <v>44</v>
      </c>
      <c r="K37" s="223">
        <v>2016</v>
      </c>
      <c r="L37" s="308" t="s">
        <v>46</v>
      </c>
      <c r="M37" s="308" t="s">
        <v>54</v>
      </c>
      <c r="N37" s="223">
        <v>2016</v>
      </c>
      <c r="O37" s="224">
        <v>41437</v>
      </c>
      <c r="P37" s="269"/>
      <c r="Q37" s="266"/>
      <c r="R37" s="266"/>
      <c r="S37" s="31" t="s">
        <v>60</v>
      </c>
      <c r="T37" s="31" t="s">
        <v>65</v>
      </c>
      <c r="U37" s="180"/>
      <c r="V37" s="266"/>
      <c r="W37" s="180"/>
      <c r="X37" s="266"/>
      <c r="Y37" s="269"/>
      <c r="Z37" s="269"/>
      <c r="AA37" s="31" t="s">
        <v>323</v>
      </c>
      <c r="AB37" s="31" t="s">
        <v>67</v>
      </c>
      <c r="AC37" s="32" t="str">
        <f t="shared" si="8"/>
        <v>Single</v>
      </c>
      <c r="AD37" s="88">
        <v>2500</v>
      </c>
      <c r="AE37" s="27">
        <v>43416</v>
      </c>
      <c r="AF37" s="29">
        <f t="shared" si="9"/>
        <v>1</v>
      </c>
      <c r="AG37" s="29">
        <f t="shared" si="10"/>
        <v>10</v>
      </c>
      <c r="AH37" s="293">
        <f t="shared" si="11"/>
        <v>302</v>
      </c>
      <c r="AI37" s="29">
        <f t="shared" si="12"/>
        <v>366.77</v>
      </c>
      <c r="AJ37" s="29">
        <f t="shared" si="13"/>
        <v>0</v>
      </c>
      <c r="AK37" s="294">
        <f t="shared" si="14"/>
        <v>3168.77</v>
      </c>
      <c r="AL37" s="293">
        <f t="shared" si="15"/>
        <v>668.77</v>
      </c>
      <c r="AM37" s="180"/>
    </row>
    <row r="38" spans="1:39" ht="39" thickBot="1" x14ac:dyDescent="0.3">
      <c r="B38" s="32" t="s">
        <v>227</v>
      </c>
      <c r="D38" s="37">
        <v>29</v>
      </c>
      <c r="E38" s="31" t="s">
        <v>43</v>
      </c>
      <c r="F38" s="31" t="s">
        <v>316</v>
      </c>
      <c r="G38" s="32">
        <v>166</v>
      </c>
      <c r="H38" s="32">
        <v>4.5</v>
      </c>
      <c r="I38" s="88">
        <v>151</v>
      </c>
      <c r="J38" s="31" t="s">
        <v>44</v>
      </c>
      <c r="K38" s="223">
        <v>2016</v>
      </c>
      <c r="L38" s="308" t="s">
        <v>46</v>
      </c>
      <c r="M38" s="308" t="s">
        <v>54</v>
      </c>
      <c r="N38" s="223">
        <v>2016</v>
      </c>
      <c r="O38" s="224">
        <v>41437</v>
      </c>
      <c r="S38" s="31" t="s">
        <v>60</v>
      </c>
      <c r="T38" s="31" t="s">
        <v>65</v>
      </c>
      <c r="AA38" s="31" t="s">
        <v>325</v>
      </c>
      <c r="AB38" s="31" t="s">
        <v>67</v>
      </c>
      <c r="AC38" s="32" t="str">
        <f t="shared" si="8"/>
        <v>Single</v>
      </c>
      <c r="AD38" s="88">
        <v>7000</v>
      </c>
      <c r="AE38" s="27">
        <v>44011</v>
      </c>
      <c r="AF38" s="29">
        <f t="shared" si="9"/>
        <v>1</v>
      </c>
      <c r="AG38" s="29">
        <f t="shared" si="10"/>
        <v>10</v>
      </c>
      <c r="AH38" s="293">
        <f t="shared" si="11"/>
        <v>302</v>
      </c>
      <c r="AI38" s="29">
        <f t="shared" si="12"/>
        <v>366.77</v>
      </c>
      <c r="AJ38" s="29">
        <f t="shared" si="13"/>
        <v>0</v>
      </c>
      <c r="AK38" s="294">
        <f t="shared" si="14"/>
        <v>7668.77</v>
      </c>
      <c r="AL38" s="293">
        <f t="shared" si="15"/>
        <v>668.77</v>
      </c>
    </row>
    <row r="39" spans="1:39" s="185" customFormat="1" ht="26.25" thickBot="1" x14ac:dyDescent="0.3">
      <c r="B39" s="34" t="s">
        <v>227</v>
      </c>
      <c r="D39" s="61">
        <v>29</v>
      </c>
      <c r="E39" s="33" t="s">
        <v>43</v>
      </c>
      <c r="F39" s="33" t="s">
        <v>327</v>
      </c>
      <c r="G39" s="36">
        <v>166</v>
      </c>
      <c r="H39" s="36">
        <v>4.5</v>
      </c>
      <c r="I39" s="147">
        <v>151</v>
      </c>
      <c r="J39" s="34" t="s">
        <v>44</v>
      </c>
      <c r="K39" s="225">
        <v>2016</v>
      </c>
      <c r="L39" s="317" t="s">
        <v>46</v>
      </c>
      <c r="M39" s="317" t="s">
        <v>54</v>
      </c>
      <c r="N39" s="225">
        <v>2016</v>
      </c>
      <c r="O39" s="226">
        <v>41437</v>
      </c>
      <c r="S39" s="33" t="s">
        <v>60</v>
      </c>
      <c r="T39" s="33" t="s">
        <v>65</v>
      </c>
      <c r="AA39" s="33" t="s">
        <v>328</v>
      </c>
      <c r="AB39" s="33" t="s">
        <v>67</v>
      </c>
      <c r="AC39" s="36" t="str">
        <f t="shared" si="8"/>
        <v>Single</v>
      </c>
      <c r="AD39" s="147">
        <v>750</v>
      </c>
      <c r="AE39" s="28">
        <v>42564</v>
      </c>
      <c r="AF39" s="29">
        <f t="shared" si="9"/>
        <v>1</v>
      </c>
      <c r="AG39" s="29">
        <f t="shared" si="10"/>
        <v>10</v>
      </c>
      <c r="AH39" s="293">
        <f t="shared" si="11"/>
        <v>302</v>
      </c>
      <c r="AI39" s="29">
        <f t="shared" si="12"/>
        <v>366.77</v>
      </c>
      <c r="AJ39" s="29">
        <f t="shared" si="13"/>
        <v>0</v>
      </c>
      <c r="AK39" s="294">
        <f t="shared" si="14"/>
        <v>1418.77</v>
      </c>
      <c r="AL39" s="293">
        <f t="shared" si="15"/>
        <v>668.77</v>
      </c>
    </row>
    <row r="40" spans="1:39" ht="57" x14ac:dyDescent="0.25">
      <c r="A40" s="230" t="s">
        <v>557</v>
      </c>
      <c r="B40" s="230"/>
      <c r="C40" s="231" t="s">
        <v>558</v>
      </c>
      <c r="D40" s="232">
        <v>54</v>
      </c>
      <c r="E40" s="231" t="s">
        <v>43</v>
      </c>
      <c r="F40" s="230" t="s">
        <v>218</v>
      </c>
      <c r="L40" s="233" t="s">
        <v>64</v>
      </c>
      <c r="M40" s="233" t="str">
        <f>IF(ISNUMBER(SEARCH("AE", K40)), "Transhumeral", "Transradial")</f>
        <v>Transradial</v>
      </c>
      <c r="P40" s="234" t="s">
        <v>559</v>
      </c>
      <c r="Q40" s="234" t="s">
        <v>560</v>
      </c>
      <c r="R40" s="234" t="s">
        <v>561</v>
      </c>
      <c r="S40" s="186" t="s">
        <v>60</v>
      </c>
      <c r="U40" s="230">
        <v>13200</v>
      </c>
      <c r="V40" s="230">
        <v>13200</v>
      </c>
      <c r="W40" s="230">
        <f>IFERROR((V40/U40)*100, "NA")</f>
        <v>100</v>
      </c>
      <c r="X40" s="230">
        <v>13200</v>
      </c>
      <c r="Y40" s="230">
        <v>0</v>
      </c>
      <c r="Z40" s="230" t="s">
        <v>504</v>
      </c>
    </row>
    <row r="41" spans="1:39" s="185" customFormat="1" ht="51.75" thickBot="1" x14ac:dyDescent="0.3">
      <c r="B41" s="99" t="s">
        <v>158</v>
      </c>
      <c r="D41" s="36">
        <v>52</v>
      </c>
      <c r="E41" s="99" t="s">
        <v>43</v>
      </c>
      <c r="F41" s="36" t="s">
        <v>218</v>
      </c>
      <c r="G41" s="36">
        <v>200</v>
      </c>
      <c r="H41" s="36">
        <v>10</v>
      </c>
      <c r="I41" s="147">
        <v>300</v>
      </c>
      <c r="J41" s="36" t="s">
        <v>44</v>
      </c>
      <c r="K41" s="322">
        <v>2016</v>
      </c>
      <c r="L41" s="36" t="s">
        <v>64</v>
      </c>
      <c r="M41" s="61" t="s">
        <v>45</v>
      </c>
      <c r="N41" s="323">
        <v>2016</v>
      </c>
      <c r="O41" s="5">
        <v>42656</v>
      </c>
      <c r="S41" s="36" t="s">
        <v>60</v>
      </c>
      <c r="T41" s="36" t="s">
        <v>65</v>
      </c>
      <c r="AA41" s="36" t="s">
        <v>219</v>
      </c>
      <c r="AB41" s="36" t="s">
        <v>67</v>
      </c>
      <c r="AC41" s="36" t="str">
        <f>IF(OR(ISNUMBER(SEARCH("&amp;", AB41)), ISNUMBER(SEARCH(",", AB41))), "Multiple", "Single")</f>
        <v>Single</v>
      </c>
      <c r="AD41" s="147">
        <v>150</v>
      </c>
      <c r="AE41" s="63">
        <v>42985</v>
      </c>
      <c r="AF41" s="29">
        <f>IF(OR(ISNUMBER( SEARCH("major",AB41))), 8, 1)</f>
        <v>1</v>
      </c>
      <c r="AG41" s="29">
        <f>(H41*2)+AF41</f>
        <v>21</v>
      </c>
      <c r="AH41" s="293">
        <f>IF(D41&lt;18, 4*I41, 2*I41)</f>
        <v>600</v>
      </c>
      <c r="AI41" s="29">
        <f>IF(D41&gt;=18, IF(E41="Male", IF(AG41&gt;24, 2*366.77, IF(AG41&gt;=4, 366.77, 0.5*366.77)), IF(AG41&gt;24, 2*252.79, IF(AG41&gt;=4, 252.79, 0.5*252.79))), IF(AG41&gt;24, 2*309.89, IF(AG41&gt;=4, 309.89, 0.5*309.89)))</f>
        <v>366.77</v>
      </c>
      <c r="AJ41" s="29">
        <f>IF(D41&gt;=18, IF(E41="Male", IF(AG41&gt;24, 366.77, 0), IF(AG41&gt;24, 252.79, 0)), 2*309.89)</f>
        <v>0</v>
      </c>
      <c r="AK41" s="294">
        <f>AD41+AH41+AI41+AJ41</f>
        <v>1116.77</v>
      </c>
      <c r="AL41" s="293">
        <f>AH41+AI41+AJ41</f>
        <v>966.77</v>
      </c>
    </row>
    <row r="42" spans="1:39" ht="42.75" x14ac:dyDescent="0.25">
      <c r="A42" s="230" t="s">
        <v>562</v>
      </c>
      <c r="B42" s="230" t="s">
        <v>255</v>
      </c>
      <c r="C42" s="231" t="s">
        <v>563</v>
      </c>
      <c r="D42" s="232">
        <v>37</v>
      </c>
      <c r="E42" s="231" t="s">
        <v>43</v>
      </c>
      <c r="F42" s="230" t="s">
        <v>371</v>
      </c>
      <c r="L42" s="233" t="s">
        <v>64</v>
      </c>
      <c r="M42" s="233" t="s">
        <v>45</v>
      </c>
      <c r="P42" s="234" t="s">
        <v>564</v>
      </c>
      <c r="Q42" s="234" t="s">
        <v>565</v>
      </c>
      <c r="R42" s="234" t="s">
        <v>566</v>
      </c>
      <c r="U42" s="230">
        <v>56900</v>
      </c>
      <c r="V42" s="230">
        <v>56900</v>
      </c>
      <c r="W42" s="230">
        <f>IFERROR((V42/U42)*100, "NA")</f>
        <v>100</v>
      </c>
      <c r="X42" s="230">
        <v>56900</v>
      </c>
      <c r="Y42" s="230">
        <v>0</v>
      </c>
      <c r="Z42" s="230" t="s">
        <v>504</v>
      </c>
    </row>
    <row r="43" spans="1:39" ht="72" x14ac:dyDescent="0.25">
      <c r="A43" s="241">
        <v>401354</v>
      </c>
      <c r="B43" s="241" t="s">
        <v>567</v>
      </c>
      <c r="C43" s="242" t="s">
        <v>568</v>
      </c>
      <c r="D43" s="243">
        <v>26</v>
      </c>
      <c r="E43" s="244" t="s">
        <v>43</v>
      </c>
      <c r="F43" s="245" t="s">
        <v>569</v>
      </c>
      <c r="L43" s="233" t="s">
        <v>64</v>
      </c>
      <c r="M43" s="233" t="s">
        <v>45</v>
      </c>
      <c r="P43" s="246">
        <v>40980</v>
      </c>
      <c r="Q43" s="246">
        <v>40992</v>
      </c>
      <c r="R43" s="246">
        <v>40996</v>
      </c>
      <c r="U43" s="324">
        <v>15000</v>
      </c>
      <c r="V43" s="324">
        <v>0</v>
      </c>
      <c r="W43" s="230">
        <f>IFERROR((V43/U43)*100, "NA")</f>
        <v>0</v>
      </c>
      <c r="X43" s="324">
        <v>0</v>
      </c>
      <c r="Y43" s="324" t="s">
        <v>556</v>
      </c>
      <c r="Z43" s="324" t="s">
        <v>518</v>
      </c>
    </row>
    <row r="44" spans="1:39" s="339" customFormat="1" ht="38.25" x14ac:dyDescent="0.25">
      <c r="B44" s="339" t="s">
        <v>255</v>
      </c>
      <c r="D44" s="32">
        <v>36</v>
      </c>
      <c r="E44" s="32" t="s">
        <v>43</v>
      </c>
      <c r="F44" s="43" t="s">
        <v>371</v>
      </c>
      <c r="G44" s="109">
        <v>380</v>
      </c>
      <c r="H44" s="109">
        <v>8</v>
      </c>
      <c r="I44" s="145">
        <v>407</v>
      </c>
      <c r="J44" s="32" t="s">
        <v>63</v>
      </c>
      <c r="K44" s="339">
        <v>2012</v>
      </c>
      <c r="L44" s="233" t="s">
        <v>64</v>
      </c>
      <c r="M44" s="233" t="s">
        <v>45</v>
      </c>
      <c r="N44" s="340">
        <v>2015</v>
      </c>
      <c r="O44" s="4">
        <v>40970</v>
      </c>
      <c r="S44" s="32" t="s">
        <v>60</v>
      </c>
      <c r="T44" s="32" t="s">
        <v>65</v>
      </c>
      <c r="AA44" s="32" t="s">
        <v>372</v>
      </c>
      <c r="AB44" s="95" t="s">
        <v>67</v>
      </c>
      <c r="AC44" s="32" t="str">
        <f>IF(OR(ISNUMBER(SEARCH("&amp;", AB44)), ISNUMBER(SEARCH(",", AB44))), "Multiple", "Single")</f>
        <v>Single</v>
      </c>
      <c r="AD44" s="88">
        <v>750</v>
      </c>
      <c r="AE44" s="4">
        <v>43829</v>
      </c>
      <c r="AF44" s="17">
        <f>IF(OR(ISNUMBER( SEARCH("major",AB44))), 8, 1)</f>
        <v>1</v>
      </c>
      <c r="AG44" s="17">
        <f>(H44*2)+AF44</f>
        <v>17</v>
      </c>
      <c r="AH44" s="209">
        <f>IF(D44&lt;18, 4*I44, 2*I44)</f>
        <v>814</v>
      </c>
      <c r="AI44" s="17">
        <f>IF(D44&gt;=18, IF(E44="Male", IF(AG44&gt;24, 2*366.77, IF(AG44&gt;=4, 366.77, 0.5*366.77)), IF(AG44&gt;24, 2*252.79, IF(AG44&gt;=4, 252.79, 0.5*252.79))), IF(AG44&gt;24, 2*309.89, IF(AG44&gt;=4, 309.89, 0.5*309.89)))</f>
        <v>366.77</v>
      </c>
      <c r="AJ44" s="17">
        <f>IF(D44&gt;=18, IF(E44="Male", IF(AG44&gt;24, 366.77, 0), IF(AG44&gt;24, 252.79, 0)), 2*309.89)</f>
        <v>0</v>
      </c>
      <c r="AK44" s="213">
        <f>AD44+AH44+AI44+AJ44</f>
        <v>1930.77</v>
      </c>
      <c r="AL44" s="209">
        <f>AH44+AI44+AJ44</f>
        <v>1180.77</v>
      </c>
    </row>
    <row r="45" spans="1:39" s="185" customFormat="1" ht="39" thickBot="1" x14ac:dyDescent="0.3">
      <c r="B45" s="185" t="s">
        <v>255</v>
      </c>
      <c r="D45" s="36">
        <v>36</v>
      </c>
      <c r="E45" s="36" t="s">
        <v>43</v>
      </c>
      <c r="F45" s="290" t="s">
        <v>371</v>
      </c>
      <c r="G45" s="306">
        <v>380</v>
      </c>
      <c r="H45" s="306">
        <v>8</v>
      </c>
      <c r="I45" s="307">
        <v>407</v>
      </c>
      <c r="J45" s="36" t="s">
        <v>63</v>
      </c>
      <c r="K45" s="185">
        <v>2012</v>
      </c>
      <c r="L45" s="334" t="s">
        <v>64</v>
      </c>
      <c r="M45" s="334" t="s">
        <v>45</v>
      </c>
      <c r="N45" s="333">
        <v>2015</v>
      </c>
      <c r="O45" s="5">
        <v>40970</v>
      </c>
      <c r="S45" s="36" t="s">
        <v>60</v>
      </c>
      <c r="T45" s="36" t="s">
        <v>65</v>
      </c>
      <c r="AA45" s="36" t="s">
        <v>373</v>
      </c>
      <c r="AB45" s="335" t="s">
        <v>104</v>
      </c>
      <c r="AC45" s="36" t="str">
        <f>IF(OR(ISNUMBER(SEARCH("&amp;", AB45)), ISNUMBER(SEARCH(",", AB45))), "Multiple", "Single")</f>
        <v>Multiple</v>
      </c>
      <c r="AD45" s="147">
        <f>750+150</f>
        <v>900</v>
      </c>
      <c r="AE45" s="5">
        <v>43558</v>
      </c>
      <c r="AF45" s="336">
        <f>IF(OR(ISNUMBER( SEARCH("major",AB45))), 8, 1)</f>
        <v>1</v>
      </c>
      <c r="AG45" s="336">
        <f>(H45*2)+AF45</f>
        <v>17</v>
      </c>
      <c r="AH45" s="337">
        <f>IF(D45&lt;18, 4*I45, 2*I45)</f>
        <v>814</v>
      </c>
      <c r="AI45" s="336">
        <f>IF(D45&gt;=18, IF(E45="Male", IF(AG45&gt;24, 2*366.77, IF(AG45&gt;=4, 366.77, 0.5*366.77)), IF(AG45&gt;24, 2*252.79, IF(AG45&gt;=4, 252.79, 0.5*252.79))), IF(AG45&gt;24, 2*309.89, IF(AG45&gt;=4, 309.89, 0.5*309.89)))</f>
        <v>366.77</v>
      </c>
      <c r="AJ45" s="336">
        <f>IF(D45&gt;=18, IF(E45="Male", IF(AG45&gt;24, 366.77, 0), IF(AG45&gt;24, 252.79, 0)), 2*309.89)</f>
        <v>0</v>
      </c>
      <c r="AK45" s="338">
        <f>AD45+AH45+AI45+AJ45</f>
        <v>2080.77</v>
      </c>
      <c r="AL45" s="337">
        <f>AH45+AI45+AJ45</f>
        <v>1180.77</v>
      </c>
    </row>
    <row r="46" spans="1:39" s="344" customFormat="1" ht="28.5" x14ac:dyDescent="0.25">
      <c r="A46" s="341" t="s">
        <v>570</v>
      </c>
      <c r="B46" s="341" t="s">
        <v>154</v>
      </c>
      <c r="C46" s="342" t="s">
        <v>571</v>
      </c>
      <c r="D46" s="343">
        <v>46</v>
      </c>
      <c r="E46" s="342" t="s">
        <v>43</v>
      </c>
      <c r="F46" s="341" t="s">
        <v>215</v>
      </c>
      <c r="P46" s="345" t="s">
        <v>572</v>
      </c>
      <c r="Q46" s="345" t="s">
        <v>573</v>
      </c>
      <c r="R46" s="345" t="s">
        <v>574</v>
      </c>
      <c r="U46" s="341">
        <v>13200</v>
      </c>
      <c r="V46" s="341">
        <v>13200</v>
      </c>
      <c r="W46" s="341">
        <f>IFERROR((V46/U46)*100, "NA")</f>
        <v>100</v>
      </c>
      <c r="X46" s="341">
        <v>13200</v>
      </c>
      <c r="Y46" s="341">
        <v>0</v>
      </c>
      <c r="Z46" s="341" t="s">
        <v>504</v>
      </c>
      <c r="AD46" s="346"/>
      <c r="AE46" s="347"/>
    </row>
    <row r="47" spans="1:39" s="348" customFormat="1" ht="30" thickBot="1" x14ac:dyDescent="0.3">
      <c r="B47" s="348" t="s">
        <v>154</v>
      </c>
      <c r="D47" s="34">
        <v>44</v>
      </c>
      <c r="E47" s="34" t="s">
        <v>43</v>
      </c>
      <c r="F47" s="34" t="s">
        <v>215</v>
      </c>
      <c r="G47" s="34">
        <v>43</v>
      </c>
      <c r="H47" s="34">
        <v>3</v>
      </c>
      <c r="I47" s="155">
        <v>42</v>
      </c>
      <c r="J47" s="34" t="s">
        <v>44</v>
      </c>
      <c r="K47" s="34">
        <v>2016</v>
      </c>
      <c r="L47" s="349" t="s">
        <v>64</v>
      </c>
      <c r="M47" s="349" t="s">
        <v>45</v>
      </c>
      <c r="N47" s="348">
        <v>2017</v>
      </c>
      <c r="O47" s="3">
        <v>42717</v>
      </c>
      <c r="S47" s="34" t="s">
        <v>60</v>
      </c>
      <c r="T47" s="34" t="s">
        <v>65</v>
      </c>
      <c r="AA47" s="34" t="s">
        <v>216</v>
      </c>
      <c r="AB47" s="34" t="s">
        <v>67</v>
      </c>
      <c r="AC47" s="34" t="str">
        <f>IF(OR(ISNUMBER(SEARCH("&amp;", AB47)), ISNUMBER(SEARCH(",", AB47))), "Multiple", "Single")</f>
        <v>Single</v>
      </c>
      <c r="AD47" s="155">
        <v>750</v>
      </c>
      <c r="AE47" s="28">
        <v>43110</v>
      </c>
      <c r="AF47" s="29">
        <f>IF(OR(ISNUMBER( SEARCH("major",AB47))), 8, 1)</f>
        <v>1</v>
      </c>
      <c r="AG47" s="29">
        <f>(H47*2)+AF47</f>
        <v>7</v>
      </c>
      <c r="AH47" s="293">
        <f>IF(D47&lt;18, 4*I47, 2*I47)</f>
        <v>84</v>
      </c>
      <c r="AI47" s="29">
        <f>IF(D47&gt;=18, IF(E47="Male", IF(AG47&gt;24, 2*366.77, IF(AG47&gt;=4, 366.77, 0.5*366.77)), IF(AG47&gt;24, 2*252.79, IF(AG47&gt;=4, 252.79, 0.5*252.79))), IF(AG47&gt;24, 2*309.89, IF(AG47&gt;=4, 309.89, 0.5*309.89)))</f>
        <v>366.77</v>
      </c>
      <c r="AJ47" s="29">
        <f>IF(D47&gt;=18, IF(E47="Male", IF(AG47&gt;24, 366.77, 0), IF(AG47&gt;24, 252.79, 0)), 2*309.89)</f>
        <v>0</v>
      </c>
      <c r="AK47" s="294">
        <f>AD47+AH47+AI47+AJ47</f>
        <v>1200.77</v>
      </c>
      <c r="AL47" s="293">
        <f>AH47+AI47+AJ47</f>
        <v>450.77</v>
      </c>
    </row>
    <row r="48" spans="1:39" s="353" customFormat="1" ht="57" x14ac:dyDescent="0.25">
      <c r="A48" s="350" t="s">
        <v>575</v>
      </c>
      <c r="B48" s="350" t="s">
        <v>149</v>
      </c>
      <c r="C48" s="351" t="s">
        <v>576</v>
      </c>
      <c r="D48" s="352">
        <v>9</v>
      </c>
      <c r="E48" s="351" t="s">
        <v>43</v>
      </c>
      <c r="F48" s="350" t="s">
        <v>204</v>
      </c>
      <c r="L48" s="354" t="s">
        <v>64</v>
      </c>
      <c r="M48" s="354" t="s">
        <v>54</v>
      </c>
      <c r="P48" s="355" t="s">
        <v>577</v>
      </c>
      <c r="Q48" s="355" t="s">
        <v>578</v>
      </c>
      <c r="R48" s="355" t="s">
        <v>579</v>
      </c>
      <c r="S48" s="353" t="s">
        <v>580</v>
      </c>
      <c r="U48" s="350">
        <v>4000</v>
      </c>
      <c r="V48" s="350">
        <v>4000</v>
      </c>
      <c r="W48" s="350">
        <f>IFERROR((V48/U48)*100, "NA")</f>
        <v>100</v>
      </c>
      <c r="X48" s="350">
        <v>4000</v>
      </c>
      <c r="Y48" s="350">
        <v>0</v>
      </c>
      <c r="Z48" s="350" t="s">
        <v>504</v>
      </c>
      <c r="AD48" s="356"/>
      <c r="AE48" s="357"/>
    </row>
    <row r="49" spans="1:38" s="339" customFormat="1" ht="51" x14ac:dyDescent="0.25">
      <c r="B49" s="339" t="s">
        <v>149</v>
      </c>
      <c r="D49" s="220">
        <v>7</v>
      </c>
      <c r="E49" s="358" t="s">
        <v>43</v>
      </c>
      <c r="F49" s="373" t="s">
        <v>204</v>
      </c>
      <c r="G49" s="359">
        <v>25</v>
      </c>
      <c r="H49" s="359">
        <v>2</v>
      </c>
      <c r="I49" s="360">
        <v>42</v>
      </c>
      <c r="J49" s="360" t="s">
        <v>164</v>
      </c>
      <c r="K49" s="412">
        <v>2003</v>
      </c>
      <c r="L49" s="361" t="s">
        <v>64</v>
      </c>
      <c r="M49" s="32" t="s">
        <v>205</v>
      </c>
      <c r="N49" s="339">
        <v>2017</v>
      </c>
      <c r="O49" s="45">
        <v>42791</v>
      </c>
      <c r="S49" s="32" t="s">
        <v>60</v>
      </c>
      <c r="T49" s="32" t="s">
        <v>65</v>
      </c>
      <c r="AA49" s="32" t="s">
        <v>206</v>
      </c>
      <c r="AB49" s="95" t="s">
        <v>67</v>
      </c>
      <c r="AC49" s="32" t="str">
        <f>IF(OR(ISNUMBER(SEARCH("&amp;", AB49)), ISNUMBER(SEARCH(",", AB49))), "Multiple", "Single")</f>
        <v>Single</v>
      </c>
      <c r="AD49" s="88">
        <v>2500</v>
      </c>
      <c r="AE49" s="4">
        <v>42901</v>
      </c>
      <c r="AF49" s="17">
        <f>IF(OR(ISNUMBER( SEARCH("major",AB49))), 8, 1)</f>
        <v>1</v>
      </c>
      <c r="AG49" s="17">
        <f>(H49*2)+AF49</f>
        <v>5</v>
      </c>
      <c r="AH49" s="209">
        <f>IF(D49&lt;18, 4*I49, 2*I49)</f>
        <v>168</v>
      </c>
      <c r="AI49" s="17">
        <f>IF(D49&gt;=18, IF(E49="Male", IF(AG49&gt;24, 2*366.77, IF(AG49&gt;=4, 366.77, 0.5*366.77)), IF(AG49&gt;24, 2*252.79, IF(AG49&gt;=4, 252.79, 0.5*252.79))), IF(AG49&gt;24, 2*309.89, IF(AG49&gt;=4, 309.89, 0.5*309.89)))</f>
        <v>309.89</v>
      </c>
      <c r="AJ49" s="17">
        <f>IF(D49&gt;=18, IF(E49="Male", IF(AG49&gt;24, 366.77, 0), IF(AG49&gt;24, 252.79, 0)), 2*309.89)</f>
        <v>619.78</v>
      </c>
      <c r="AK49" s="213">
        <f>AD49+AH49+AI49+AJ49</f>
        <v>3597.67</v>
      </c>
      <c r="AL49" s="209">
        <f>AH49+AI49+AJ49</f>
        <v>1097.67</v>
      </c>
    </row>
    <row r="50" spans="1:38" s="339" customFormat="1" ht="51" x14ac:dyDescent="0.25">
      <c r="B50" s="339" t="s">
        <v>149</v>
      </c>
      <c r="D50" s="220">
        <v>7</v>
      </c>
      <c r="E50" s="371" t="s">
        <v>43</v>
      </c>
      <c r="F50" s="372" t="s">
        <v>204</v>
      </c>
      <c r="G50" s="359">
        <v>25</v>
      </c>
      <c r="H50" s="359">
        <v>2</v>
      </c>
      <c r="I50" s="360">
        <v>42</v>
      </c>
      <c r="J50" s="360" t="s">
        <v>164</v>
      </c>
      <c r="K50" s="412">
        <v>2003</v>
      </c>
      <c r="L50" s="361" t="s">
        <v>64</v>
      </c>
      <c r="M50" s="32" t="s">
        <v>205</v>
      </c>
      <c r="N50" s="339">
        <v>2017</v>
      </c>
      <c r="O50" s="45">
        <v>42791</v>
      </c>
      <c r="S50" s="32" t="s">
        <v>60</v>
      </c>
      <c r="T50" s="32" t="s">
        <v>65</v>
      </c>
      <c r="AA50" s="32" t="s">
        <v>209</v>
      </c>
      <c r="AB50" s="32" t="s">
        <v>67</v>
      </c>
      <c r="AC50" s="32" t="str">
        <f>IF(OR(ISNUMBER(SEARCH("&amp;", AB50)), ISNUMBER(SEARCH(",", AB50))), "Multiple", "Single")</f>
        <v>Single</v>
      </c>
      <c r="AD50" s="88">
        <v>2500</v>
      </c>
      <c r="AE50" s="26">
        <v>43055</v>
      </c>
      <c r="AF50" s="19">
        <f>IF(OR(ISNUMBER( SEARCH("major",AB50))), 8, 1)</f>
        <v>1</v>
      </c>
      <c r="AG50" s="19">
        <f>(H50*2)+AF50</f>
        <v>5</v>
      </c>
      <c r="AH50" s="327">
        <f>IF(D50&lt;18, 4*I50, 2*I50)</f>
        <v>168</v>
      </c>
      <c r="AI50" s="19">
        <f>IF(D50&gt;=18, IF(E50="Male", IF(AG50&gt;24, 2*366.77, IF(AG50&gt;=4, 366.77, 0.5*366.77)), IF(AG50&gt;24, 2*252.79, IF(AG50&gt;=4, 252.79, 0.5*252.79))), IF(AG50&gt;24, 2*309.89, IF(AG50&gt;=4, 309.89, 0.5*309.89)))</f>
        <v>309.89</v>
      </c>
      <c r="AJ50" s="19">
        <f>IF(D50&gt;=18, IF(E50="Male", IF(AG50&gt;24, 366.77, 0), IF(AG50&gt;24, 252.79, 0)), 2*309.89)</f>
        <v>619.78</v>
      </c>
      <c r="AK50" s="329">
        <f>AD50+AH50+AI50+AJ50</f>
        <v>3597.67</v>
      </c>
      <c r="AL50" s="327">
        <f>AH50+AI50+AJ50</f>
        <v>1097.67</v>
      </c>
    </row>
    <row r="51" spans="1:38" s="339" customFormat="1" ht="51" x14ac:dyDescent="0.25">
      <c r="B51" s="339" t="s">
        <v>149</v>
      </c>
      <c r="D51" s="220">
        <v>7</v>
      </c>
      <c r="E51" s="371" t="s">
        <v>43</v>
      </c>
      <c r="F51" s="372" t="s">
        <v>204</v>
      </c>
      <c r="G51" s="359">
        <v>25</v>
      </c>
      <c r="H51" s="359">
        <v>2</v>
      </c>
      <c r="I51" s="360">
        <v>42</v>
      </c>
      <c r="J51" s="360" t="s">
        <v>164</v>
      </c>
      <c r="K51" s="412">
        <v>2003</v>
      </c>
      <c r="L51" s="361" t="s">
        <v>64</v>
      </c>
      <c r="M51" s="32" t="s">
        <v>205</v>
      </c>
      <c r="N51" s="339">
        <v>2017</v>
      </c>
      <c r="O51" s="45">
        <v>42791</v>
      </c>
      <c r="S51" s="32" t="s">
        <v>60</v>
      </c>
      <c r="T51" s="32" t="s">
        <v>65</v>
      </c>
      <c r="AA51" s="32" t="s">
        <v>211</v>
      </c>
      <c r="AB51" s="32" t="s">
        <v>67</v>
      </c>
      <c r="AC51" s="32" t="str">
        <f>IF(OR(ISNUMBER(SEARCH("&amp;", AB51)), ISNUMBER(SEARCH(",", AB51))), "Multiple", "Single")</f>
        <v>Single</v>
      </c>
      <c r="AD51" s="88">
        <v>200</v>
      </c>
      <c r="AE51" s="26">
        <v>43152</v>
      </c>
      <c r="AF51" s="19">
        <f>IF(OR(ISNUMBER( SEARCH("major",AB51))), 8, 1)</f>
        <v>1</v>
      </c>
      <c r="AG51" s="19">
        <f>(H51*2)+AF51</f>
        <v>5</v>
      </c>
      <c r="AH51" s="327">
        <f>IF(D51&lt;18, 4*I51, 2*I51)</f>
        <v>168</v>
      </c>
      <c r="AI51" s="19">
        <f>IF(D51&gt;=18, IF(E51="Male", IF(AG51&gt;24, 2*366.77, IF(AG51&gt;=4, 366.77, 0.5*366.77)), IF(AG51&gt;24, 2*252.79, IF(AG51&gt;=4, 252.79, 0.5*252.79))), IF(AG51&gt;24, 2*309.89, IF(AG51&gt;=4, 309.89, 0.5*309.89)))</f>
        <v>309.89</v>
      </c>
      <c r="AJ51" s="19">
        <f>IF(D51&gt;=18, IF(E51="Male", IF(AG51&gt;24, 366.77, 0), IF(AG51&gt;24, 252.79, 0)), 2*309.89)</f>
        <v>619.78</v>
      </c>
      <c r="AK51" s="329">
        <f>AD51+AH51+AI51+AJ51</f>
        <v>1297.67</v>
      </c>
      <c r="AL51" s="327">
        <f>AH51+AI51+AJ51</f>
        <v>1097.67</v>
      </c>
    </row>
    <row r="52" spans="1:38" s="348" customFormat="1" ht="51.75" thickBot="1" x14ac:dyDescent="0.3">
      <c r="B52" s="348" t="s">
        <v>149</v>
      </c>
      <c r="D52" s="362">
        <v>7</v>
      </c>
      <c r="E52" s="363" t="s">
        <v>43</v>
      </c>
      <c r="F52" s="167" t="s">
        <v>204</v>
      </c>
      <c r="G52" s="364">
        <v>25</v>
      </c>
      <c r="H52" s="364">
        <v>2</v>
      </c>
      <c r="I52" s="365">
        <v>42</v>
      </c>
      <c r="J52" s="365" t="s">
        <v>164</v>
      </c>
      <c r="K52" s="413">
        <v>2003</v>
      </c>
      <c r="L52" s="349" t="s">
        <v>64</v>
      </c>
      <c r="M52" s="34" t="s">
        <v>205</v>
      </c>
      <c r="N52" s="348">
        <v>2017</v>
      </c>
      <c r="O52" s="47">
        <v>42791</v>
      </c>
      <c r="S52" s="34" t="s">
        <v>60</v>
      </c>
      <c r="T52" s="34" t="s">
        <v>65</v>
      </c>
      <c r="AA52" s="34" t="s">
        <v>213</v>
      </c>
      <c r="AB52" s="34" t="s">
        <v>67</v>
      </c>
      <c r="AC52" s="34" t="str">
        <f>IF(OR(ISNUMBER(SEARCH("&amp;", AB52)), ISNUMBER(SEARCH(",", AB52))), "Multiple", "Single")</f>
        <v>Single</v>
      </c>
      <c r="AD52" s="155">
        <v>250</v>
      </c>
      <c r="AE52" s="28">
        <v>43398</v>
      </c>
      <c r="AF52" s="29">
        <f>IF(OR(ISNUMBER( SEARCH("major",AB52))), 8, 1)</f>
        <v>1</v>
      </c>
      <c r="AG52" s="29">
        <f>(H52*2)+AF52</f>
        <v>5</v>
      </c>
      <c r="AH52" s="293">
        <f>IF(D52&lt;18, 4*I52, 2*I52)</f>
        <v>168</v>
      </c>
      <c r="AI52" s="29">
        <f>IF(D52&gt;=18, IF(E52="Male", IF(AG52&gt;24, 2*366.77, IF(AG52&gt;=4, 366.77, 0.5*366.77)), IF(AG52&gt;24, 2*252.79, IF(AG52&gt;=4, 252.79, 0.5*252.79))), IF(AG52&gt;24, 2*309.89, IF(AG52&gt;=4, 309.89, 0.5*309.89)))</f>
        <v>309.89</v>
      </c>
      <c r="AJ52" s="29">
        <f>IF(D52&gt;=18, IF(E52="Male", IF(AG52&gt;24, 366.77, 0), IF(AG52&gt;24, 252.79, 0)), 2*309.89)</f>
        <v>619.78</v>
      </c>
      <c r="AK52" s="294">
        <f>AD52+AH52+AI52+AJ52</f>
        <v>1347.67</v>
      </c>
      <c r="AL52" s="293">
        <f>AH52+AI52+AJ52</f>
        <v>1097.67</v>
      </c>
    </row>
    <row r="53" spans="1:38" ht="28.5" x14ac:dyDescent="0.25">
      <c r="A53" s="230" t="s">
        <v>581</v>
      </c>
      <c r="B53" s="230" t="s">
        <v>144</v>
      </c>
      <c r="C53" s="231" t="s">
        <v>582</v>
      </c>
      <c r="D53" s="232">
        <v>33</v>
      </c>
      <c r="E53" s="231" t="s">
        <v>43</v>
      </c>
      <c r="F53" s="230" t="s">
        <v>197</v>
      </c>
      <c r="L53" s="259" t="s">
        <v>46</v>
      </c>
      <c r="M53" s="102" t="s">
        <v>54</v>
      </c>
      <c r="P53" s="234" t="s">
        <v>583</v>
      </c>
      <c r="Q53" s="234" t="s">
        <v>584</v>
      </c>
      <c r="R53" s="234" t="s">
        <v>585</v>
      </c>
      <c r="S53" s="102" t="s">
        <v>503</v>
      </c>
      <c r="U53" s="230">
        <v>5000</v>
      </c>
      <c r="V53" s="230">
        <v>2000</v>
      </c>
      <c r="W53" s="230">
        <f>IFERROR((V53/U53)*100, "NA")</f>
        <v>40</v>
      </c>
      <c r="X53" s="230">
        <v>2000</v>
      </c>
      <c r="Y53" s="230">
        <v>5000</v>
      </c>
      <c r="Z53" s="230" t="s">
        <v>518</v>
      </c>
    </row>
    <row r="54" spans="1:38" ht="38.25" x14ac:dyDescent="0.25">
      <c r="B54" t="s">
        <v>144</v>
      </c>
      <c r="D54" s="32">
        <v>31</v>
      </c>
      <c r="E54" s="32" t="s">
        <v>43</v>
      </c>
      <c r="F54" s="40" t="s">
        <v>197</v>
      </c>
      <c r="G54" s="100">
        <v>150</v>
      </c>
      <c r="H54" s="100">
        <v>5</v>
      </c>
      <c r="I54" s="142">
        <v>130</v>
      </c>
      <c r="J54" s="32" t="s">
        <v>115</v>
      </c>
      <c r="K54" s="54">
        <v>1996</v>
      </c>
      <c r="L54" s="259" t="s">
        <v>46</v>
      </c>
      <c r="M54" s="102" t="s">
        <v>54</v>
      </c>
      <c r="N54">
        <v>2006</v>
      </c>
      <c r="O54" s="366">
        <v>42810</v>
      </c>
      <c r="S54" s="102" t="s">
        <v>503</v>
      </c>
      <c r="T54" s="102" t="s">
        <v>503</v>
      </c>
      <c r="AA54" s="32" t="s">
        <v>198</v>
      </c>
      <c r="AB54" s="95" t="s">
        <v>67</v>
      </c>
      <c r="AC54" s="32" t="str">
        <f>IF(OR(ISNUMBER(SEARCH("&amp;", AB54)), ISNUMBER(SEARCH(",", AB54))), "Multiple", "Single")</f>
        <v>Single</v>
      </c>
      <c r="AD54" s="88">
        <v>750</v>
      </c>
      <c r="AE54" s="4">
        <v>42810</v>
      </c>
      <c r="AF54" s="17">
        <f>IF(OR(ISNUMBER( SEARCH("major",AB54))), 8, 1)</f>
        <v>1</v>
      </c>
      <c r="AG54" s="17">
        <f>(H54*2)+AF54</f>
        <v>11</v>
      </c>
      <c r="AH54" s="209">
        <f>IF(D54&lt;18, 4*I54, 2*I54)</f>
        <v>260</v>
      </c>
      <c r="AI54" s="17">
        <f>IF(D54&gt;=18, IF(E54="Male", IF(AG54&gt;24, 2*366.77, IF(AG54&gt;=4, 366.77, 0.5*366.77)), IF(AG54&gt;24, 2*252.79, IF(AG54&gt;=4, 252.79, 0.5*252.79))), IF(AG54&gt;24, 2*309.89, IF(AG54&gt;=4, 309.89, 0.5*309.89)))</f>
        <v>366.77</v>
      </c>
      <c r="AJ54" s="17">
        <f>IF(D54&gt;=18, IF(E54="Male", IF(AG54&gt;24, 366.77, 0), IF(AG54&gt;24, 252.79, 0)), 2*309.89)</f>
        <v>0</v>
      </c>
      <c r="AK54" s="213">
        <f>AD54+AH54+AI54+AJ54</f>
        <v>1376.77</v>
      </c>
      <c r="AL54" s="209">
        <f>AH54+AI54+AJ54</f>
        <v>626.77</v>
      </c>
    </row>
    <row r="55" spans="1:38" ht="38.25" x14ac:dyDescent="0.25">
      <c r="B55" t="s">
        <v>144</v>
      </c>
      <c r="D55" s="32">
        <v>31</v>
      </c>
      <c r="E55" s="31" t="s">
        <v>43</v>
      </c>
      <c r="F55" s="101" t="s">
        <v>197</v>
      </c>
      <c r="G55" s="100">
        <v>150</v>
      </c>
      <c r="H55" s="100">
        <v>5</v>
      </c>
      <c r="I55" s="142">
        <v>130</v>
      </c>
      <c r="J55" s="31" t="s">
        <v>115</v>
      </c>
      <c r="K55" s="54">
        <v>1996</v>
      </c>
      <c r="L55" s="259" t="s">
        <v>46</v>
      </c>
      <c r="M55" s="102" t="s">
        <v>54</v>
      </c>
      <c r="N55">
        <v>2006</v>
      </c>
      <c r="O55" s="367">
        <v>38353</v>
      </c>
      <c r="S55" s="102" t="s">
        <v>503</v>
      </c>
      <c r="T55" s="102" t="s">
        <v>503</v>
      </c>
      <c r="AA55" s="31" t="s">
        <v>200</v>
      </c>
      <c r="AB55" s="31" t="s">
        <v>67</v>
      </c>
      <c r="AC55" s="32" t="str">
        <f>IF(OR(ISNUMBER(SEARCH("&amp;", AB55)), ISNUMBER(SEARCH(",", AB55))), "Multiple", "Single")</f>
        <v>Single</v>
      </c>
      <c r="AD55" s="88">
        <v>750</v>
      </c>
      <c r="AE55" s="27">
        <v>42060</v>
      </c>
      <c r="AF55" s="17">
        <f>IF(OR(ISNUMBER( SEARCH("major",AB55))), 8, 1)</f>
        <v>1</v>
      </c>
      <c r="AG55" s="17">
        <f>(H55*2)+AF55</f>
        <v>11</v>
      </c>
      <c r="AH55" s="209">
        <f>IF(D55&lt;18, 4*I55, 2*I55)</f>
        <v>260</v>
      </c>
      <c r="AI55" s="17">
        <f>IF(D55&gt;=18, IF(E55="Male", IF(AG55&gt;24, 2*366.77, IF(AG55&gt;=4, 366.77, 0.5*366.77)), IF(AG55&gt;24, 2*252.79, IF(AG55&gt;=4, 252.79, 0.5*252.79))), IF(AG55&gt;24, 2*309.89, IF(AG55&gt;=4, 309.89, 0.5*309.89)))</f>
        <v>366.77</v>
      </c>
      <c r="AJ55" s="17">
        <f>IF(D55&gt;=18, IF(E55="Male", IF(AG55&gt;24, 366.77, 0), IF(AG55&gt;24, 252.79, 0)), 2*309.89)</f>
        <v>0</v>
      </c>
      <c r="AK55" s="213">
        <f>AD55+AH55+AI55+AJ55</f>
        <v>1376.77</v>
      </c>
      <c r="AL55" s="209">
        <f>AH55+AI55+AJ55</f>
        <v>626.77</v>
      </c>
    </row>
    <row r="56" spans="1:38" s="185" customFormat="1" ht="39" thickBot="1" x14ac:dyDescent="0.3">
      <c r="B56" s="185" t="s">
        <v>144</v>
      </c>
      <c r="D56" s="36">
        <v>31</v>
      </c>
      <c r="E56" s="34" t="s">
        <v>43</v>
      </c>
      <c r="F56" s="46" t="s">
        <v>197</v>
      </c>
      <c r="G56" s="106">
        <v>150</v>
      </c>
      <c r="H56" s="106">
        <v>5</v>
      </c>
      <c r="I56" s="369">
        <v>130</v>
      </c>
      <c r="J56" s="36" t="s">
        <v>115</v>
      </c>
      <c r="K56" s="33">
        <v>1996</v>
      </c>
      <c r="L56" s="370" t="s">
        <v>46</v>
      </c>
      <c r="M56" s="99" t="s">
        <v>54</v>
      </c>
      <c r="N56" s="185">
        <v>2006</v>
      </c>
      <c r="O56" s="368">
        <v>38353</v>
      </c>
      <c r="S56" s="99" t="s">
        <v>503</v>
      </c>
      <c r="T56" s="99" t="s">
        <v>503</v>
      </c>
      <c r="AA56" s="34" t="s">
        <v>202</v>
      </c>
      <c r="AB56" s="90" t="s">
        <v>104</v>
      </c>
      <c r="AC56" s="36" t="str">
        <f>IF(OR(ISNUMBER(SEARCH("&amp;", AB56)), ISNUMBER(SEARCH(",", AB56))), "Multiple", "Single")</f>
        <v>Multiple</v>
      </c>
      <c r="AD56" s="147">
        <f>750+200</f>
        <v>950</v>
      </c>
      <c r="AE56" s="3">
        <v>40926</v>
      </c>
      <c r="AF56" s="29">
        <f>IF(OR(ISNUMBER( SEARCH("major",AB56))), 8, 1)</f>
        <v>1</v>
      </c>
      <c r="AG56" s="29">
        <f>(H56*2)+AF56</f>
        <v>11</v>
      </c>
      <c r="AH56" s="293">
        <f>IF(D56&lt;18, 4*I56, 2*I56)</f>
        <v>260</v>
      </c>
      <c r="AI56" s="29">
        <f>IF(D56&gt;=18, IF(E56="Male", IF(AG56&gt;24, 2*366.77, IF(AG56&gt;=4, 366.77, 0.5*366.77)), IF(AG56&gt;24, 2*252.79, IF(AG56&gt;=4, 252.79, 0.5*252.79))), IF(AG56&gt;24, 2*309.89, IF(AG56&gt;=4, 309.89, 0.5*309.89)))</f>
        <v>366.77</v>
      </c>
      <c r="AJ56" s="29">
        <f>IF(D56&gt;=18, IF(E56="Male", IF(AG56&gt;24, 366.77, 0), IF(AG56&gt;24, 252.79, 0)), 2*309.89)</f>
        <v>0</v>
      </c>
      <c r="AK56" s="294">
        <f>AD56+AH56+AI56+AJ56</f>
        <v>1576.77</v>
      </c>
      <c r="AL56" s="293">
        <f>AH56+AI56+AJ56</f>
        <v>626.77</v>
      </c>
    </row>
    <row r="57" spans="1:38" ht="57" x14ac:dyDescent="0.25">
      <c r="A57" s="230" t="s">
        <v>586</v>
      </c>
      <c r="B57" s="230" t="s">
        <v>176</v>
      </c>
      <c r="C57" s="231" t="s">
        <v>587</v>
      </c>
      <c r="D57" s="232">
        <v>48</v>
      </c>
      <c r="E57" s="231" t="s">
        <v>43</v>
      </c>
      <c r="F57" s="230" t="s">
        <v>243</v>
      </c>
      <c r="L57" s="259" t="s">
        <v>46</v>
      </c>
      <c r="M57" s="102" t="s">
        <v>54</v>
      </c>
      <c r="P57" s="234" t="s">
        <v>588</v>
      </c>
      <c r="Q57" s="234" t="s">
        <v>589</v>
      </c>
      <c r="R57" s="234" t="s">
        <v>590</v>
      </c>
      <c r="S57" s="102" t="s">
        <v>503</v>
      </c>
      <c r="U57" s="230">
        <v>5000</v>
      </c>
      <c r="V57" s="230">
        <v>1000</v>
      </c>
      <c r="W57" s="230">
        <f>IFERROR((V57/U57)*100, "NA")</f>
        <v>20</v>
      </c>
      <c r="X57" s="230">
        <v>1000</v>
      </c>
      <c r="Y57" s="230">
        <v>4000</v>
      </c>
      <c r="Z57" s="230" t="s">
        <v>518</v>
      </c>
    </row>
    <row r="58" spans="1:38" ht="51.75" thickBot="1" x14ac:dyDescent="0.3">
      <c r="B58" t="s">
        <v>176</v>
      </c>
      <c r="D58" s="32">
        <v>46</v>
      </c>
      <c r="E58" s="374" t="s">
        <v>43</v>
      </c>
      <c r="F58" s="32" t="s">
        <v>243</v>
      </c>
      <c r="G58" s="32">
        <v>3</v>
      </c>
      <c r="H58" s="32">
        <v>0.25</v>
      </c>
      <c r="I58" s="88">
        <v>10</v>
      </c>
      <c r="J58" s="32" t="s">
        <v>63</v>
      </c>
      <c r="K58" s="321">
        <v>2016</v>
      </c>
      <c r="L58" s="259" t="s">
        <v>46</v>
      </c>
      <c r="M58" s="102" t="s">
        <v>54</v>
      </c>
      <c r="N58">
        <v>2017</v>
      </c>
      <c r="O58" s="4">
        <v>42483</v>
      </c>
      <c r="S58" s="99" t="s">
        <v>503</v>
      </c>
      <c r="T58" s="99" t="s">
        <v>503</v>
      </c>
      <c r="AA58" s="32" t="s">
        <v>244</v>
      </c>
      <c r="AB58" s="32" t="s">
        <v>67</v>
      </c>
      <c r="AC58" s="32" t="str">
        <f>IF(OR(ISNUMBER(SEARCH("&amp;", AB58)), ISNUMBER(SEARCH(",", AB58))), "Multiple", "Single")</f>
        <v>Single</v>
      </c>
      <c r="AD58" s="88">
        <v>150</v>
      </c>
      <c r="AE58" s="26">
        <v>43868</v>
      </c>
      <c r="AF58" s="29">
        <f>IF(OR(ISNUMBER( SEARCH("major",AB58))), 8, 1)</f>
        <v>1</v>
      </c>
      <c r="AG58" s="29">
        <f>(H58*2)+AF58</f>
        <v>1.5</v>
      </c>
      <c r="AH58" s="293">
        <f>IF(D58&lt;18, 4*I58, 2*I58)</f>
        <v>20</v>
      </c>
      <c r="AI58" s="29">
        <f>IF(D58&gt;=18, IF(E58="Male", IF(AG58&gt;24, 2*366.77, IF(AG58&gt;=4, 366.77, 0.5*366.77)), IF(AG58&gt;24, 2*252.79, IF(AG58&gt;=4, 252.79, 0.5*252.79))), IF(AG58&gt;24, 2*309.89, IF(AG58&gt;=4, 309.89, 0.5*309.89)))</f>
        <v>183.38499999999999</v>
      </c>
      <c r="AJ58" s="29">
        <f>IF(D58&gt;=18, IF(E58="Male", IF(AG58&gt;24, 366.77, 0), IF(AG58&gt;24, 252.79, 0)), 2*309.89)</f>
        <v>0</v>
      </c>
      <c r="AK58" s="294">
        <f>AD58+AH58+AI58+AJ58</f>
        <v>353.38499999999999</v>
      </c>
      <c r="AL58" s="293">
        <f>AH58+AI58+AJ58</f>
        <v>203.38499999999999</v>
      </c>
    </row>
    <row r="59" spans="1:38" s="185" customFormat="1" ht="51.75" thickBot="1" x14ac:dyDescent="0.3">
      <c r="B59" s="185" t="s">
        <v>176</v>
      </c>
      <c r="D59" s="36">
        <v>46</v>
      </c>
      <c r="E59" s="99" t="s">
        <v>43</v>
      </c>
      <c r="F59" s="34" t="s">
        <v>243</v>
      </c>
      <c r="G59" s="36">
        <v>3</v>
      </c>
      <c r="H59" s="36">
        <v>0.25</v>
      </c>
      <c r="I59" s="147">
        <v>10</v>
      </c>
      <c r="J59" s="34" t="s">
        <v>63</v>
      </c>
      <c r="K59" s="323">
        <v>2016</v>
      </c>
      <c r="L59" s="370" t="s">
        <v>46</v>
      </c>
      <c r="M59" s="99" t="s">
        <v>54</v>
      </c>
      <c r="N59" s="185">
        <v>2017</v>
      </c>
      <c r="O59" s="3">
        <v>42483</v>
      </c>
      <c r="S59" s="99" t="s">
        <v>503</v>
      </c>
      <c r="T59" s="99" t="s">
        <v>503</v>
      </c>
      <c r="AA59" s="34" t="s">
        <v>246</v>
      </c>
      <c r="AB59" s="34" t="s">
        <v>104</v>
      </c>
      <c r="AC59" s="36" t="str">
        <f>IF(OR(ISNUMBER(SEARCH("&amp;", AB59)), ISNUMBER(SEARCH(",", AB59))), "Multiple", "Single")</f>
        <v>Multiple</v>
      </c>
      <c r="AD59" s="147">
        <f>150+150</f>
        <v>300</v>
      </c>
      <c r="AE59" s="28">
        <v>43775</v>
      </c>
      <c r="AF59" s="29">
        <f>IF(OR(ISNUMBER( SEARCH("major",AB59))), 8, 1)</f>
        <v>1</v>
      </c>
      <c r="AG59" s="29">
        <f>(H59*2)+AF59</f>
        <v>1.5</v>
      </c>
      <c r="AH59" s="293">
        <f>IF(D59&lt;18, 4*I59, 2*I59)</f>
        <v>20</v>
      </c>
      <c r="AI59" s="29">
        <f>IF(D59&gt;=18, IF(E59="Male", IF(AG59&gt;24, 2*366.77, IF(AG59&gt;=4, 366.77, 0.5*366.77)), IF(AG59&gt;24, 2*252.79, IF(AG59&gt;=4, 252.79, 0.5*252.79))), IF(AG59&gt;24, 2*309.89, IF(AG59&gt;=4, 309.89, 0.5*309.89)))</f>
        <v>183.38499999999999</v>
      </c>
      <c r="AJ59" s="29">
        <f>IF(D59&gt;=18, IF(E59="Male", IF(AG59&gt;24, 366.77, 0), IF(AG59&gt;24, 252.79, 0)), 2*309.89)</f>
        <v>0</v>
      </c>
      <c r="AK59" s="294">
        <f>AD59+AH59+AI59+AJ59</f>
        <v>503.38499999999999</v>
      </c>
      <c r="AL59" s="293">
        <f>AH59+AI59+AJ59</f>
        <v>203.38499999999999</v>
      </c>
    </row>
    <row r="60" spans="1:38" s="344" customFormat="1" ht="43.5" thickBot="1" x14ac:dyDescent="0.3">
      <c r="A60" s="341" t="s">
        <v>591</v>
      </c>
      <c r="B60" s="341" t="s">
        <v>138</v>
      </c>
      <c r="C60" s="342" t="s">
        <v>592</v>
      </c>
      <c r="D60" s="343">
        <v>52</v>
      </c>
      <c r="E60" s="342" t="s">
        <v>43</v>
      </c>
      <c r="F60" s="341" t="s">
        <v>194</v>
      </c>
      <c r="L60" s="375" t="s">
        <v>46</v>
      </c>
      <c r="M60" s="93" t="s">
        <v>54</v>
      </c>
      <c r="P60" s="345" t="s">
        <v>593</v>
      </c>
      <c r="Q60" s="345" t="s">
        <v>594</v>
      </c>
      <c r="R60" s="345" t="s">
        <v>595</v>
      </c>
      <c r="S60" s="344" t="s">
        <v>60</v>
      </c>
      <c r="U60" s="341">
        <v>10500</v>
      </c>
      <c r="V60" s="341">
        <v>10500</v>
      </c>
      <c r="W60" s="341">
        <f>IFERROR((V60/U60)*100, "NA")</f>
        <v>100</v>
      </c>
      <c r="X60" s="341">
        <v>5000</v>
      </c>
      <c r="Y60" s="341">
        <v>0</v>
      </c>
      <c r="Z60" s="341" t="s">
        <v>504</v>
      </c>
      <c r="AD60" s="346"/>
      <c r="AE60" s="347"/>
    </row>
    <row r="61" spans="1:38" s="185" customFormat="1" ht="39" thickBot="1" x14ac:dyDescent="0.3">
      <c r="B61" s="185" t="s">
        <v>138</v>
      </c>
      <c r="D61" s="36">
        <v>50</v>
      </c>
      <c r="E61" s="36" t="s">
        <v>43</v>
      </c>
      <c r="F61" s="98" t="s">
        <v>194</v>
      </c>
      <c r="G61" s="99">
        <v>7</v>
      </c>
      <c r="H61" s="99">
        <v>0.5</v>
      </c>
      <c r="I61" s="141">
        <v>22</v>
      </c>
      <c r="J61" s="49" t="s">
        <v>63</v>
      </c>
      <c r="K61" s="323">
        <v>2017</v>
      </c>
      <c r="L61" s="376" t="s">
        <v>46</v>
      </c>
      <c r="M61" s="97" t="s">
        <v>54</v>
      </c>
      <c r="N61" s="185">
        <v>2017</v>
      </c>
      <c r="O61" s="7">
        <v>42860</v>
      </c>
      <c r="S61" s="99" t="s">
        <v>503</v>
      </c>
      <c r="T61" s="99" t="s">
        <v>503</v>
      </c>
      <c r="AA61" s="49" t="s">
        <v>195</v>
      </c>
      <c r="AB61" s="49" t="s">
        <v>91</v>
      </c>
      <c r="AC61" s="36" t="str">
        <f>IF(OR(ISNUMBER(SEARCH("&amp;", AB61)), ISNUMBER(SEARCH(",", AB61))), "Multiple", "Single")</f>
        <v>Single</v>
      </c>
      <c r="AD61" s="147">
        <v>7000</v>
      </c>
      <c r="AE61" s="58">
        <v>43893</v>
      </c>
      <c r="AF61" s="29">
        <f>IF(OR(ISNUMBER( SEARCH("major",AB61))), 8, 1)</f>
        <v>8</v>
      </c>
      <c r="AG61" s="29">
        <f>(H61*2)+AF61</f>
        <v>9</v>
      </c>
      <c r="AH61" s="293">
        <f>IF(D61&lt;18, 4*I61, 2*I61)</f>
        <v>44</v>
      </c>
      <c r="AI61" s="29">
        <f>IF(D61&gt;=18, IF(E61="Male", IF(AG61&gt;24, 2*366.77, IF(AG61&gt;=4, 366.77, 0.5*366.77)), IF(AG61&gt;24, 2*252.79, IF(AG61&gt;=4, 252.79, 0.5*252.79))), IF(AG61&gt;24, 2*309.89, IF(AG61&gt;=4, 309.89, 0.5*309.89)))</f>
        <v>366.77</v>
      </c>
      <c r="AJ61" s="29">
        <f>IF(D61&gt;=18, IF(E61="Male", IF(AG61&gt;24, 366.77, 0), IF(AG61&gt;24, 252.79, 0)), 2*309.89)</f>
        <v>0</v>
      </c>
      <c r="AK61" s="294">
        <f>AD61+AH61+AI61+AJ61</f>
        <v>7410.77</v>
      </c>
      <c r="AL61" s="293">
        <f>AH61+AI61+AJ61</f>
        <v>410.77</v>
      </c>
    </row>
    <row r="62" spans="1:38" ht="43.5" thickBot="1" x14ac:dyDescent="0.3">
      <c r="A62" s="230" t="s">
        <v>596</v>
      </c>
      <c r="B62" s="230" t="s">
        <v>131</v>
      </c>
      <c r="C62" s="231" t="s">
        <v>597</v>
      </c>
      <c r="D62" s="232">
        <v>34</v>
      </c>
      <c r="E62" s="231" t="s">
        <v>43</v>
      </c>
      <c r="F62" s="230" t="s">
        <v>171</v>
      </c>
      <c r="L62" s="233" t="s">
        <v>46</v>
      </c>
      <c r="M62" s="233" t="s">
        <v>54</v>
      </c>
      <c r="P62" s="234" t="s">
        <v>598</v>
      </c>
      <c r="Q62" s="234" t="s">
        <v>599</v>
      </c>
      <c r="R62" s="234" t="s">
        <v>600</v>
      </c>
      <c r="S62" s="102" t="s">
        <v>60</v>
      </c>
      <c r="U62" s="230">
        <v>99500</v>
      </c>
      <c r="V62" s="230">
        <v>99500</v>
      </c>
      <c r="W62" s="230">
        <f>IFERROR((V62/U62)*100, "NA")</f>
        <v>100</v>
      </c>
      <c r="X62" s="230">
        <v>99500</v>
      </c>
      <c r="Y62" s="230">
        <v>0</v>
      </c>
      <c r="Z62" s="230" t="s">
        <v>504</v>
      </c>
    </row>
    <row r="63" spans="1:38" ht="39" thickBot="1" x14ac:dyDescent="0.3">
      <c r="B63" s="107" t="s">
        <v>131</v>
      </c>
      <c r="D63" s="108">
        <v>33</v>
      </c>
      <c r="E63" s="107" t="s">
        <v>43</v>
      </c>
      <c r="F63" s="107" t="s">
        <v>171</v>
      </c>
      <c r="G63" s="32">
        <v>315</v>
      </c>
      <c r="H63" s="32">
        <v>6</v>
      </c>
      <c r="I63" s="88">
        <v>135</v>
      </c>
      <c r="J63" s="37" t="s">
        <v>115</v>
      </c>
      <c r="K63" s="107">
        <v>2007</v>
      </c>
      <c r="L63" s="233" t="s">
        <v>46</v>
      </c>
      <c r="M63" s="233" t="s">
        <v>54</v>
      </c>
      <c r="N63" s="107">
        <v>2007</v>
      </c>
      <c r="O63" s="10">
        <v>39083</v>
      </c>
      <c r="S63" s="32" t="s">
        <v>60</v>
      </c>
      <c r="T63" s="60" t="s">
        <v>65</v>
      </c>
      <c r="AA63" s="107" t="s">
        <v>172</v>
      </c>
      <c r="AB63" s="31" t="s">
        <v>67</v>
      </c>
      <c r="AC63" s="32" t="str">
        <f t="shared" ref="AC63:AC68" si="16">IF(OR(ISNUMBER(SEARCH("&amp;", AB63)), ISNUMBER(SEARCH(",", AB63))), "Multiple", "Single")</f>
        <v>Single</v>
      </c>
      <c r="AD63" s="88">
        <v>150</v>
      </c>
      <c r="AE63" s="10">
        <v>43809</v>
      </c>
      <c r="AF63" s="29">
        <f t="shared" ref="AF63:AF68" si="17">IF(OR(ISNUMBER( SEARCH("major",AB63))), 8, 1)</f>
        <v>1</v>
      </c>
      <c r="AG63" s="29">
        <f t="shared" ref="AG63:AG68" si="18">(H63*2)+AF63</f>
        <v>13</v>
      </c>
      <c r="AH63" s="293">
        <f t="shared" ref="AH63:AH68" si="19">IF(D63&lt;18, 4*I63, 2*I63)</f>
        <v>270</v>
      </c>
      <c r="AI63" s="29">
        <f t="shared" ref="AI63:AI68" si="20">IF(D63&gt;=18, IF(E63="Male", IF(AG63&gt;24, 2*366.77, IF(AG63&gt;=4, 366.77, 0.5*366.77)), IF(AG63&gt;24, 2*252.79, IF(AG63&gt;=4, 252.79, 0.5*252.79))), IF(AG63&gt;24, 2*309.89, IF(AG63&gt;=4, 309.89, 0.5*309.89)))</f>
        <v>366.77</v>
      </c>
      <c r="AJ63" s="29">
        <f t="shared" ref="AJ63:AJ68" si="21">IF(D63&gt;=18, IF(E63="Male", IF(AG63&gt;24, 366.77, 0), IF(AG63&gt;24, 252.79, 0)), 2*309.89)</f>
        <v>0</v>
      </c>
      <c r="AK63" s="294">
        <f t="shared" ref="AK63:AK68" si="22">AD63+AH63+AI63+AJ63</f>
        <v>786.77</v>
      </c>
      <c r="AL63" s="293">
        <f t="shared" ref="AL63:AL68" si="23">AH63+AI63+AJ63</f>
        <v>636.77</v>
      </c>
    </row>
    <row r="64" spans="1:38" ht="39" thickBot="1" x14ac:dyDescent="0.3">
      <c r="B64" s="31" t="s">
        <v>131</v>
      </c>
      <c r="D64" s="107">
        <v>33</v>
      </c>
      <c r="E64" s="31" t="s">
        <v>43</v>
      </c>
      <c r="F64" s="31" t="s">
        <v>171</v>
      </c>
      <c r="G64" s="32">
        <v>315</v>
      </c>
      <c r="H64" s="32">
        <v>6</v>
      </c>
      <c r="I64" s="88">
        <v>135</v>
      </c>
      <c r="J64" s="37" t="s">
        <v>115</v>
      </c>
      <c r="K64" s="54">
        <v>2007</v>
      </c>
      <c r="L64" s="233" t="s">
        <v>46</v>
      </c>
      <c r="M64" s="233" t="s">
        <v>54</v>
      </c>
      <c r="N64" s="54">
        <v>2007</v>
      </c>
      <c r="O64" s="10">
        <v>39083</v>
      </c>
      <c r="S64" s="32" t="s">
        <v>60</v>
      </c>
      <c r="T64" s="37" t="s">
        <v>65</v>
      </c>
      <c r="AA64" s="31" t="s">
        <v>175</v>
      </c>
      <c r="AB64" s="31" t="s">
        <v>67</v>
      </c>
      <c r="AC64" s="32" t="str">
        <f t="shared" si="16"/>
        <v>Single</v>
      </c>
      <c r="AD64" s="88">
        <v>750</v>
      </c>
      <c r="AE64" s="27">
        <v>42905</v>
      </c>
      <c r="AF64" s="29">
        <f t="shared" si="17"/>
        <v>1</v>
      </c>
      <c r="AG64" s="29">
        <f t="shared" si="18"/>
        <v>13</v>
      </c>
      <c r="AH64" s="293">
        <f t="shared" si="19"/>
        <v>270</v>
      </c>
      <c r="AI64" s="29">
        <f t="shared" si="20"/>
        <v>366.77</v>
      </c>
      <c r="AJ64" s="29">
        <f t="shared" si="21"/>
        <v>0</v>
      </c>
      <c r="AK64" s="294">
        <f t="shared" si="22"/>
        <v>1386.77</v>
      </c>
      <c r="AL64" s="293">
        <f t="shared" si="23"/>
        <v>636.77</v>
      </c>
    </row>
    <row r="65" spans="1:38" ht="39" thickBot="1" x14ac:dyDescent="0.3">
      <c r="B65" s="32" t="s">
        <v>131</v>
      </c>
      <c r="D65" s="107">
        <v>33</v>
      </c>
      <c r="E65" s="31" t="s">
        <v>43</v>
      </c>
      <c r="F65" s="43" t="s">
        <v>178</v>
      </c>
      <c r="G65" s="32">
        <v>315</v>
      </c>
      <c r="H65" s="32">
        <v>6</v>
      </c>
      <c r="I65" s="88">
        <v>135</v>
      </c>
      <c r="J65" s="37" t="s">
        <v>115</v>
      </c>
      <c r="K65" s="54">
        <v>2007</v>
      </c>
      <c r="L65" s="233" t="s">
        <v>46</v>
      </c>
      <c r="M65" s="233" t="s">
        <v>54</v>
      </c>
      <c r="N65" s="54">
        <v>2007</v>
      </c>
      <c r="O65" s="1">
        <v>39083</v>
      </c>
      <c r="S65" s="32" t="s">
        <v>60</v>
      </c>
      <c r="T65" s="37" t="s">
        <v>65</v>
      </c>
      <c r="AA65" s="32" t="s">
        <v>179</v>
      </c>
      <c r="AB65" s="95" t="s">
        <v>104</v>
      </c>
      <c r="AC65" s="32" t="str">
        <f t="shared" si="16"/>
        <v>Multiple</v>
      </c>
      <c r="AD65" s="88">
        <f>2500+750</f>
        <v>3250</v>
      </c>
      <c r="AE65" s="4">
        <v>43774</v>
      </c>
      <c r="AF65" s="29">
        <f t="shared" si="17"/>
        <v>1</v>
      </c>
      <c r="AG65" s="29">
        <f t="shared" si="18"/>
        <v>13</v>
      </c>
      <c r="AH65" s="293">
        <f t="shared" si="19"/>
        <v>270</v>
      </c>
      <c r="AI65" s="29">
        <f t="shared" si="20"/>
        <v>366.77</v>
      </c>
      <c r="AJ65" s="29">
        <f t="shared" si="21"/>
        <v>0</v>
      </c>
      <c r="AK65" s="294">
        <f t="shared" si="22"/>
        <v>3886.77</v>
      </c>
      <c r="AL65" s="293">
        <f t="shared" si="23"/>
        <v>636.77</v>
      </c>
    </row>
    <row r="66" spans="1:38" ht="39" thickBot="1" x14ac:dyDescent="0.3">
      <c r="B66" s="31" t="s">
        <v>131</v>
      </c>
      <c r="D66" s="107">
        <v>33</v>
      </c>
      <c r="E66" s="31" t="s">
        <v>43</v>
      </c>
      <c r="F66" s="31" t="s">
        <v>171</v>
      </c>
      <c r="G66" s="32">
        <v>315</v>
      </c>
      <c r="H66" s="32">
        <v>6</v>
      </c>
      <c r="I66" s="88">
        <v>135</v>
      </c>
      <c r="J66" s="37" t="s">
        <v>115</v>
      </c>
      <c r="K66" s="54">
        <v>2007</v>
      </c>
      <c r="L66" s="233" t="s">
        <v>46</v>
      </c>
      <c r="M66" s="233" t="s">
        <v>54</v>
      </c>
      <c r="N66" s="54">
        <v>2007</v>
      </c>
      <c r="O66" s="10">
        <v>39083</v>
      </c>
      <c r="S66" s="32" t="s">
        <v>60</v>
      </c>
      <c r="T66" s="54" t="s">
        <v>65</v>
      </c>
      <c r="AA66" s="31" t="s">
        <v>182</v>
      </c>
      <c r="AB66" s="31" t="s">
        <v>183</v>
      </c>
      <c r="AC66" s="32" t="str">
        <f t="shared" si="16"/>
        <v>Multiple</v>
      </c>
      <c r="AD66" s="88">
        <f>5000+150</f>
        <v>5150</v>
      </c>
      <c r="AE66" s="27">
        <v>43071</v>
      </c>
      <c r="AF66" s="29">
        <f t="shared" si="17"/>
        <v>8</v>
      </c>
      <c r="AG66" s="29">
        <f t="shared" si="18"/>
        <v>20</v>
      </c>
      <c r="AH66" s="293">
        <f t="shared" si="19"/>
        <v>270</v>
      </c>
      <c r="AI66" s="29">
        <f t="shared" si="20"/>
        <v>366.77</v>
      </c>
      <c r="AJ66" s="29">
        <f t="shared" si="21"/>
        <v>0</v>
      </c>
      <c r="AK66" s="294">
        <f t="shared" si="22"/>
        <v>5786.77</v>
      </c>
      <c r="AL66" s="293">
        <f t="shared" si="23"/>
        <v>636.77</v>
      </c>
    </row>
    <row r="67" spans="1:38" ht="39" thickBot="1" x14ac:dyDescent="0.3">
      <c r="B67" s="31" t="s">
        <v>131</v>
      </c>
      <c r="D67" s="107">
        <v>33</v>
      </c>
      <c r="E67" s="31" t="s">
        <v>43</v>
      </c>
      <c r="F67" s="44" t="s">
        <v>171</v>
      </c>
      <c r="G67" s="32">
        <v>315</v>
      </c>
      <c r="H67" s="32">
        <v>6</v>
      </c>
      <c r="I67" s="88">
        <v>135</v>
      </c>
      <c r="J67" s="37" t="s">
        <v>115</v>
      </c>
      <c r="K67" s="54">
        <v>2007</v>
      </c>
      <c r="L67" s="233" t="s">
        <v>46</v>
      </c>
      <c r="M67" s="233" t="s">
        <v>54</v>
      </c>
      <c r="N67" s="54">
        <v>2007</v>
      </c>
      <c r="O67" s="10">
        <v>39083</v>
      </c>
      <c r="S67" s="32" t="s">
        <v>60</v>
      </c>
      <c r="T67" s="37" t="s">
        <v>65</v>
      </c>
      <c r="AA67" s="31" t="s">
        <v>185</v>
      </c>
      <c r="AB67" s="110" t="s">
        <v>104</v>
      </c>
      <c r="AC67" s="32" t="str">
        <f t="shared" si="16"/>
        <v>Multiple</v>
      </c>
      <c r="AD67" s="88">
        <f>500+2500</f>
        <v>3000</v>
      </c>
      <c r="AE67" s="1">
        <v>43064</v>
      </c>
      <c r="AF67" s="29">
        <f t="shared" si="17"/>
        <v>1</v>
      </c>
      <c r="AG67" s="29">
        <f t="shared" si="18"/>
        <v>13</v>
      </c>
      <c r="AH67" s="293">
        <f t="shared" si="19"/>
        <v>270</v>
      </c>
      <c r="AI67" s="29">
        <f t="shared" si="20"/>
        <v>366.77</v>
      </c>
      <c r="AJ67" s="29">
        <f t="shared" si="21"/>
        <v>0</v>
      </c>
      <c r="AK67" s="294">
        <f t="shared" si="22"/>
        <v>3636.77</v>
      </c>
      <c r="AL67" s="293">
        <f t="shared" si="23"/>
        <v>636.77</v>
      </c>
    </row>
    <row r="68" spans="1:38" s="185" customFormat="1" ht="39" thickBot="1" x14ac:dyDescent="0.3">
      <c r="B68" s="34" t="s">
        <v>131</v>
      </c>
      <c r="D68" s="123">
        <v>33</v>
      </c>
      <c r="E68" s="33" t="s">
        <v>43</v>
      </c>
      <c r="F68" s="50" t="s">
        <v>171</v>
      </c>
      <c r="G68" s="36">
        <v>315</v>
      </c>
      <c r="H68" s="36">
        <v>6</v>
      </c>
      <c r="I68" s="147">
        <v>135</v>
      </c>
      <c r="J68" s="61" t="s">
        <v>115</v>
      </c>
      <c r="K68" s="33">
        <v>2007</v>
      </c>
      <c r="L68" s="292" t="s">
        <v>46</v>
      </c>
      <c r="M68" s="292" t="s">
        <v>54</v>
      </c>
      <c r="N68" s="33">
        <v>2007</v>
      </c>
      <c r="O68" s="377">
        <v>39083</v>
      </c>
      <c r="S68" s="36" t="s">
        <v>60</v>
      </c>
      <c r="T68" s="61" t="s">
        <v>65</v>
      </c>
      <c r="AA68" s="33" t="s">
        <v>187</v>
      </c>
      <c r="AB68" s="33" t="s">
        <v>67</v>
      </c>
      <c r="AC68" s="36" t="str">
        <f t="shared" si="16"/>
        <v>Single</v>
      </c>
      <c r="AD68" s="147">
        <v>750</v>
      </c>
      <c r="AE68" s="3">
        <v>40625</v>
      </c>
      <c r="AF68" s="29">
        <f t="shared" si="17"/>
        <v>1</v>
      </c>
      <c r="AG68" s="29">
        <f t="shared" si="18"/>
        <v>13</v>
      </c>
      <c r="AH68" s="293">
        <f t="shared" si="19"/>
        <v>270</v>
      </c>
      <c r="AI68" s="29">
        <f t="shared" si="20"/>
        <v>366.77</v>
      </c>
      <c r="AJ68" s="29">
        <f t="shared" si="21"/>
        <v>0</v>
      </c>
      <c r="AK68" s="294">
        <f t="shared" si="22"/>
        <v>1386.77</v>
      </c>
      <c r="AL68" s="293">
        <f t="shared" si="23"/>
        <v>636.77</v>
      </c>
    </row>
    <row r="69" spans="1:38" s="344" customFormat="1" ht="28.5" x14ac:dyDescent="0.25">
      <c r="A69" s="341" t="s">
        <v>601</v>
      </c>
      <c r="B69" s="341" t="s">
        <v>123</v>
      </c>
      <c r="C69" s="342" t="s">
        <v>602</v>
      </c>
      <c r="D69" s="343">
        <v>77</v>
      </c>
      <c r="E69" s="342" t="s">
        <v>43</v>
      </c>
      <c r="F69" s="341" t="s">
        <v>156</v>
      </c>
      <c r="P69" s="345" t="s">
        <v>603</v>
      </c>
      <c r="Q69" s="345" t="s">
        <v>502</v>
      </c>
      <c r="R69" s="345" t="s">
        <v>604</v>
      </c>
      <c r="S69" s="39" t="s">
        <v>503</v>
      </c>
      <c r="U69" s="341">
        <v>5000</v>
      </c>
      <c r="V69" s="341">
        <v>5000</v>
      </c>
      <c r="W69" s="341">
        <f>IFERROR((V69/U69)*100, "NA")</f>
        <v>100</v>
      </c>
      <c r="X69" s="341">
        <v>5000</v>
      </c>
      <c r="Y69" s="341">
        <v>0</v>
      </c>
      <c r="Z69" s="341" t="s">
        <v>504</v>
      </c>
      <c r="AD69" s="346"/>
      <c r="AE69" s="347"/>
    </row>
    <row r="70" spans="1:38" s="379" customFormat="1" ht="38.25" x14ac:dyDescent="0.25">
      <c r="B70" s="380" t="s">
        <v>123</v>
      </c>
      <c r="D70" s="31">
        <v>75</v>
      </c>
      <c r="E70" s="380" t="s">
        <v>43</v>
      </c>
      <c r="F70" s="381" t="s">
        <v>156</v>
      </c>
      <c r="G70" s="380">
        <v>10</v>
      </c>
      <c r="H70" s="380">
        <v>1</v>
      </c>
      <c r="I70" s="382">
        <v>30</v>
      </c>
      <c r="J70" s="31" t="s">
        <v>115</v>
      </c>
      <c r="K70" s="54">
        <v>1968</v>
      </c>
      <c r="L70" s="233" t="s">
        <v>64</v>
      </c>
      <c r="M70" s="233" t="s">
        <v>54</v>
      </c>
      <c r="N70" s="54">
        <v>1969</v>
      </c>
      <c r="O70" s="1">
        <v>42935</v>
      </c>
      <c r="S70" s="383" t="s">
        <v>503</v>
      </c>
      <c r="T70" s="56" t="s">
        <v>503</v>
      </c>
      <c r="AA70" s="31" t="s">
        <v>157</v>
      </c>
      <c r="AB70" s="31" t="s">
        <v>67</v>
      </c>
      <c r="AC70" s="31" t="str">
        <f>IF(OR(ISNUMBER(SEARCH("&amp;", AB70)), ISNUMBER(SEARCH(",", AB70))), "Multiple", "Single")</f>
        <v>Single</v>
      </c>
      <c r="AD70" s="138">
        <v>150</v>
      </c>
      <c r="AE70" s="27">
        <v>43200</v>
      </c>
      <c r="AF70" s="17">
        <f>IF(OR(ISNUMBER( SEARCH("major",AB70))), 8, 1)</f>
        <v>1</v>
      </c>
      <c r="AG70" s="17">
        <f>(H70*2)+AF70</f>
        <v>3</v>
      </c>
      <c r="AH70" s="209">
        <f>IF(D70&lt;18, 4*I70, 2*I70)</f>
        <v>60</v>
      </c>
      <c r="AI70" s="17">
        <f>IF(D70&gt;=18, IF(E70="Male", IF(AG70&gt;24, 2*366.77, IF(AG70&gt;=4, 366.77, 0.5*366.77)), IF(AG70&gt;24, 2*252.79, IF(AG70&gt;=4, 252.79, 0.5*252.79))), IF(AG70&gt;24, 2*309.89, IF(AG70&gt;=4, 309.89, 0.5*309.89)))</f>
        <v>183.38499999999999</v>
      </c>
      <c r="AJ70" s="17">
        <f>IF(D70&gt;=18, IF(E70="Male", IF(AG70&gt;24, 366.77, 0), IF(AG70&gt;24, 252.79, 0)), 2*309.89)</f>
        <v>0</v>
      </c>
      <c r="AK70" s="213">
        <f>AD70+AH70+AI70+AJ70</f>
        <v>393.38499999999999</v>
      </c>
      <c r="AL70" s="209">
        <f>AH70+AI70+AJ70</f>
        <v>243.38499999999999</v>
      </c>
    </row>
    <row r="71" spans="1:38" s="348" customFormat="1" ht="39" thickBot="1" x14ac:dyDescent="0.3">
      <c r="B71" s="384" t="s">
        <v>123</v>
      </c>
      <c r="D71" s="34">
        <v>75</v>
      </c>
      <c r="E71" s="384" t="s">
        <v>43</v>
      </c>
      <c r="F71" s="38" t="s">
        <v>156</v>
      </c>
      <c r="G71" s="384">
        <v>10</v>
      </c>
      <c r="H71" s="384">
        <v>1</v>
      </c>
      <c r="I71" s="385">
        <v>30</v>
      </c>
      <c r="J71" s="34" t="s">
        <v>115</v>
      </c>
      <c r="K71" s="34">
        <v>1968</v>
      </c>
      <c r="L71" s="292" t="s">
        <v>64</v>
      </c>
      <c r="M71" s="292" t="s">
        <v>54</v>
      </c>
      <c r="N71" s="34">
        <v>1969</v>
      </c>
      <c r="O71" s="3">
        <v>42935</v>
      </c>
      <c r="S71" s="386" t="s">
        <v>503</v>
      </c>
      <c r="T71" s="387" t="s">
        <v>503</v>
      </c>
      <c r="AA71" s="34" t="s">
        <v>160</v>
      </c>
      <c r="AB71" s="90" t="s">
        <v>67</v>
      </c>
      <c r="AC71" s="34" t="str">
        <f>IF(OR(ISNUMBER(SEARCH("&amp;", AB71)), ISNUMBER(SEARCH(",", AB71))), "Multiple", "Single")</f>
        <v>Single</v>
      </c>
      <c r="AD71" s="155">
        <v>7000</v>
      </c>
      <c r="AE71" s="3">
        <v>43032</v>
      </c>
      <c r="AF71" s="29">
        <f>IF(OR(ISNUMBER( SEARCH("major",AB71))), 8, 1)</f>
        <v>1</v>
      </c>
      <c r="AG71" s="29">
        <f>(H71*2)+AF71</f>
        <v>3</v>
      </c>
      <c r="AH71" s="293">
        <f>IF(D71&lt;18, 4*I71, 2*I71)</f>
        <v>60</v>
      </c>
      <c r="AI71" s="29">
        <f>IF(D71&gt;=18, IF(E71="Male", IF(AG71&gt;24, 2*366.77, IF(AG71&gt;=4, 366.77, 0.5*366.77)), IF(AG71&gt;24, 2*252.79, IF(AG71&gt;=4, 252.79, 0.5*252.79))), IF(AG71&gt;24, 2*309.89, IF(AG71&gt;=4, 309.89, 0.5*309.89)))</f>
        <v>183.38499999999999</v>
      </c>
      <c r="AJ71" s="29">
        <f>IF(D71&gt;=18, IF(E71="Male", IF(AG71&gt;24, 366.77, 0), IF(AG71&gt;24, 252.79, 0)), 2*309.89)</f>
        <v>0</v>
      </c>
      <c r="AK71" s="294">
        <f>AD71+AH71+AI71+AJ71</f>
        <v>7243.3850000000002</v>
      </c>
      <c r="AL71" s="293">
        <f>AH71+AI71+AJ71</f>
        <v>243.38499999999999</v>
      </c>
    </row>
    <row r="72" spans="1:38" s="344" customFormat="1" ht="28.5" x14ac:dyDescent="0.25">
      <c r="A72" s="341" t="s">
        <v>605</v>
      </c>
      <c r="B72" s="341" t="s">
        <v>112</v>
      </c>
      <c r="C72" s="342" t="s">
        <v>606</v>
      </c>
      <c r="D72" s="343">
        <v>31</v>
      </c>
      <c r="E72" s="342" t="s">
        <v>43</v>
      </c>
      <c r="F72" s="341" t="s">
        <v>146</v>
      </c>
      <c r="L72" s="375" t="s">
        <v>46</v>
      </c>
      <c r="M72" s="375" t="s">
        <v>54</v>
      </c>
      <c r="P72" s="345" t="s">
        <v>585</v>
      </c>
      <c r="Q72" s="345" t="s">
        <v>607</v>
      </c>
      <c r="R72" s="345" t="s">
        <v>607</v>
      </c>
      <c r="S72" s="388" t="s">
        <v>60</v>
      </c>
      <c r="U72" s="341">
        <v>8250</v>
      </c>
      <c r="V72" s="341">
        <v>8250</v>
      </c>
      <c r="W72" s="341">
        <f>IFERROR((V72/U72)*100, "NA")</f>
        <v>100</v>
      </c>
      <c r="X72" s="341">
        <v>8250</v>
      </c>
      <c r="Y72" s="341">
        <v>0</v>
      </c>
      <c r="Z72" s="341" t="s">
        <v>504</v>
      </c>
      <c r="AD72" s="346"/>
      <c r="AE72" s="347"/>
    </row>
    <row r="73" spans="1:38" s="348" customFormat="1" ht="26.25" thickBot="1" x14ac:dyDescent="0.3">
      <c r="B73" s="384" t="s">
        <v>112</v>
      </c>
      <c r="D73" s="348">
        <v>29</v>
      </c>
      <c r="E73" s="348" t="s">
        <v>43</v>
      </c>
      <c r="F73" s="167" t="s">
        <v>146</v>
      </c>
      <c r="G73" s="384">
        <v>200</v>
      </c>
      <c r="H73" s="384">
        <v>4</v>
      </c>
      <c r="I73" s="385">
        <v>150</v>
      </c>
      <c r="J73" s="34" t="s">
        <v>63</v>
      </c>
      <c r="K73" s="348">
        <v>2017</v>
      </c>
      <c r="L73" s="349" t="s">
        <v>46</v>
      </c>
      <c r="M73" s="349" t="s">
        <v>54</v>
      </c>
      <c r="N73" s="348">
        <v>2017</v>
      </c>
      <c r="O73" s="3">
        <v>43048</v>
      </c>
      <c r="S73" s="34" t="s">
        <v>60</v>
      </c>
      <c r="T73" s="34" t="s">
        <v>65</v>
      </c>
      <c r="AA73" s="34" t="s">
        <v>147</v>
      </c>
      <c r="AB73" s="34" t="s">
        <v>91</v>
      </c>
      <c r="AC73" s="34" t="str">
        <f>IF(OR(ISNUMBER(SEARCH("&amp;", AB73)), ISNUMBER(SEARCH(",", AB73))), "Multiple", "Single")</f>
        <v>Single</v>
      </c>
      <c r="AD73" s="155">
        <v>5000</v>
      </c>
      <c r="AE73" s="28">
        <v>43320</v>
      </c>
      <c r="AF73" s="29">
        <f>IF(OR(ISNUMBER( SEARCH("major",AB73))), 8, 1)</f>
        <v>8</v>
      </c>
      <c r="AG73" s="29">
        <f>(H73*2)+AF73</f>
        <v>16</v>
      </c>
      <c r="AH73" s="293">
        <f>IF(D73&lt;18, 4*I73, 2*I73)</f>
        <v>300</v>
      </c>
      <c r="AI73" s="29">
        <f>IF(D73&gt;=18, IF(E73="Male", IF(AG73&gt;24, 2*366.77, IF(AG73&gt;=4, 366.77, 0.5*366.77)), IF(AG73&gt;24, 2*252.79, IF(AG73&gt;=4, 252.79, 0.5*252.79))), IF(AG73&gt;24, 2*309.89, IF(AG73&gt;=4, 309.89, 0.5*309.89)))</f>
        <v>366.77</v>
      </c>
      <c r="AJ73" s="29">
        <f>IF(D73&gt;=18, IF(E73="Male", IF(AG73&gt;24, 366.77, 0), IF(AG73&gt;24, 252.79, 0)), 2*309.89)</f>
        <v>0</v>
      </c>
      <c r="AK73" s="294">
        <f>AD73+AH73+AI73+AJ73</f>
        <v>5666.77</v>
      </c>
      <c r="AL73" s="293">
        <f>AH73+AI73+AJ73</f>
        <v>666.77</v>
      </c>
    </row>
    <row r="74" spans="1:38" ht="29.25" x14ac:dyDescent="0.25">
      <c r="A74" s="230" t="s">
        <v>608</v>
      </c>
      <c r="B74" s="230" t="s">
        <v>86</v>
      </c>
      <c r="C74" s="231" t="s">
        <v>609</v>
      </c>
      <c r="D74" s="232">
        <v>18</v>
      </c>
      <c r="E74" s="231" t="s">
        <v>43</v>
      </c>
      <c r="F74" s="230" t="s">
        <v>102</v>
      </c>
      <c r="L74" s="259" t="s">
        <v>64</v>
      </c>
      <c r="M74" s="259" t="s">
        <v>45</v>
      </c>
      <c r="P74" s="234" t="s">
        <v>610</v>
      </c>
      <c r="Q74" s="234" t="s">
        <v>611</v>
      </c>
      <c r="R74" s="234" t="s">
        <v>612</v>
      </c>
      <c r="S74" s="374" t="s">
        <v>60</v>
      </c>
      <c r="U74" s="230">
        <v>16650</v>
      </c>
      <c r="V74" s="230">
        <v>16650</v>
      </c>
      <c r="W74" s="230">
        <f>IFERROR((V74/U74)*100, "NA")</f>
        <v>100</v>
      </c>
      <c r="X74" s="230" t="s">
        <v>556</v>
      </c>
      <c r="Y74" s="230">
        <v>0</v>
      </c>
      <c r="Z74" s="230" t="s">
        <v>504</v>
      </c>
    </row>
    <row r="75" spans="1:38" ht="30" thickBot="1" x14ac:dyDescent="0.3">
      <c r="B75" s="102" t="s">
        <v>86</v>
      </c>
      <c r="D75" s="32">
        <v>16</v>
      </c>
      <c r="E75" s="231" t="s">
        <v>43</v>
      </c>
      <c r="F75" s="40" t="s">
        <v>102</v>
      </c>
      <c r="G75" s="100">
        <v>200</v>
      </c>
      <c r="H75" s="137">
        <v>10</v>
      </c>
      <c r="I75" s="142">
        <v>700</v>
      </c>
      <c r="J75" s="32" t="s">
        <v>63</v>
      </c>
      <c r="K75">
        <v>2014</v>
      </c>
      <c r="L75" s="259" t="s">
        <v>64</v>
      </c>
      <c r="M75" s="259" t="s">
        <v>45</v>
      </c>
      <c r="N75">
        <v>2018</v>
      </c>
      <c r="O75" s="4">
        <v>43357</v>
      </c>
      <c r="S75" s="32" t="s">
        <v>60</v>
      </c>
      <c r="T75" s="32" t="s">
        <v>65</v>
      </c>
      <c r="AA75" s="32" t="s">
        <v>103</v>
      </c>
      <c r="AB75" s="95" t="s">
        <v>104</v>
      </c>
      <c r="AC75" s="32" t="str">
        <f>IF(OR(ISNUMBER(SEARCH("&amp;", AB75)), ISNUMBER(SEARCH(",", AB75))), "Multiple", "Single")</f>
        <v>Multiple</v>
      </c>
      <c r="AD75" s="88">
        <f>2500+750</f>
        <v>3250</v>
      </c>
      <c r="AE75" s="4">
        <v>44055</v>
      </c>
      <c r="AF75" s="29">
        <f>IF(OR(ISNUMBER( SEARCH("major",AB75))), 8, 1)</f>
        <v>1</v>
      </c>
      <c r="AG75" s="29">
        <f>(H75*2)+AF75</f>
        <v>21</v>
      </c>
      <c r="AH75" s="293">
        <f>IF(D75&lt;18, 4*I75, 2*I75)</f>
        <v>2800</v>
      </c>
      <c r="AI75" s="29">
        <f>IF(D75&gt;=18, IF(E75="Male", IF(AG75&gt;24, 2*366.77, IF(AG75&gt;=4, 366.77, 0.5*366.77)), IF(AG75&gt;24, 2*252.79, IF(AG75&gt;=4, 252.79, 0.5*252.79))), IF(AG75&gt;24, 2*309.89, IF(AG75&gt;=4, 309.89, 0.5*309.89)))</f>
        <v>309.89</v>
      </c>
      <c r="AJ75" s="29">
        <f>IF(D75&gt;=18, IF(E75="Male", IF(AG75&gt;24, 366.77, 0), IF(AG75&gt;24, 252.79, 0)), 2*309.89)</f>
        <v>619.78</v>
      </c>
      <c r="AK75" s="294">
        <f>AD75+AH75+AI75+AJ75</f>
        <v>6979.67</v>
      </c>
      <c r="AL75" s="293">
        <f>AH75+AI75+AJ75</f>
        <v>3729.67</v>
      </c>
    </row>
    <row r="76" spans="1:38" s="185" customFormat="1" ht="30" thickBot="1" x14ac:dyDescent="0.3">
      <c r="B76" s="99" t="s">
        <v>86</v>
      </c>
      <c r="D76" s="36">
        <v>16</v>
      </c>
      <c r="E76" s="390" t="s">
        <v>43</v>
      </c>
      <c r="F76" s="35" t="s">
        <v>102</v>
      </c>
      <c r="G76" s="99">
        <v>200</v>
      </c>
      <c r="H76" s="389">
        <v>10</v>
      </c>
      <c r="I76" s="369">
        <v>700</v>
      </c>
      <c r="J76" s="34" t="s">
        <v>63</v>
      </c>
      <c r="K76" s="185">
        <v>2014</v>
      </c>
      <c r="L76" s="370" t="s">
        <v>64</v>
      </c>
      <c r="M76" s="370" t="s">
        <v>45</v>
      </c>
      <c r="N76" s="185">
        <v>2018</v>
      </c>
      <c r="O76" s="3">
        <v>43357</v>
      </c>
      <c r="S76" s="34" t="s">
        <v>60</v>
      </c>
      <c r="T76" s="34" t="s">
        <v>65</v>
      </c>
      <c r="AA76" s="34" t="s">
        <v>109</v>
      </c>
      <c r="AB76" s="34" t="s">
        <v>67</v>
      </c>
      <c r="AC76" s="36" t="str">
        <f>IF(OR(ISNUMBER(SEARCH("&amp;", AB76)), ISNUMBER(SEARCH(",", AB76))), "Multiple", "Single")</f>
        <v>Single</v>
      </c>
      <c r="AD76" s="147">
        <v>750</v>
      </c>
      <c r="AE76" s="28">
        <v>43745</v>
      </c>
      <c r="AF76" s="29">
        <f>IF(OR(ISNUMBER( SEARCH("major",AB76))), 8, 1)</f>
        <v>1</v>
      </c>
      <c r="AG76" s="29">
        <f>(H76*2)+AF76</f>
        <v>21</v>
      </c>
      <c r="AH76" s="293">
        <f>IF(D76&lt;18, 4*I76, 2*I76)</f>
        <v>2800</v>
      </c>
      <c r="AI76" s="29">
        <f>IF(D76&gt;=18, IF(E76="Male", IF(AG76&gt;24, 2*366.77, IF(AG76&gt;=4, 366.77, 0.5*366.77)), IF(AG76&gt;24, 2*252.79, IF(AG76&gt;=4, 252.79, 0.5*252.79))), IF(AG76&gt;24, 2*309.89, IF(AG76&gt;=4, 309.89, 0.5*309.89)))</f>
        <v>309.89</v>
      </c>
      <c r="AJ76" s="29">
        <f>IF(D76&gt;=18, IF(E76="Male", IF(AG76&gt;24, 366.77, 0), IF(AG76&gt;24, 252.79, 0)), 2*309.89)</f>
        <v>619.78</v>
      </c>
      <c r="AK76" s="294">
        <f>AD76+AH76+AI76+AJ76</f>
        <v>4479.67</v>
      </c>
      <c r="AL76" s="293">
        <f>AH76+AI76+AJ76</f>
        <v>3729.67</v>
      </c>
    </row>
    <row r="77" spans="1:38" s="344" customFormat="1" ht="72" x14ac:dyDescent="0.25">
      <c r="A77" s="392" t="s">
        <v>613</v>
      </c>
      <c r="B77" s="392" t="s">
        <v>614</v>
      </c>
      <c r="C77" s="393" t="s">
        <v>615</v>
      </c>
      <c r="D77" s="394">
        <v>23</v>
      </c>
      <c r="E77" s="395" t="s">
        <v>43</v>
      </c>
      <c r="F77" s="392" t="s">
        <v>616</v>
      </c>
      <c r="L77" s="375" t="s">
        <v>46</v>
      </c>
      <c r="M77" s="375" t="s">
        <v>54</v>
      </c>
      <c r="P77" s="396">
        <v>40368</v>
      </c>
      <c r="Q77" s="396" t="s">
        <v>556</v>
      </c>
      <c r="R77" s="396">
        <v>40381</v>
      </c>
      <c r="S77" s="388" t="s">
        <v>503</v>
      </c>
      <c r="U77" s="397">
        <v>5000</v>
      </c>
      <c r="V77" s="392">
        <v>1000</v>
      </c>
      <c r="W77" s="341">
        <f>IFERROR((V77/U77)*100, "NA")</f>
        <v>20</v>
      </c>
      <c r="X77" s="392" t="s">
        <v>556</v>
      </c>
      <c r="Y77" s="392" t="s">
        <v>556</v>
      </c>
      <c r="Z77" s="392" t="s">
        <v>518</v>
      </c>
      <c r="AD77" s="346"/>
      <c r="AE77" s="347"/>
    </row>
    <row r="78" spans="1:38" s="348" customFormat="1" ht="26.25" thickBot="1" x14ac:dyDescent="0.3">
      <c r="D78" s="33">
        <v>33</v>
      </c>
      <c r="E78" s="398" t="s">
        <v>43</v>
      </c>
      <c r="F78" s="123" t="s">
        <v>396</v>
      </c>
      <c r="G78" s="34">
        <v>160</v>
      </c>
      <c r="H78" s="34">
        <v>6</v>
      </c>
      <c r="I78" s="155">
        <v>106</v>
      </c>
      <c r="J78" s="33" t="s">
        <v>63</v>
      </c>
      <c r="K78" s="348">
        <v>2006</v>
      </c>
      <c r="L78" s="349" t="s">
        <v>46</v>
      </c>
      <c r="M78" s="349" t="s">
        <v>54</v>
      </c>
      <c r="N78" s="348">
        <v>2006</v>
      </c>
      <c r="O78" s="28">
        <v>38718</v>
      </c>
      <c r="S78" s="33" t="s">
        <v>60</v>
      </c>
      <c r="T78" s="33" t="s">
        <v>65</v>
      </c>
      <c r="AA78" s="33" t="s">
        <v>397</v>
      </c>
      <c r="AB78" s="33" t="s">
        <v>67</v>
      </c>
      <c r="AC78" s="34" t="str">
        <f>IF(OR(ISNUMBER(SEARCH("&amp;", AB78)), ISNUMBER(SEARCH(",", AB78))), "Multiple", "Single")</f>
        <v>Single</v>
      </c>
      <c r="AD78" s="155">
        <v>500</v>
      </c>
      <c r="AE78" s="377">
        <v>40683</v>
      </c>
      <c r="AF78" s="29">
        <f>IF(OR(ISNUMBER( SEARCH("major",AB78))), 8, 1)</f>
        <v>1</v>
      </c>
      <c r="AG78" s="29">
        <f>(H78*2)+AF78</f>
        <v>13</v>
      </c>
      <c r="AH78" s="293">
        <f>IF(D78&lt;18, 4*I78, 2*I78)</f>
        <v>212</v>
      </c>
      <c r="AI78" s="29">
        <f>IF(D78&gt;=18, IF(E78="Male", IF(AG78&gt;24, 2*366.77, IF(AG78&gt;=4, 366.77, 0.5*366.77)), IF(AG78&gt;24, 2*252.79, IF(AG78&gt;=4, 252.79, 0.5*252.79))), IF(AG78&gt;24, 2*309.89, IF(AG78&gt;=4, 309.89, 0.5*309.89)))</f>
        <v>366.77</v>
      </c>
      <c r="AJ78" s="29">
        <f>IF(D78&gt;=18, IF(E78="Male", IF(AG78&gt;24, 366.77, 0), IF(AG78&gt;24, 252.79, 0)), 2*309.89)</f>
        <v>0</v>
      </c>
      <c r="AK78" s="294">
        <f>AD78+AH78+AI78+AJ78</f>
        <v>1078.77</v>
      </c>
      <c r="AL78" s="293">
        <f>AH78+AI78+AJ78</f>
        <v>578.77</v>
      </c>
    </row>
    <row r="79" spans="1:38" ht="72" x14ac:dyDescent="0.25">
      <c r="A79" s="235">
        <v>2003</v>
      </c>
      <c r="B79" s="235" t="s">
        <v>617</v>
      </c>
      <c r="C79" s="236" t="s">
        <v>618</v>
      </c>
      <c r="D79" s="237">
        <v>35</v>
      </c>
      <c r="E79" s="238" t="s">
        <v>43</v>
      </c>
      <c r="F79" s="235" t="s">
        <v>619</v>
      </c>
      <c r="L79" s="259" t="s">
        <v>46</v>
      </c>
      <c r="M79" s="259" t="s">
        <v>54</v>
      </c>
      <c r="P79" s="239">
        <v>40421</v>
      </c>
      <c r="Q79" s="239">
        <v>40455</v>
      </c>
      <c r="R79" s="239">
        <v>40455</v>
      </c>
      <c r="S79" s="374" t="s">
        <v>503</v>
      </c>
      <c r="U79" s="240">
        <v>6250</v>
      </c>
      <c r="V79" s="235" t="s">
        <v>556</v>
      </c>
      <c r="W79" s="230" t="str">
        <f>IFERROR((V79/U79)*100, "NA")</f>
        <v>NA</v>
      </c>
      <c r="X79" s="235" t="s">
        <v>556</v>
      </c>
      <c r="Y79" s="235">
        <v>2000</v>
      </c>
      <c r="Z79" s="235" t="s">
        <v>504</v>
      </c>
    </row>
    <row r="80" spans="1:38" ht="27" thickBot="1" x14ac:dyDescent="0.3">
      <c r="B80" t="s">
        <v>360</v>
      </c>
      <c r="D80" s="37">
        <v>46</v>
      </c>
      <c r="E80" s="391" t="s">
        <v>43</v>
      </c>
      <c r="F80" s="37" t="s">
        <v>448</v>
      </c>
      <c r="G80" s="131">
        <v>80</v>
      </c>
      <c r="H80" s="131">
        <v>3.25</v>
      </c>
      <c r="I80" s="157">
        <v>84</v>
      </c>
      <c r="J80" s="32" t="s">
        <v>63</v>
      </c>
      <c r="K80" s="37">
        <v>2003</v>
      </c>
      <c r="L80" s="259" t="s">
        <v>46</v>
      </c>
      <c r="M80" s="259" t="s">
        <v>54</v>
      </c>
      <c r="N80" s="32">
        <v>2003</v>
      </c>
      <c r="O80" s="26">
        <v>37700</v>
      </c>
      <c r="S80" s="32" t="s">
        <v>60</v>
      </c>
      <c r="T80" s="32" t="s">
        <v>65</v>
      </c>
      <c r="AA80" s="32" t="s">
        <v>449</v>
      </c>
      <c r="AB80" s="95" t="s">
        <v>289</v>
      </c>
      <c r="AC80" s="32" t="str">
        <f>IF(OR(ISNUMBER(SEARCH("&amp;", AB80)), ISNUMBER(SEARCH(",", AB80))), "Multiple", "Single")</f>
        <v>Multiple</v>
      </c>
      <c r="AD80" s="88">
        <f>500+2500</f>
        <v>3000</v>
      </c>
      <c r="AE80" s="4">
        <v>39366</v>
      </c>
      <c r="AF80" s="29">
        <f>IF(OR(ISNUMBER( SEARCH("major",AB80))), 8, 1)</f>
        <v>1</v>
      </c>
      <c r="AG80" s="29">
        <f>(H80*2)+AF80</f>
        <v>7.5</v>
      </c>
      <c r="AH80" s="293">
        <f>IF(D80&lt;18, 4*I80, 2*I80)</f>
        <v>168</v>
      </c>
      <c r="AI80" s="29">
        <f>IF(D80&gt;=18, IF(E80="Male", IF(AG80&gt;24, 2*366.77, IF(AG80&gt;=4, 366.77, 0.5*366.77)), IF(AG80&gt;24, 2*252.79, IF(AG80&gt;=4, 252.79, 0.5*252.79))), IF(AG80&gt;24, 2*309.89, IF(AG80&gt;=4, 309.89, 0.5*309.89)))</f>
        <v>366.77</v>
      </c>
      <c r="AJ80" s="29">
        <f>IF(D80&gt;=18, IF(E80="Male", IF(AG80&gt;24, 366.77, 0), IF(AG80&gt;24, 252.79, 0)), 2*309.89)</f>
        <v>0</v>
      </c>
      <c r="AK80" s="294">
        <f>AD80+AH80+AI80+AJ80</f>
        <v>3534.77</v>
      </c>
      <c r="AL80" s="293">
        <f>AH80+AI80+AJ80</f>
        <v>534.77</v>
      </c>
    </row>
    <row r="81" spans="1:38" ht="26.25" thickBot="1" x14ac:dyDescent="0.3">
      <c r="B81" t="s">
        <v>360</v>
      </c>
      <c r="D81" s="37">
        <v>46</v>
      </c>
      <c r="E81" s="399" t="s">
        <v>43</v>
      </c>
      <c r="F81" s="54" t="s">
        <v>448</v>
      </c>
      <c r="G81" s="133">
        <v>80</v>
      </c>
      <c r="H81" s="133">
        <v>3.25</v>
      </c>
      <c r="I81" s="159">
        <v>84</v>
      </c>
      <c r="J81" s="31" t="s">
        <v>63</v>
      </c>
      <c r="K81" s="37">
        <v>2003</v>
      </c>
      <c r="L81" s="259" t="s">
        <v>46</v>
      </c>
      <c r="M81" s="259" t="s">
        <v>54</v>
      </c>
      <c r="N81" s="32">
        <v>2003</v>
      </c>
      <c r="O81" s="27">
        <v>37700</v>
      </c>
      <c r="S81" s="31" t="s">
        <v>60</v>
      </c>
      <c r="T81" s="31" t="s">
        <v>65</v>
      </c>
      <c r="AA81" s="31" t="s">
        <v>277</v>
      </c>
      <c r="AB81" s="110" t="s">
        <v>67</v>
      </c>
      <c r="AC81" s="32" t="str">
        <f>IF(OR(ISNUMBER(SEARCH("&amp;", AB81)), ISNUMBER(SEARCH(",", AB81))), "Multiple", "Single")</f>
        <v>Single</v>
      </c>
      <c r="AD81" s="88">
        <v>2500</v>
      </c>
      <c r="AE81" s="1">
        <v>38479</v>
      </c>
      <c r="AF81" s="29">
        <f>IF(OR(ISNUMBER( SEARCH("major",AB81))), 8, 1)</f>
        <v>1</v>
      </c>
      <c r="AG81" s="29">
        <f>(H81*2)+AF81</f>
        <v>7.5</v>
      </c>
      <c r="AH81" s="293">
        <f>IF(D81&lt;18, 4*I81, 2*I81)</f>
        <v>168</v>
      </c>
      <c r="AI81" s="29">
        <f>IF(D81&gt;=18, IF(E81="Male", IF(AG81&gt;24, 2*366.77, IF(AG81&gt;=4, 366.77, 0.5*366.77)), IF(AG81&gt;24, 2*252.79, IF(AG81&gt;=4, 252.79, 0.5*252.79))), IF(AG81&gt;24, 2*309.89, IF(AG81&gt;=4, 309.89, 0.5*309.89)))</f>
        <v>366.77</v>
      </c>
      <c r="AJ81" s="29">
        <f>IF(D81&gt;=18, IF(E81="Male", IF(AG81&gt;24, 366.77, 0), IF(AG81&gt;24, 252.79, 0)), 2*309.89)</f>
        <v>0</v>
      </c>
      <c r="AK81" s="294">
        <f>AD81+AH81+AI81+AJ81</f>
        <v>3034.77</v>
      </c>
      <c r="AL81" s="293">
        <f>AH81+AI81+AJ81</f>
        <v>534.77</v>
      </c>
    </row>
    <row r="82" spans="1:38" s="185" customFormat="1" ht="26.25" thickBot="1" x14ac:dyDescent="0.3">
      <c r="B82" s="185" t="s">
        <v>360</v>
      </c>
      <c r="D82" s="61">
        <v>46</v>
      </c>
      <c r="E82" s="400" t="s">
        <v>43</v>
      </c>
      <c r="F82" s="33" t="s">
        <v>448</v>
      </c>
      <c r="G82" s="136">
        <v>80</v>
      </c>
      <c r="H82" s="136">
        <v>3.25</v>
      </c>
      <c r="I82" s="156">
        <v>84</v>
      </c>
      <c r="J82" s="34" t="s">
        <v>63</v>
      </c>
      <c r="K82" s="61">
        <v>2003</v>
      </c>
      <c r="L82" s="370" t="s">
        <v>46</v>
      </c>
      <c r="M82" s="370" t="s">
        <v>54</v>
      </c>
      <c r="N82" s="36">
        <v>2003</v>
      </c>
      <c r="O82" s="28">
        <v>37700</v>
      </c>
      <c r="S82" s="34" t="s">
        <v>60</v>
      </c>
      <c r="T82" s="34" t="s">
        <v>65</v>
      </c>
      <c r="AA82" s="34" t="s">
        <v>450</v>
      </c>
      <c r="AB82" s="90" t="s">
        <v>67</v>
      </c>
      <c r="AC82" s="36" t="str">
        <f>IF(OR(ISNUMBER(SEARCH("&amp;", AB82)), ISNUMBER(SEARCH(",", AB82))), "Multiple", "Single")</f>
        <v>Single</v>
      </c>
      <c r="AD82" s="147">
        <v>500</v>
      </c>
      <c r="AE82" s="3">
        <v>37758</v>
      </c>
      <c r="AF82" s="29">
        <f>IF(OR(ISNUMBER( SEARCH("major",AB82))), 8, 1)</f>
        <v>1</v>
      </c>
      <c r="AG82" s="29">
        <f>(H82*2)+AF82</f>
        <v>7.5</v>
      </c>
      <c r="AH82" s="293">
        <f>IF(D82&lt;18, 4*I82, 2*I82)</f>
        <v>168</v>
      </c>
      <c r="AI82" s="29">
        <f>IF(D82&gt;=18, IF(E82="Male", IF(AG82&gt;24, 2*366.77, IF(AG82&gt;=4, 366.77, 0.5*366.77)), IF(AG82&gt;24, 2*252.79, IF(AG82&gt;=4, 252.79, 0.5*252.79))), IF(AG82&gt;24, 2*309.89, IF(AG82&gt;=4, 309.89, 0.5*309.89)))</f>
        <v>366.77</v>
      </c>
      <c r="AJ82" s="29">
        <f>IF(D82&gt;=18, IF(E82="Male", IF(AG82&gt;24, 366.77, 0), IF(AG82&gt;24, 252.79, 0)), 2*309.89)</f>
        <v>0</v>
      </c>
      <c r="AK82" s="294">
        <f>AD82+AH82+AI82+AJ82</f>
        <v>1034.77</v>
      </c>
      <c r="AL82" s="293">
        <f>AH82+AI82+AJ82</f>
        <v>534.77</v>
      </c>
    </row>
    <row r="83" spans="1:38" s="344" customFormat="1" ht="72" x14ac:dyDescent="0.25">
      <c r="A83" s="392">
        <v>2007</v>
      </c>
      <c r="B83" s="392" t="s">
        <v>620</v>
      </c>
      <c r="C83" s="393" t="s">
        <v>621</v>
      </c>
      <c r="D83" s="394">
        <v>51</v>
      </c>
      <c r="E83" s="395" t="s">
        <v>43</v>
      </c>
      <c r="F83" s="392" t="s">
        <v>622</v>
      </c>
      <c r="L83" s="375" t="s">
        <v>46</v>
      </c>
      <c r="M83" s="375" t="s">
        <v>54</v>
      </c>
      <c r="P83" s="396">
        <v>40439</v>
      </c>
      <c r="Q83" s="396" t="s">
        <v>556</v>
      </c>
      <c r="R83" s="396">
        <v>40492</v>
      </c>
      <c r="S83" s="344" t="s">
        <v>503</v>
      </c>
      <c r="U83" s="397">
        <v>43000</v>
      </c>
      <c r="V83" s="392" t="s">
        <v>556</v>
      </c>
      <c r="W83" s="341" t="str">
        <f>IFERROR((V83/U83)*100, "NA")</f>
        <v>NA</v>
      </c>
      <c r="X83" s="392" t="s">
        <v>556</v>
      </c>
      <c r="Y83" s="392">
        <v>43000</v>
      </c>
      <c r="Z83" s="392" t="s">
        <v>504</v>
      </c>
      <c r="AD83" s="346"/>
      <c r="AE83" s="347"/>
    </row>
    <row r="84" spans="1:38" s="348" customFormat="1" ht="26.25" thickBot="1" x14ac:dyDescent="0.3">
      <c r="B84" s="348" t="s">
        <v>324</v>
      </c>
      <c r="D84" s="33">
        <v>47</v>
      </c>
      <c r="E84" s="398" t="s">
        <v>43</v>
      </c>
      <c r="F84" s="123" t="s">
        <v>425</v>
      </c>
      <c r="G84" s="401">
        <v>12.5</v>
      </c>
      <c r="H84" s="401">
        <v>1</v>
      </c>
      <c r="I84" s="402">
        <v>22</v>
      </c>
      <c r="J84" s="33" t="s">
        <v>63</v>
      </c>
      <c r="K84" s="403">
        <v>2005</v>
      </c>
      <c r="L84" s="349" t="s">
        <v>46</v>
      </c>
      <c r="M84" s="349" t="s">
        <v>54</v>
      </c>
      <c r="N84" s="384">
        <v>2005</v>
      </c>
      <c r="O84" s="28">
        <v>38411</v>
      </c>
      <c r="S84" s="404" t="s">
        <v>468</v>
      </c>
      <c r="T84" s="386" t="s">
        <v>468</v>
      </c>
      <c r="AA84" s="33" t="s">
        <v>401</v>
      </c>
      <c r="AB84" s="33" t="s">
        <v>67</v>
      </c>
      <c r="AC84" s="34" t="str">
        <f>IF(OR(ISNUMBER(SEARCH("&amp;", AB84)), ISNUMBER(SEARCH(",", AB84))), "Multiple", "Single")</f>
        <v>Single</v>
      </c>
      <c r="AD84" s="155">
        <v>350</v>
      </c>
      <c r="AE84" s="28">
        <v>39791</v>
      </c>
      <c r="AF84" s="29">
        <f>IF(OR(ISNUMBER( SEARCH("major",AB84))), 8, 1)</f>
        <v>1</v>
      </c>
      <c r="AG84" s="29">
        <f>(H84*2)+AF84</f>
        <v>3</v>
      </c>
      <c r="AH84" s="293">
        <f>IF(D84&lt;18, 4*I84, 2*I84)</f>
        <v>44</v>
      </c>
      <c r="AI84" s="29">
        <f>IF(D84&gt;=18, IF(E84="Male", IF(AG84&gt;24, 2*366.77, IF(AG84&gt;=4, 366.77, 0.5*366.77)), IF(AG84&gt;24, 2*252.79, IF(AG84&gt;=4, 252.79, 0.5*252.79))), IF(AG84&gt;24, 2*309.89, IF(AG84&gt;=4, 309.89, 0.5*309.89)))</f>
        <v>183.38499999999999</v>
      </c>
      <c r="AJ84" s="29">
        <f>IF(D84&gt;=18, IF(E84="Male", IF(AG84&gt;24, 366.77, 0), IF(AG84&gt;24, 252.79, 0)), 2*309.89)</f>
        <v>0</v>
      </c>
      <c r="AK84" s="294">
        <f>AD84+AH84+AI84+AJ84</f>
        <v>577.38499999999999</v>
      </c>
      <c r="AL84" s="293">
        <f>AH84+AI84+AJ84</f>
        <v>227.38499999999999</v>
      </c>
    </row>
    <row r="85" spans="1:38" ht="72.75" thickBot="1" x14ac:dyDescent="0.3">
      <c r="A85" s="247" t="s">
        <v>623</v>
      </c>
      <c r="B85" s="247" t="s">
        <v>624</v>
      </c>
      <c r="C85" s="248" t="s">
        <v>625</v>
      </c>
      <c r="D85" s="249">
        <v>23</v>
      </c>
      <c r="E85" s="250" t="s">
        <v>43</v>
      </c>
      <c r="F85" s="247" t="s">
        <v>626</v>
      </c>
      <c r="L85" s="259" t="s">
        <v>64</v>
      </c>
      <c r="M85" s="259" t="s">
        <v>54</v>
      </c>
      <c r="P85" s="252">
        <v>41316</v>
      </c>
      <c r="Q85" s="252">
        <v>41320</v>
      </c>
      <c r="R85" s="252">
        <v>41498</v>
      </c>
      <c r="U85" s="247">
        <v>4500</v>
      </c>
      <c r="V85" s="247">
        <v>1500</v>
      </c>
      <c r="W85" s="230">
        <f>IFERROR((V85/U85)*100, "NA")</f>
        <v>33.333333333333329</v>
      </c>
      <c r="X85" s="247">
        <v>1000</v>
      </c>
      <c r="Y85" s="247" t="s">
        <v>556</v>
      </c>
      <c r="Z85" s="251" t="s">
        <v>518</v>
      </c>
    </row>
    <row r="86" spans="1:38" s="339" customFormat="1" ht="26.25" x14ac:dyDescent="0.25">
      <c r="B86" s="339" t="s">
        <v>235</v>
      </c>
      <c r="D86" s="32">
        <v>30</v>
      </c>
      <c r="E86" s="339" t="s">
        <v>43</v>
      </c>
      <c r="F86" s="43" t="s">
        <v>337</v>
      </c>
      <c r="G86" s="39">
        <v>160</v>
      </c>
      <c r="H86" s="39">
        <v>6</v>
      </c>
      <c r="I86" s="405">
        <v>106</v>
      </c>
      <c r="J86" s="32" t="s">
        <v>63</v>
      </c>
      <c r="K86" s="32">
        <v>2012</v>
      </c>
      <c r="L86" s="361" t="s">
        <v>64</v>
      </c>
      <c r="M86" s="361" t="s">
        <v>54</v>
      </c>
      <c r="N86" s="407">
        <v>2012</v>
      </c>
      <c r="O86" s="4">
        <v>41307</v>
      </c>
      <c r="S86" s="406" t="s">
        <v>503</v>
      </c>
      <c r="T86" s="378" t="s">
        <v>503</v>
      </c>
      <c r="AA86" s="32" t="s">
        <v>338</v>
      </c>
      <c r="AB86" s="95" t="s">
        <v>339</v>
      </c>
      <c r="AC86" s="32" t="str">
        <f>IF(OR(ISNUMBER(SEARCH("&amp;", AB86)), ISNUMBER(SEARCH(",", AB86))), "Multiple", "Single")</f>
        <v>Single</v>
      </c>
      <c r="AD86" s="88">
        <v>8000</v>
      </c>
      <c r="AE86" s="4">
        <v>43829</v>
      </c>
      <c r="AF86" s="17">
        <f>IF(OR(ISNUMBER( SEARCH("major",AB86))), 8, 1)</f>
        <v>1</v>
      </c>
      <c r="AG86" s="17">
        <f>(H86*2)+AF86</f>
        <v>13</v>
      </c>
      <c r="AH86" s="209">
        <f>IF(D86&lt;18, 4*I86, 2*I86)</f>
        <v>212</v>
      </c>
      <c r="AI86" s="17">
        <f>IF(D86&gt;=18, IF(E86="Male", IF(AG86&gt;24, 2*366.77, IF(AG86&gt;=4, 366.77, 0.5*366.77)), IF(AG86&gt;24, 2*252.79, IF(AG86&gt;=4, 252.79, 0.5*252.79))), IF(AG86&gt;24, 2*309.89, IF(AG86&gt;=4, 309.89, 0.5*309.89)))</f>
        <v>366.77</v>
      </c>
      <c r="AJ86" s="17">
        <f>IF(D86&gt;=18, IF(E86="Male", IF(AG86&gt;24, 366.77, 0), IF(AG86&gt;24, 252.79, 0)), 2*309.89)</f>
        <v>0</v>
      </c>
      <c r="AK86" s="213">
        <f>AD86+AH86+AI86+AJ86</f>
        <v>8578.77</v>
      </c>
      <c r="AL86" s="209">
        <f>AH86+AI86+AJ86</f>
        <v>578.77</v>
      </c>
    </row>
    <row r="87" spans="1:38" s="339" customFormat="1" ht="25.5" x14ac:dyDescent="0.25">
      <c r="B87" s="339" t="s">
        <v>235</v>
      </c>
      <c r="D87" s="32">
        <v>30</v>
      </c>
      <c r="E87" s="339" t="s">
        <v>43</v>
      </c>
      <c r="F87" s="32" t="s">
        <v>341</v>
      </c>
      <c r="G87" s="32">
        <v>160</v>
      </c>
      <c r="H87" s="32">
        <v>6</v>
      </c>
      <c r="I87" s="88">
        <v>106</v>
      </c>
      <c r="J87" s="32" t="s">
        <v>63</v>
      </c>
      <c r="K87" s="37">
        <v>2012</v>
      </c>
      <c r="L87" s="361" t="s">
        <v>64</v>
      </c>
      <c r="M87" s="361" t="s">
        <v>54</v>
      </c>
      <c r="N87" s="339">
        <v>2012</v>
      </c>
      <c r="O87" s="4">
        <v>41307</v>
      </c>
      <c r="S87" s="406" t="s">
        <v>503</v>
      </c>
      <c r="T87" s="378" t="s">
        <v>503</v>
      </c>
      <c r="AA87" s="32" t="s">
        <v>342</v>
      </c>
      <c r="AB87" s="32" t="s">
        <v>275</v>
      </c>
      <c r="AC87" s="32" t="str">
        <f>IF(OR(ISNUMBER(SEARCH("&amp;", AB87)), ISNUMBER(SEARCH(",", AB87))), "Multiple", "Single")</f>
        <v>Multiple</v>
      </c>
      <c r="AD87" s="88">
        <f>750+350</f>
        <v>1100</v>
      </c>
      <c r="AE87" s="26">
        <v>44282</v>
      </c>
      <c r="AF87" s="19">
        <f>IF(OR(ISNUMBER( SEARCH("major",AB87))), 8, 1)</f>
        <v>8</v>
      </c>
      <c r="AG87" s="19">
        <f>(H87*2)+AF87</f>
        <v>20</v>
      </c>
      <c r="AH87" s="327">
        <f>IF(D87&lt;18, 4*I87, 2*I87)</f>
        <v>212</v>
      </c>
      <c r="AI87" s="19">
        <f>IF(D87&gt;=18, IF(E87="Male", IF(AG87&gt;24, 2*366.77, IF(AG87&gt;=4, 366.77, 0.5*366.77)), IF(AG87&gt;24, 2*252.79, IF(AG87&gt;=4, 252.79, 0.5*252.79))), IF(AG87&gt;24, 2*309.89, IF(AG87&gt;=4, 309.89, 0.5*309.89)))</f>
        <v>366.77</v>
      </c>
      <c r="AJ87" s="19">
        <f>IF(D87&gt;=18, IF(E87="Male", IF(AG87&gt;24, 366.77, 0), IF(AG87&gt;24, 252.79, 0)), 2*309.89)</f>
        <v>0</v>
      </c>
      <c r="AK87" s="329">
        <f>AD87+AH87+AI87+AJ87</f>
        <v>1678.77</v>
      </c>
      <c r="AL87" s="327">
        <f>AH87+AI87+AJ87</f>
        <v>578.77</v>
      </c>
    </row>
    <row r="88" spans="1:38" s="348" customFormat="1" ht="26.25" thickBot="1" x14ac:dyDescent="0.3">
      <c r="B88" s="348" t="s">
        <v>235</v>
      </c>
      <c r="D88" s="33">
        <v>30</v>
      </c>
      <c r="E88" s="348" t="s">
        <v>43</v>
      </c>
      <c r="F88" s="33" t="s">
        <v>344</v>
      </c>
      <c r="G88" s="34">
        <v>160</v>
      </c>
      <c r="H88" s="34">
        <v>6</v>
      </c>
      <c r="I88" s="155">
        <v>106</v>
      </c>
      <c r="J88" s="33" t="s">
        <v>63</v>
      </c>
      <c r="K88" s="33">
        <v>2012</v>
      </c>
      <c r="L88" s="349" t="s">
        <v>64</v>
      </c>
      <c r="M88" s="349" t="s">
        <v>54</v>
      </c>
      <c r="N88" s="384">
        <v>2012</v>
      </c>
      <c r="O88" s="28">
        <v>41307</v>
      </c>
      <c r="S88" s="404" t="s">
        <v>503</v>
      </c>
      <c r="T88" s="386" t="s">
        <v>503</v>
      </c>
      <c r="AA88" s="33" t="s">
        <v>345</v>
      </c>
      <c r="AB88" s="33" t="s">
        <v>67</v>
      </c>
      <c r="AC88" s="34" t="str">
        <f>IF(OR(ISNUMBER(SEARCH("&amp;", AB88)), ISNUMBER(SEARCH(",", AB88))), "Multiple", "Single")</f>
        <v>Single</v>
      </c>
      <c r="AD88" s="155">
        <v>750</v>
      </c>
      <c r="AE88" s="28">
        <v>42551</v>
      </c>
      <c r="AF88" s="29">
        <f>IF(OR(ISNUMBER( SEARCH("major",AB88))), 8, 1)</f>
        <v>1</v>
      </c>
      <c r="AG88" s="29">
        <f>(H88*2)+AF88</f>
        <v>13</v>
      </c>
      <c r="AH88" s="293">
        <f>IF(D88&lt;18, 4*I88, 2*I88)</f>
        <v>212</v>
      </c>
      <c r="AI88" s="29">
        <f>IF(D88&gt;=18, IF(E88="Male", IF(AG88&gt;24, 2*366.77, IF(AG88&gt;=4, 366.77, 0.5*366.77)), IF(AG88&gt;24, 2*252.79, IF(AG88&gt;=4, 252.79, 0.5*252.79))), IF(AG88&gt;24, 2*309.89, IF(AG88&gt;=4, 309.89, 0.5*309.89)))</f>
        <v>366.77</v>
      </c>
      <c r="AJ88" s="29">
        <f>IF(D88&gt;=18, IF(E88="Male", IF(AG88&gt;24, 366.77, 0), IF(AG88&gt;24, 252.79, 0)), 2*309.89)</f>
        <v>0</v>
      </c>
      <c r="AK88" s="294">
        <f>AD88+AH88+AI88+AJ88</f>
        <v>1328.77</v>
      </c>
      <c r="AL88" s="293">
        <f>AH88+AI88+AJ88</f>
        <v>578.77</v>
      </c>
    </row>
    <row r="89" spans="1:38" s="344" customFormat="1" ht="57.75" x14ac:dyDescent="0.25">
      <c r="A89" s="319" t="s">
        <v>627</v>
      </c>
      <c r="B89" s="319" t="s">
        <v>628</v>
      </c>
      <c r="C89" s="408" t="s">
        <v>629</v>
      </c>
      <c r="D89" s="409">
        <v>20</v>
      </c>
      <c r="E89" s="410" t="s">
        <v>43</v>
      </c>
      <c r="F89" s="319" t="s">
        <v>630</v>
      </c>
      <c r="L89" s="375" t="s">
        <v>64</v>
      </c>
      <c r="M89" s="375" t="s">
        <v>54</v>
      </c>
      <c r="P89" s="411">
        <v>41421</v>
      </c>
      <c r="Q89" s="411">
        <v>41430</v>
      </c>
      <c r="R89" s="411">
        <v>41452</v>
      </c>
      <c r="U89" s="319">
        <v>7500</v>
      </c>
      <c r="V89" s="319">
        <v>3750</v>
      </c>
      <c r="W89" s="341">
        <f>IFERROR((V89/U89)*100, "NA")</f>
        <v>50</v>
      </c>
      <c r="X89" s="319">
        <v>3750</v>
      </c>
      <c r="Y89" s="319" t="s">
        <v>556</v>
      </c>
      <c r="Z89" s="319" t="s">
        <v>518</v>
      </c>
      <c r="AD89" s="346"/>
      <c r="AE89" s="347"/>
    </row>
    <row r="90" spans="1:38" s="348" customFormat="1" ht="26.25" thickBot="1" x14ac:dyDescent="0.3">
      <c r="B90" s="348" t="s">
        <v>230</v>
      </c>
      <c r="D90" s="348">
        <v>27</v>
      </c>
      <c r="E90" s="348" t="s">
        <v>43</v>
      </c>
      <c r="F90" s="33" t="s">
        <v>330</v>
      </c>
      <c r="G90" s="134">
        <v>368</v>
      </c>
      <c r="H90" s="134">
        <v>9.5</v>
      </c>
      <c r="I90" s="160">
        <v>155</v>
      </c>
      <c r="J90" s="33" t="s">
        <v>63</v>
      </c>
      <c r="K90" s="348">
        <v>2013</v>
      </c>
      <c r="L90" s="349" t="s">
        <v>64</v>
      </c>
      <c r="M90" s="349" t="s">
        <v>54</v>
      </c>
      <c r="N90" s="384">
        <v>2013</v>
      </c>
      <c r="O90" s="28">
        <v>41421</v>
      </c>
      <c r="S90" s="33" t="s">
        <v>60</v>
      </c>
      <c r="T90" s="33" t="s">
        <v>65</v>
      </c>
      <c r="AA90" s="33" t="s">
        <v>152</v>
      </c>
      <c r="AB90" s="33" t="s">
        <v>67</v>
      </c>
      <c r="AC90" s="34" t="str">
        <f>IF(OR(ISNUMBER(SEARCH("&amp;", AB90)), ISNUMBER(SEARCH(",", AB90))), "Multiple", "Single")</f>
        <v>Single</v>
      </c>
      <c r="AD90" s="155">
        <v>750</v>
      </c>
      <c r="AE90" s="28">
        <v>42142</v>
      </c>
      <c r="AF90" s="29">
        <f>IF(OR(ISNUMBER( SEARCH("major",AB90))), 8, 1)</f>
        <v>1</v>
      </c>
      <c r="AG90" s="29">
        <f>(H90*2)+AF90</f>
        <v>20</v>
      </c>
      <c r="AH90" s="293">
        <f>IF(D90&lt;18, 4*I90, 2*I90)</f>
        <v>310</v>
      </c>
      <c r="AI90" s="29">
        <f>IF(D90&gt;=18, IF(E90="Male", IF(AG90&gt;24, 2*366.77, IF(AG90&gt;=4, 366.77, 0.5*366.77)), IF(AG90&gt;24, 2*252.79, IF(AG90&gt;=4, 252.79, 0.5*252.79))), IF(AG90&gt;24, 2*309.89, IF(AG90&gt;=4, 309.89, 0.5*309.89)))</f>
        <v>366.77</v>
      </c>
      <c r="AJ90" s="29">
        <f>IF(D90&gt;=18, IF(E90="Male", IF(AG90&gt;24, 366.77, 0), IF(AG90&gt;24, 252.79, 0)), 2*309.89)</f>
        <v>0</v>
      </c>
      <c r="AK90" s="294">
        <f>AD90+AH90+AI90+AJ90</f>
        <v>1426.77</v>
      </c>
      <c r="AL90" s="293">
        <f>AH90+AI90+AJ90</f>
        <v>676.77</v>
      </c>
    </row>
  </sheetData>
  <phoneticPr fontId="5" type="noConversion"/>
  <conditionalFormatting sqref="A2">
    <cfRule type="duplicateValues" dxfId="252" priority="250"/>
  </conditionalFormatting>
  <conditionalFormatting sqref="A5">
    <cfRule type="duplicateValues" dxfId="251" priority="241"/>
  </conditionalFormatting>
  <conditionalFormatting sqref="A12">
    <cfRule type="duplicateValues" dxfId="250" priority="232"/>
  </conditionalFormatting>
  <conditionalFormatting sqref="A15">
    <cfRule type="duplicateValues" dxfId="249" priority="223"/>
  </conditionalFormatting>
  <conditionalFormatting sqref="A18">
    <cfRule type="duplicateValues" dxfId="248" priority="214"/>
  </conditionalFormatting>
  <conditionalFormatting sqref="A20">
    <cfRule type="duplicateValues" dxfId="247" priority="205"/>
  </conditionalFormatting>
  <conditionalFormatting sqref="A23">
    <cfRule type="duplicateValues" dxfId="246" priority="196"/>
  </conditionalFormatting>
  <conditionalFormatting sqref="A25">
    <cfRule type="duplicateValues" dxfId="245" priority="187"/>
  </conditionalFormatting>
  <conditionalFormatting sqref="A29">
    <cfRule type="duplicateValues" dxfId="244" priority="178"/>
  </conditionalFormatting>
  <conditionalFormatting sqref="A32">
    <cfRule type="duplicateValues" dxfId="243" priority="169"/>
  </conditionalFormatting>
  <conditionalFormatting sqref="A33">
    <cfRule type="duplicateValues" dxfId="242" priority="160"/>
  </conditionalFormatting>
  <conditionalFormatting sqref="A40">
    <cfRule type="duplicateValues" dxfId="241" priority="151"/>
  </conditionalFormatting>
  <conditionalFormatting sqref="A42">
    <cfRule type="duplicateValues" dxfId="240" priority="142"/>
  </conditionalFormatting>
  <conditionalFormatting sqref="A43">
    <cfRule type="duplicateValues" dxfId="239" priority="133"/>
  </conditionalFormatting>
  <conditionalFormatting sqref="A46">
    <cfRule type="duplicateValues" dxfId="238" priority="124"/>
  </conditionalFormatting>
  <conditionalFormatting sqref="A48">
    <cfRule type="duplicateValues" dxfId="237" priority="115"/>
  </conditionalFormatting>
  <conditionalFormatting sqref="A53">
    <cfRule type="duplicateValues" dxfId="236" priority="106"/>
  </conditionalFormatting>
  <conditionalFormatting sqref="A57">
    <cfRule type="duplicateValues" dxfId="235" priority="97"/>
  </conditionalFormatting>
  <conditionalFormatting sqref="A60">
    <cfRule type="duplicateValues" dxfId="234" priority="88"/>
  </conditionalFormatting>
  <conditionalFormatting sqref="A62">
    <cfRule type="duplicateValues" dxfId="233" priority="79"/>
  </conditionalFormatting>
  <conditionalFormatting sqref="A69">
    <cfRule type="duplicateValues" dxfId="232" priority="70"/>
  </conditionalFormatting>
  <conditionalFormatting sqref="A72">
    <cfRule type="duplicateValues" dxfId="231" priority="61"/>
  </conditionalFormatting>
  <conditionalFormatting sqref="A74">
    <cfRule type="duplicateValues" dxfId="230" priority="52"/>
  </conditionalFormatting>
  <conditionalFormatting sqref="A77">
    <cfRule type="duplicateValues" dxfId="229" priority="43"/>
  </conditionalFormatting>
  <conditionalFormatting sqref="A79">
    <cfRule type="duplicateValues" dxfId="228" priority="34"/>
  </conditionalFormatting>
  <conditionalFormatting sqref="A83">
    <cfRule type="duplicateValues" dxfId="227" priority="25"/>
  </conditionalFormatting>
  <conditionalFormatting sqref="A85">
    <cfRule type="duplicateValues" dxfId="226" priority="16"/>
  </conditionalFormatting>
  <conditionalFormatting sqref="A89">
    <cfRule type="duplicateValues" dxfId="225" priority="9"/>
    <cfRule type="duplicateValues" dxfId="224" priority="10"/>
    <cfRule type="duplicateValues" dxfId="223" priority="11"/>
    <cfRule type="duplicateValues" dxfId="222" priority="12"/>
  </conditionalFormatting>
  <conditionalFormatting sqref="A2:B2">
    <cfRule type="duplicateValues" dxfId="221" priority="253"/>
    <cfRule type="duplicateValues" dxfId="220" priority="254"/>
    <cfRule type="duplicateValues" dxfId="219" priority="255"/>
  </conditionalFormatting>
  <conditionalFormatting sqref="A5:B5">
    <cfRule type="duplicateValues" dxfId="218" priority="244"/>
    <cfRule type="duplicateValues" dxfId="217" priority="245"/>
    <cfRule type="duplicateValues" dxfId="216" priority="246"/>
  </conditionalFormatting>
  <conditionalFormatting sqref="A12:B12">
    <cfRule type="duplicateValues" dxfId="215" priority="235"/>
    <cfRule type="duplicateValues" dxfId="214" priority="236"/>
    <cfRule type="duplicateValues" dxfId="213" priority="237"/>
  </conditionalFormatting>
  <conditionalFormatting sqref="A15:B15">
    <cfRule type="duplicateValues" dxfId="212" priority="226"/>
    <cfRule type="duplicateValues" dxfId="211" priority="227"/>
    <cfRule type="duplicateValues" dxfId="210" priority="228"/>
  </conditionalFormatting>
  <conditionalFormatting sqref="A18:B18">
    <cfRule type="duplicateValues" dxfId="209" priority="217"/>
    <cfRule type="duplicateValues" dxfId="208" priority="218"/>
    <cfRule type="duplicateValues" dxfId="207" priority="219"/>
  </conditionalFormatting>
  <conditionalFormatting sqref="A20:B20">
    <cfRule type="duplicateValues" dxfId="206" priority="208"/>
    <cfRule type="duplicateValues" dxfId="205" priority="209"/>
    <cfRule type="duplicateValues" dxfId="204" priority="210"/>
  </conditionalFormatting>
  <conditionalFormatting sqref="A23:B23">
    <cfRule type="duplicateValues" dxfId="203" priority="199"/>
    <cfRule type="duplicateValues" dxfId="202" priority="200"/>
    <cfRule type="duplicateValues" dxfId="201" priority="201"/>
  </conditionalFormatting>
  <conditionalFormatting sqref="A25:B25">
    <cfRule type="duplicateValues" dxfId="200" priority="190"/>
    <cfRule type="duplicateValues" dxfId="199" priority="191"/>
    <cfRule type="duplicateValues" dxfId="198" priority="192"/>
  </conditionalFormatting>
  <conditionalFormatting sqref="A29:B29">
    <cfRule type="duplicateValues" dxfId="197" priority="181"/>
    <cfRule type="duplicateValues" dxfId="196" priority="182"/>
    <cfRule type="duplicateValues" dxfId="195" priority="183"/>
  </conditionalFormatting>
  <conditionalFormatting sqref="A32:B32">
    <cfRule type="duplicateValues" dxfId="194" priority="172"/>
    <cfRule type="duplicateValues" dxfId="193" priority="173"/>
    <cfRule type="duplicateValues" dxfId="192" priority="174"/>
  </conditionalFormatting>
  <conditionalFormatting sqref="A33:B33">
    <cfRule type="duplicateValues" dxfId="191" priority="163"/>
    <cfRule type="duplicateValues" dxfId="190" priority="164"/>
    <cfRule type="duplicateValues" dxfId="189" priority="165"/>
  </conditionalFormatting>
  <conditionalFormatting sqref="A40:B40">
    <cfRule type="duplicateValues" dxfId="188" priority="154"/>
    <cfRule type="duplicateValues" dxfId="187" priority="155"/>
    <cfRule type="duplicateValues" dxfId="186" priority="156"/>
  </conditionalFormatting>
  <conditionalFormatting sqref="A42:B42">
    <cfRule type="duplicateValues" dxfId="185" priority="145"/>
    <cfRule type="duplicateValues" dxfId="184" priority="146"/>
    <cfRule type="duplicateValues" dxfId="183" priority="147"/>
  </conditionalFormatting>
  <conditionalFormatting sqref="A43:B43">
    <cfRule type="duplicateValues" dxfId="182" priority="136"/>
    <cfRule type="duplicateValues" dxfId="181" priority="137"/>
    <cfRule type="duplicateValues" dxfId="180" priority="138"/>
  </conditionalFormatting>
  <conditionalFormatting sqref="A46:B46">
    <cfRule type="duplicateValues" dxfId="179" priority="127"/>
    <cfRule type="duplicateValues" dxfId="178" priority="128"/>
    <cfRule type="duplicateValues" dxfId="177" priority="129"/>
  </conditionalFormatting>
  <conditionalFormatting sqref="A48:B48">
    <cfRule type="duplicateValues" dxfId="176" priority="118"/>
    <cfRule type="duplicateValues" dxfId="175" priority="119"/>
    <cfRule type="duplicateValues" dxfId="174" priority="120"/>
  </conditionalFormatting>
  <conditionalFormatting sqref="A53:B53">
    <cfRule type="duplicateValues" dxfId="173" priority="109"/>
    <cfRule type="duplicateValues" dxfId="172" priority="110"/>
    <cfRule type="duplicateValues" dxfId="171" priority="111"/>
  </conditionalFormatting>
  <conditionalFormatting sqref="A57:B57">
    <cfRule type="duplicateValues" dxfId="170" priority="100"/>
    <cfRule type="duplicateValues" dxfId="169" priority="101"/>
    <cfRule type="duplicateValues" dxfId="168" priority="102"/>
  </conditionalFormatting>
  <conditionalFormatting sqref="A60:B60">
    <cfRule type="duplicateValues" dxfId="167" priority="91"/>
    <cfRule type="duplicateValues" dxfId="166" priority="92"/>
    <cfRule type="duplicateValues" dxfId="165" priority="93"/>
  </conditionalFormatting>
  <conditionalFormatting sqref="A62:B62">
    <cfRule type="duplicateValues" dxfId="164" priority="82"/>
    <cfRule type="duplicateValues" dxfId="163" priority="83"/>
    <cfRule type="duplicateValues" dxfId="162" priority="84"/>
  </conditionalFormatting>
  <conditionalFormatting sqref="A69:B69">
    <cfRule type="duplicateValues" dxfId="161" priority="73"/>
    <cfRule type="duplicateValues" dxfId="160" priority="74"/>
    <cfRule type="duplicateValues" dxfId="159" priority="75"/>
  </conditionalFormatting>
  <conditionalFormatting sqref="A72:B72">
    <cfRule type="duplicateValues" dxfId="158" priority="64"/>
    <cfRule type="duplicateValues" dxfId="157" priority="65"/>
    <cfRule type="duplicateValues" dxfId="156" priority="66"/>
  </conditionalFormatting>
  <conditionalFormatting sqref="A74:B74">
    <cfRule type="duplicateValues" dxfId="155" priority="55"/>
    <cfRule type="duplicateValues" dxfId="154" priority="56"/>
    <cfRule type="duplicateValues" dxfId="153" priority="57"/>
  </conditionalFormatting>
  <conditionalFormatting sqref="A77:B77">
    <cfRule type="duplicateValues" dxfId="152" priority="46"/>
    <cfRule type="duplicateValues" dxfId="151" priority="47"/>
    <cfRule type="duplicateValues" dxfId="150" priority="48"/>
  </conditionalFormatting>
  <conditionalFormatting sqref="A79:B79">
    <cfRule type="duplicateValues" dxfId="149" priority="37"/>
    <cfRule type="duplicateValues" dxfId="148" priority="38"/>
    <cfRule type="duplicateValues" dxfId="147" priority="39"/>
  </conditionalFormatting>
  <conditionalFormatting sqref="A83:B83">
    <cfRule type="duplicateValues" dxfId="146" priority="28"/>
    <cfRule type="duplicateValues" dxfId="145" priority="29"/>
    <cfRule type="duplicateValues" dxfId="144" priority="30"/>
  </conditionalFormatting>
  <conditionalFormatting sqref="A85:B85">
    <cfRule type="duplicateValues" dxfId="143" priority="19"/>
    <cfRule type="duplicateValues" dxfId="142" priority="20"/>
    <cfRule type="duplicateValues" dxfId="141" priority="21"/>
  </conditionalFormatting>
  <conditionalFormatting sqref="B89">
    <cfRule type="duplicateValues" dxfId="140" priority="6"/>
    <cfRule type="duplicateValues" dxfId="139" priority="7"/>
    <cfRule type="duplicateValues" dxfId="138" priority="8"/>
  </conditionalFormatting>
  <conditionalFormatting sqref="C2">
    <cfRule type="duplicateValues" dxfId="137" priority="249"/>
    <cfRule type="duplicateValues" dxfId="136" priority="251"/>
    <cfRule type="duplicateValues" dxfId="135" priority="252"/>
  </conditionalFormatting>
  <conditionalFormatting sqref="C5">
    <cfRule type="duplicateValues" dxfId="134" priority="240"/>
    <cfRule type="duplicateValues" dxfId="133" priority="242"/>
    <cfRule type="duplicateValues" dxfId="132" priority="243"/>
  </conditionalFormatting>
  <conditionalFormatting sqref="C12">
    <cfRule type="duplicateValues" dxfId="131" priority="231"/>
    <cfRule type="duplicateValues" dxfId="130" priority="233"/>
    <cfRule type="duplicateValues" dxfId="129" priority="234"/>
  </conditionalFormatting>
  <conditionalFormatting sqref="C15">
    <cfRule type="duplicateValues" dxfId="128" priority="222"/>
    <cfRule type="duplicateValues" dxfId="127" priority="224"/>
    <cfRule type="duplicateValues" dxfId="126" priority="225"/>
  </conditionalFormatting>
  <conditionalFormatting sqref="C18">
    <cfRule type="duplicateValues" dxfId="125" priority="213"/>
    <cfRule type="duplicateValues" dxfId="124" priority="215"/>
    <cfRule type="duplicateValues" dxfId="123" priority="216"/>
  </conditionalFormatting>
  <conditionalFormatting sqref="C20">
    <cfRule type="duplicateValues" dxfId="122" priority="204"/>
    <cfRule type="duplicateValues" dxfId="121" priority="206"/>
    <cfRule type="duplicateValues" dxfId="120" priority="207"/>
  </conditionalFormatting>
  <conditionalFormatting sqref="C23">
    <cfRule type="duplicateValues" dxfId="119" priority="195"/>
    <cfRule type="duplicateValues" dxfId="118" priority="197"/>
    <cfRule type="duplicateValues" dxfId="117" priority="198"/>
  </conditionalFormatting>
  <conditionalFormatting sqref="C25">
    <cfRule type="duplicateValues" dxfId="116" priority="186"/>
    <cfRule type="duplicateValues" dxfId="115" priority="188"/>
    <cfRule type="duplicateValues" dxfId="114" priority="189"/>
  </conditionalFormatting>
  <conditionalFormatting sqref="C29">
    <cfRule type="duplicateValues" dxfId="113" priority="177"/>
    <cfRule type="duplicateValues" dxfId="112" priority="179"/>
    <cfRule type="duplicateValues" dxfId="111" priority="180"/>
  </conditionalFormatting>
  <conditionalFormatting sqref="C32">
    <cfRule type="duplicateValues" dxfId="110" priority="168"/>
    <cfRule type="duplicateValues" dxfId="109" priority="170"/>
    <cfRule type="duplicateValues" dxfId="108" priority="171"/>
  </conditionalFormatting>
  <conditionalFormatting sqref="C33">
    <cfRule type="duplicateValues" dxfId="107" priority="159"/>
    <cfRule type="duplicateValues" dxfId="106" priority="161"/>
    <cfRule type="duplicateValues" dxfId="105" priority="162"/>
  </conditionalFormatting>
  <conditionalFormatting sqref="C40">
    <cfRule type="duplicateValues" dxfId="104" priority="150"/>
    <cfRule type="duplicateValues" dxfId="103" priority="152"/>
    <cfRule type="duplicateValues" dxfId="102" priority="153"/>
  </conditionalFormatting>
  <conditionalFormatting sqref="C42">
    <cfRule type="duplicateValues" dxfId="101" priority="141"/>
    <cfRule type="duplicateValues" dxfId="100" priority="143"/>
    <cfRule type="duplicateValues" dxfId="99" priority="144"/>
  </conditionalFormatting>
  <conditionalFormatting sqref="C43">
    <cfRule type="duplicateValues" dxfId="98" priority="132"/>
    <cfRule type="duplicateValues" dxfId="97" priority="134"/>
    <cfRule type="duplicateValues" dxfId="96" priority="135"/>
  </conditionalFormatting>
  <conditionalFormatting sqref="C46">
    <cfRule type="duplicateValues" dxfId="95" priority="123"/>
    <cfRule type="duplicateValues" dxfId="94" priority="125"/>
    <cfRule type="duplicateValues" dxfId="93" priority="126"/>
  </conditionalFormatting>
  <conditionalFormatting sqref="C48">
    <cfRule type="duplicateValues" dxfId="92" priority="114"/>
    <cfRule type="duplicateValues" dxfId="91" priority="116"/>
    <cfRule type="duplicateValues" dxfId="90" priority="117"/>
  </conditionalFormatting>
  <conditionalFormatting sqref="C53">
    <cfRule type="duplicateValues" dxfId="89" priority="105"/>
    <cfRule type="duplicateValues" dxfId="88" priority="107"/>
    <cfRule type="duplicateValues" dxfId="87" priority="108"/>
  </conditionalFormatting>
  <conditionalFormatting sqref="C57">
    <cfRule type="duplicateValues" dxfId="86" priority="96"/>
    <cfRule type="duplicateValues" dxfId="85" priority="98"/>
    <cfRule type="duplicateValues" dxfId="84" priority="99"/>
  </conditionalFormatting>
  <conditionalFormatting sqref="C60">
    <cfRule type="duplicateValues" dxfId="83" priority="87"/>
    <cfRule type="duplicateValues" dxfId="82" priority="89"/>
    <cfRule type="duplicateValues" dxfId="81" priority="90"/>
  </conditionalFormatting>
  <conditionalFormatting sqref="C62">
    <cfRule type="duplicateValues" dxfId="80" priority="78"/>
    <cfRule type="duplicateValues" dxfId="79" priority="80"/>
    <cfRule type="duplicateValues" dxfId="78" priority="81"/>
  </conditionalFormatting>
  <conditionalFormatting sqref="C69">
    <cfRule type="duplicateValues" dxfId="77" priority="69"/>
    <cfRule type="duplicateValues" dxfId="76" priority="71"/>
    <cfRule type="duplicateValues" dxfId="75" priority="72"/>
  </conditionalFormatting>
  <conditionalFormatting sqref="C72">
    <cfRule type="duplicateValues" dxfId="74" priority="60"/>
    <cfRule type="duplicateValues" dxfId="73" priority="62"/>
    <cfRule type="duplicateValues" dxfId="72" priority="63"/>
  </conditionalFormatting>
  <conditionalFormatting sqref="C74">
    <cfRule type="duplicateValues" dxfId="71" priority="51"/>
    <cfRule type="duplicateValues" dxfId="70" priority="53"/>
    <cfRule type="duplicateValues" dxfId="69" priority="54"/>
  </conditionalFormatting>
  <conditionalFormatting sqref="C77">
    <cfRule type="duplicateValues" dxfId="68" priority="42"/>
    <cfRule type="duplicateValues" dxfId="67" priority="44"/>
    <cfRule type="duplicateValues" dxfId="66" priority="45"/>
  </conditionalFormatting>
  <conditionalFormatting sqref="C79">
    <cfRule type="duplicateValues" dxfId="65" priority="33"/>
    <cfRule type="duplicateValues" dxfId="64" priority="35"/>
    <cfRule type="duplicateValues" dxfId="63" priority="36"/>
  </conditionalFormatting>
  <conditionalFormatting sqref="C83">
    <cfRule type="duplicateValues" dxfId="62" priority="24"/>
    <cfRule type="duplicateValues" dxfId="61" priority="26"/>
    <cfRule type="duplicateValues" dxfId="60" priority="27"/>
  </conditionalFormatting>
  <conditionalFormatting sqref="C85">
    <cfRule type="duplicateValues" dxfId="59" priority="15"/>
    <cfRule type="duplicateValues" dxfId="58" priority="17"/>
    <cfRule type="duplicateValues" dxfId="57" priority="18"/>
  </conditionalFormatting>
  <conditionalFormatting sqref="C89">
    <cfRule type="duplicateValues" dxfId="56" priority="3"/>
    <cfRule type="duplicateValues" dxfId="55" priority="4"/>
    <cfRule type="duplicateValues" dxfId="54" priority="5"/>
  </conditionalFormatting>
  <conditionalFormatting sqref="F5">
    <cfRule type="duplicateValues" dxfId="53" priority="239"/>
  </conditionalFormatting>
  <conditionalFormatting sqref="F12">
    <cfRule type="duplicateValues" dxfId="52" priority="230"/>
  </conditionalFormatting>
  <conditionalFormatting sqref="F15">
    <cfRule type="duplicateValues" dxfId="51" priority="221"/>
  </conditionalFormatting>
  <conditionalFormatting sqref="F18">
    <cfRule type="duplicateValues" dxfId="50" priority="212"/>
  </conditionalFormatting>
  <conditionalFormatting sqref="F20">
    <cfRule type="duplicateValues" dxfId="49" priority="203"/>
  </conditionalFormatting>
  <conditionalFormatting sqref="F23">
    <cfRule type="duplicateValues" dxfId="48" priority="194"/>
  </conditionalFormatting>
  <conditionalFormatting sqref="F25">
    <cfRule type="duplicateValues" dxfId="47" priority="185"/>
  </conditionalFormatting>
  <conditionalFormatting sqref="F29">
    <cfRule type="duplicateValues" dxfId="46" priority="176"/>
  </conditionalFormatting>
  <conditionalFormatting sqref="F32">
    <cfRule type="duplicateValues" dxfId="45" priority="167"/>
  </conditionalFormatting>
  <conditionalFormatting sqref="F33">
    <cfRule type="duplicateValues" dxfId="44" priority="158"/>
  </conditionalFormatting>
  <conditionalFormatting sqref="F40">
    <cfRule type="duplicateValues" dxfId="43" priority="149"/>
  </conditionalFormatting>
  <conditionalFormatting sqref="F42">
    <cfRule type="duplicateValues" dxfId="42" priority="140"/>
  </conditionalFormatting>
  <conditionalFormatting sqref="F43">
    <cfRule type="duplicateValues" dxfId="41" priority="131"/>
  </conditionalFormatting>
  <conditionalFormatting sqref="F46">
    <cfRule type="duplicateValues" dxfId="40" priority="122"/>
  </conditionalFormatting>
  <conditionalFormatting sqref="F48">
    <cfRule type="duplicateValues" dxfId="39" priority="113"/>
  </conditionalFormatting>
  <conditionalFormatting sqref="F53">
    <cfRule type="duplicateValues" dxfId="38" priority="104"/>
  </conditionalFormatting>
  <conditionalFormatting sqref="F57">
    <cfRule type="duplicateValues" dxfId="37" priority="95"/>
  </conditionalFormatting>
  <conditionalFormatting sqref="F60">
    <cfRule type="duplicateValues" dxfId="36" priority="86"/>
  </conditionalFormatting>
  <conditionalFormatting sqref="F62">
    <cfRule type="duplicateValues" dxfId="35" priority="77"/>
  </conditionalFormatting>
  <conditionalFormatting sqref="F69">
    <cfRule type="duplicateValues" dxfId="34" priority="68"/>
  </conditionalFormatting>
  <conditionalFormatting sqref="F72">
    <cfRule type="duplicateValues" dxfId="33" priority="59"/>
  </conditionalFormatting>
  <conditionalFormatting sqref="F74">
    <cfRule type="duplicateValues" dxfId="32" priority="50"/>
  </conditionalFormatting>
  <conditionalFormatting sqref="F77">
    <cfRule type="duplicateValues" dxfId="31" priority="41"/>
  </conditionalFormatting>
  <conditionalFormatting sqref="F79">
    <cfRule type="duplicateValues" dxfId="30" priority="32"/>
  </conditionalFormatting>
  <conditionalFormatting sqref="F83">
    <cfRule type="duplicateValues" dxfId="29" priority="23"/>
  </conditionalFormatting>
  <conditionalFormatting sqref="F85">
    <cfRule type="duplicateValues" dxfId="28" priority="14"/>
  </conditionalFormatting>
  <conditionalFormatting sqref="F89">
    <cfRule type="duplicateValues" dxfId="27" priority="2"/>
  </conditionalFormatting>
  <conditionalFormatting sqref="F2:J2">
    <cfRule type="duplicateValues" dxfId="26" priority="248"/>
  </conditionalFormatting>
  <conditionalFormatting sqref="P2">
    <cfRule type="cellIs" dxfId="25" priority="247" operator="lessThan">
      <formula>37758</formula>
    </cfRule>
  </conditionalFormatting>
  <conditionalFormatting sqref="P5">
    <cfRule type="cellIs" dxfId="24" priority="238" operator="lessThan">
      <formula>37758</formula>
    </cfRule>
  </conditionalFormatting>
  <conditionalFormatting sqref="P12">
    <cfRule type="cellIs" dxfId="23" priority="229" operator="lessThan">
      <formula>37758</formula>
    </cfRule>
  </conditionalFormatting>
  <conditionalFormatting sqref="P15">
    <cfRule type="cellIs" dxfId="22" priority="220" operator="lessThan">
      <formula>37758</formula>
    </cfRule>
  </conditionalFormatting>
  <conditionalFormatting sqref="P18">
    <cfRule type="cellIs" dxfId="21" priority="211" operator="lessThan">
      <formula>37758</formula>
    </cfRule>
  </conditionalFormatting>
  <conditionalFormatting sqref="P20">
    <cfRule type="cellIs" dxfId="20" priority="202" operator="lessThan">
      <formula>37758</formula>
    </cfRule>
  </conditionalFormatting>
  <conditionalFormatting sqref="P23">
    <cfRule type="cellIs" dxfId="19" priority="193" operator="lessThan">
      <formula>37758</formula>
    </cfRule>
  </conditionalFormatting>
  <conditionalFormatting sqref="P25">
    <cfRule type="cellIs" dxfId="18" priority="184" operator="lessThan">
      <formula>37758</formula>
    </cfRule>
  </conditionalFormatting>
  <conditionalFormatting sqref="P29">
    <cfRule type="cellIs" dxfId="17" priority="175" operator="lessThan">
      <formula>37758</formula>
    </cfRule>
  </conditionalFormatting>
  <conditionalFormatting sqref="P32:P33">
    <cfRule type="cellIs" dxfId="16" priority="157" operator="lessThan">
      <formula>37758</formula>
    </cfRule>
  </conditionalFormatting>
  <conditionalFormatting sqref="P40">
    <cfRule type="cellIs" dxfId="15" priority="148" operator="lessThan">
      <formula>37758</formula>
    </cfRule>
  </conditionalFormatting>
  <conditionalFormatting sqref="P42:P43">
    <cfRule type="cellIs" dxfId="14" priority="130" operator="lessThan">
      <formula>37758</formula>
    </cfRule>
  </conditionalFormatting>
  <conditionalFormatting sqref="P46">
    <cfRule type="cellIs" dxfId="13" priority="121" operator="lessThan">
      <formula>37758</formula>
    </cfRule>
  </conditionalFormatting>
  <conditionalFormatting sqref="P48">
    <cfRule type="cellIs" dxfId="12" priority="112" operator="lessThan">
      <formula>37758</formula>
    </cfRule>
  </conditionalFormatting>
  <conditionalFormatting sqref="P53">
    <cfRule type="cellIs" dxfId="11" priority="103" operator="lessThan">
      <formula>37758</formula>
    </cfRule>
  </conditionalFormatting>
  <conditionalFormatting sqref="P57">
    <cfRule type="cellIs" dxfId="10" priority="94" operator="lessThan">
      <formula>37758</formula>
    </cfRule>
  </conditionalFormatting>
  <conditionalFormatting sqref="P60">
    <cfRule type="cellIs" dxfId="9" priority="85" operator="lessThan">
      <formula>37758</formula>
    </cfRule>
  </conditionalFormatting>
  <conditionalFormatting sqref="P62">
    <cfRule type="cellIs" dxfId="8" priority="76" operator="lessThan">
      <formula>37758</formula>
    </cfRule>
  </conditionalFormatting>
  <conditionalFormatting sqref="P69">
    <cfRule type="cellIs" dxfId="7" priority="67" operator="lessThan">
      <formula>37758</formula>
    </cfRule>
  </conditionalFormatting>
  <conditionalFormatting sqref="P72">
    <cfRule type="cellIs" dxfId="6" priority="58" operator="lessThan">
      <formula>37758</formula>
    </cfRule>
  </conditionalFormatting>
  <conditionalFormatting sqref="P74">
    <cfRule type="cellIs" dxfId="5" priority="49" operator="lessThan">
      <formula>37758</formula>
    </cfRule>
  </conditionalFormatting>
  <conditionalFormatting sqref="P77">
    <cfRule type="cellIs" dxfId="4" priority="40" operator="lessThan">
      <formula>37758</formula>
    </cfRule>
  </conditionalFormatting>
  <conditionalFormatting sqref="P79">
    <cfRule type="cellIs" dxfId="3" priority="31" operator="lessThan">
      <formula>37758</formula>
    </cfRule>
  </conditionalFormatting>
  <conditionalFormatting sqref="P83">
    <cfRule type="cellIs" dxfId="2" priority="22" operator="lessThan">
      <formula>37758</formula>
    </cfRule>
  </conditionalFormatting>
  <conditionalFormatting sqref="P85">
    <cfRule type="cellIs" dxfId="1" priority="13" operator="lessThan">
      <formula>37758</formula>
    </cfRule>
  </conditionalFormatting>
  <conditionalFormatting sqref="P89">
    <cfRule type="cellIs" dxfId="0" priority="1" operator="lessThan">
      <formula>37758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Demography 2</vt:lpstr>
      <vt:lpstr>Sheet2</vt:lpstr>
      <vt:lpstr>Procurement and Repair from 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2025-05-12T11:00:38Z</dcterms:modified>
  <cp:category/>
  <cp:contentStatus/>
</cp:coreProperties>
</file>