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corp1959_ox_ac_uk/Documents/Documents-Publications/Public Engagement Articles/eff in focus/"/>
    </mc:Choice>
  </mc:AlternateContent>
  <xr:revisionPtr revIDLastSave="105" documentId="8_{6C97BE64-8BD3-A14D-90E0-5EA51E1D6916}" xr6:coauthVersionLast="47" xr6:coauthVersionMax="47" xr10:uidLastSave="{90D66DFF-AC98-914B-9EB6-A01623E27215}"/>
  <bookViews>
    <workbookView xWindow="0" yWindow="740" windowWidth="29040" windowHeight="15840" xr2:uid="{F3DC279C-5C0C-4638-87CC-137F14AABDEF}"/>
  </bookViews>
  <sheets>
    <sheet name="Solar Farm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4" l="1"/>
  <c r="B5" i="4"/>
  <c r="D5" i="4" s="1"/>
  <c r="H37" i="4" s="1"/>
  <c r="H36" i="4" l="1"/>
  <c r="H41" i="4"/>
  <c r="H52" i="4"/>
  <c r="H51" i="4"/>
  <c r="H35" i="4"/>
  <c r="H49" i="4"/>
  <c r="H44" i="4"/>
  <c r="H43" i="4"/>
  <c r="H42" i="4"/>
  <c r="H50" i="4"/>
  <c r="H34" i="4"/>
  <c r="H39" i="4"/>
  <c r="H31" i="4"/>
  <c r="H29" i="4"/>
  <c r="H46" i="4"/>
  <c r="H38" i="4"/>
  <c r="H30" i="4"/>
  <c r="H33" i="4"/>
  <c r="H48" i="4"/>
  <c r="H40" i="4"/>
  <c r="H32" i="4"/>
  <c r="H47" i="4"/>
  <c r="H53" i="4"/>
  <c r="H45" i="4"/>
  <c r="N4" i="4" l="1"/>
  <c r="O6" i="4"/>
  <c r="O8" i="4"/>
  <c r="O4" i="4"/>
  <c r="D29" i="4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B29" i="4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24" i="4"/>
  <c r="B6" i="4"/>
  <c r="B8" i="4" s="1"/>
  <c r="C29" i="4" l="1"/>
  <c r="B9" i="4"/>
  <c r="B13" i="4" s="1"/>
  <c r="C30" i="4" l="1"/>
  <c r="N29" i="4"/>
  <c r="E29" i="4"/>
  <c r="F29" i="4" s="1"/>
  <c r="G29" i="4" s="1"/>
  <c r="B15" i="4"/>
  <c r="B16" i="4" s="1"/>
  <c r="I29" i="4" l="1"/>
  <c r="C31" i="4"/>
  <c r="N30" i="4"/>
  <c r="E30" i="4"/>
  <c r="F30" i="4" s="1"/>
  <c r="G30" i="4" s="1"/>
  <c r="I30" i="4" s="1"/>
  <c r="D55" i="4"/>
  <c r="B18" i="4" s="1"/>
  <c r="D18" i="4" s="1"/>
  <c r="C32" i="4" l="1"/>
  <c r="N31" i="4"/>
  <c r="E31" i="4"/>
  <c r="F31" i="4" s="1"/>
  <c r="G31" i="4" s="1"/>
  <c r="I31" i="4" s="1"/>
  <c r="C33" i="4" l="1"/>
  <c r="N32" i="4"/>
  <c r="E32" i="4"/>
  <c r="F32" i="4" s="1"/>
  <c r="G32" i="4" s="1"/>
  <c r="I32" i="4" s="1"/>
  <c r="C34" i="4" l="1"/>
  <c r="N33" i="4"/>
  <c r="E33" i="4"/>
  <c r="F33" i="4" s="1"/>
  <c r="G33" i="4" s="1"/>
  <c r="I33" i="4" s="1"/>
  <c r="C35" i="4" l="1"/>
  <c r="N34" i="4"/>
  <c r="E34" i="4"/>
  <c r="F34" i="4" s="1"/>
  <c r="G34" i="4" s="1"/>
  <c r="I34" i="4" s="1"/>
  <c r="C36" i="4" l="1"/>
  <c r="N35" i="4"/>
  <c r="E35" i="4"/>
  <c r="F35" i="4" s="1"/>
  <c r="G35" i="4" s="1"/>
  <c r="I35" i="4" s="1"/>
  <c r="C37" i="4" l="1"/>
  <c r="N36" i="4"/>
  <c r="E36" i="4"/>
  <c r="F36" i="4" s="1"/>
  <c r="G36" i="4" s="1"/>
  <c r="I36" i="4" s="1"/>
  <c r="C38" i="4" l="1"/>
  <c r="N37" i="4"/>
  <c r="E37" i="4"/>
  <c r="F37" i="4" s="1"/>
  <c r="G37" i="4" s="1"/>
  <c r="I37" i="4" s="1"/>
  <c r="C39" i="4" l="1"/>
  <c r="N38" i="4"/>
  <c r="E38" i="4"/>
  <c r="F38" i="4" s="1"/>
  <c r="G38" i="4" s="1"/>
  <c r="I38" i="4" s="1"/>
  <c r="C40" i="4" l="1"/>
  <c r="N39" i="4"/>
  <c r="E39" i="4"/>
  <c r="F39" i="4" s="1"/>
  <c r="G39" i="4" s="1"/>
  <c r="I39" i="4" s="1"/>
  <c r="C41" i="4" l="1"/>
  <c r="N40" i="4"/>
  <c r="E40" i="4"/>
  <c r="F40" i="4" s="1"/>
  <c r="G40" i="4" s="1"/>
  <c r="I40" i="4" s="1"/>
  <c r="C42" i="4" l="1"/>
  <c r="N41" i="4"/>
  <c r="E41" i="4"/>
  <c r="F41" i="4" s="1"/>
  <c r="G41" i="4" s="1"/>
  <c r="I41" i="4" s="1"/>
  <c r="C43" i="4" l="1"/>
  <c r="N42" i="4"/>
  <c r="E42" i="4"/>
  <c r="F42" i="4" s="1"/>
  <c r="G42" i="4" s="1"/>
  <c r="I42" i="4" s="1"/>
  <c r="C44" i="4" l="1"/>
  <c r="N43" i="4"/>
  <c r="E43" i="4"/>
  <c r="F43" i="4" s="1"/>
  <c r="G43" i="4" s="1"/>
  <c r="I43" i="4" s="1"/>
  <c r="C45" i="4" l="1"/>
  <c r="N44" i="4"/>
  <c r="E44" i="4"/>
  <c r="F44" i="4" s="1"/>
  <c r="G44" i="4" s="1"/>
  <c r="I44" i="4" s="1"/>
  <c r="C46" i="4" l="1"/>
  <c r="N45" i="4"/>
  <c r="E45" i="4"/>
  <c r="F45" i="4" s="1"/>
  <c r="G45" i="4" s="1"/>
  <c r="I45" i="4" s="1"/>
  <c r="C47" i="4" l="1"/>
  <c r="N46" i="4"/>
  <c r="E46" i="4"/>
  <c r="F46" i="4" s="1"/>
  <c r="G46" i="4" s="1"/>
  <c r="I46" i="4" s="1"/>
  <c r="C48" i="4" l="1"/>
  <c r="N47" i="4"/>
  <c r="E47" i="4"/>
  <c r="F47" i="4" s="1"/>
  <c r="G47" i="4" s="1"/>
  <c r="I47" i="4" s="1"/>
  <c r="C49" i="4" l="1"/>
  <c r="N48" i="4"/>
  <c r="E48" i="4"/>
  <c r="F48" i="4" s="1"/>
  <c r="G48" i="4" s="1"/>
  <c r="I48" i="4" s="1"/>
  <c r="C50" i="4" l="1"/>
  <c r="N49" i="4"/>
  <c r="E49" i="4"/>
  <c r="F49" i="4" s="1"/>
  <c r="G49" i="4" s="1"/>
  <c r="I49" i="4" s="1"/>
  <c r="C51" i="4" l="1"/>
  <c r="N50" i="4"/>
  <c r="E50" i="4"/>
  <c r="F50" i="4" s="1"/>
  <c r="G50" i="4" s="1"/>
  <c r="I50" i="4" s="1"/>
  <c r="C52" i="4" l="1"/>
  <c r="N51" i="4"/>
  <c r="E51" i="4"/>
  <c r="F51" i="4" s="1"/>
  <c r="G51" i="4" s="1"/>
  <c r="I51" i="4" s="1"/>
  <c r="C53" i="4" l="1"/>
  <c r="N53" i="4" s="1"/>
  <c r="N52" i="4"/>
  <c r="E52" i="4"/>
  <c r="F52" i="4" s="1"/>
  <c r="G52" i="4" s="1"/>
  <c r="I52" i="4" s="1"/>
  <c r="N55" i="4" l="1"/>
  <c r="K23" i="4" s="1"/>
  <c r="E53" i="4"/>
  <c r="F53" i="4" s="1"/>
  <c r="G53" i="4" s="1"/>
  <c r="I53" i="4" s="1"/>
  <c r="C55" i="4"/>
  <c r="B17" i="4" s="1"/>
  <c r="K24" i="4" l="1"/>
  <c r="D17" i="4"/>
  <c r="J31" i="4"/>
  <c r="J35" i="4"/>
  <c r="J49" i="4"/>
  <c r="J34" i="4"/>
  <c r="J48" i="4"/>
  <c r="J41" i="4"/>
  <c r="J40" i="4"/>
  <c r="J46" i="4"/>
  <c r="J38" i="4"/>
  <c r="J45" i="4"/>
  <c r="J51" i="4"/>
  <c r="J43" i="4"/>
  <c r="J42" i="4"/>
  <c r="J33" i="4"/>
  <c r="J47" i="4"/>
  <c r="J32" i="4"/>
  <c r="J39" i="4"/>
  <c r="J53" i="4"/>
  <c r="J30" i="4"/>
  <c r="J52" i="4"/>
  <c r="J37" i="4"/>
  <c r="J44" i="4"/>
  <c r="J36" i="4"/>
  <c r="J50" i="4"/>
  <c r="J29" i="4" l="1"/>
  <c r="K29" i="4" s="1"/>
  <c r="F23" i="4"/>
  <c r="K20" i="4" s="1"/>
  <c r="K30" i="4" l="1"/>
  <c r="O29" i="4" s="1"/>
  <c r="K31" i="4" l="1"/>
  <c r="O30" i="4" s="1"/>
  <c r="K32" i="4" l="1"/>
  <c r="O31" i="4" l="1"/>
  <c r="K33" i="4"/>
  <c r="O32" i="4" s="1"/>
  <c r="K34" i="4" l="1"/>
  <c r="O33" i="4" s="1"/>
  <c r="K35" i="4" l="1"/>
  <c r="O34" i="4" s="1"/>
  <c r="K36" i="4" l="1"/>
  <c r="O35" i="4" s="1"/>
  <c r="K37" i="4" l="1"/>
  <c r="O36" i="4" s="1"/>
  <c r="K38" i="4" l="1"/>
  <c r="O37" i="4" s="1"/>
  <c r="K39" i="4" l="1"/>
  <c r="O38" i="4" s="1"/>
  <c r="K40" i="4" l="1"/>
  <c r="O39" i="4" s="1"/>
  <c r="K41" i="4" l="1"/>
  <c r="O40" i="4" s="1"/>
  <c r="K42" i="4" l="1"/>
  <c r="O41" i="4" s="1"/>
  <c r="K43" i="4" l="1"/>
  <c r="O42" i="4" s="1"/>
  <c r="K44" i="4" l="1"/>
  <c r="O43" i="4" s="1"/>
  <c r="K45" i="4" l="1"/>
  <c r="O44" i="4" s="1"/>
  <c r="K46" i="4" l="1"/>
  <c r="O45" i="4" s="1"/>
  <c r="K47" i="4" l="1"/>
  <c r="O46" i="4" s="1"/>
  <c r="K48" i="4" l="1"/>
  <c r="O47" i="4" s="1"/>
  <c r="K49" i="4" l="1"/>
  <c r="O48" i="4" s="1"/>
  <c r="K50" i="4" l="1"/>
  <c r="O49" i="4" s="1"/>
  <c r="K51" i="4" l="1"/>
  <c r="O50" i="4" s="1"/>
  <c r="K52" i="4" l="1"/>
  <c r="O51" i="4" s="1"/>
  <c r="K53" i="4" l="1"/>
  <c r="K22" i="4" s="1"/>
  <c r="O52" i="4" l="1"/>
  <c r="O53" i="4"/>
  <c r="F22" i="4"/>
  <c r="F25" i="4"/>
  <c r="K21" i="4" s="1"/>
</calcChain>
</file>

<file path=xl/sharedStrings.xml><?xml version="1.0" encoding="utf-8"?>
<sst xmlns="http://schemas.openxmlformats.org/spreadsheetml/2006/main" count="86" uniqueCount="71">
  <si>
    <t>kW</t>
  </si>
  <si>
    <t>W</t>
  </si>
  <si>
    <t>£</t>
  </si>
  <si>
    <t>L</t>
  </si>
  <si>
    <t>Efficiency</t>
  </si>
  <si>
    <t>Panel Size</t>
  </si>
  <si>
    <t>£/kWh</t>
  </si>
  <si>
    <t>Cash Flow</t>
  </si>
  <si>
    <t>Discounted</t>
  </si>
  <si>
    <t>Net</t>
  </si>
  <si>
    <t>IRR</t>
  </si>
  <si>
    <t>CO2 saved</t>
  </si>
  <si>
    <t>https://www.epa.gov/energy/greenhouse-gas-equivalencies-calculator#results</t>
  </si>
  <si>
    <t>eff</t>
  </si>
  <si>
    <t>NPV</t>
  </si>
  <si>
    <t>CO2 save/yr (t)</t>
  </si>
  <si>
    <t>Pay Back Yr</t>
  </si>
  <si>
    <t>https://ourworldindata.org/grapher/carbon-intensity-electricity?tab=chart&amp;country=~GBR</t>
  </si>
  <si>
    <t>ROI</t>
  </si>
  <si>
    <t xml:space="preserve">Efficiency of Solar Module </t>
  </si>
  <si>
    <t>Area available for installation</t>
  </si>
  <si>
    <t>square meters</t>
  </si>
  <si>
    <t>Total Power Rating of Installation</t>
  </si>
  <si>
    <t>meters</t>
  </si>
  <si>
    <t>Module Power Rating</t>
  </si>
  <si>
    <t>Watts</t>
  </si>
  <si>
    <t>Number of Panels to Install</t>
  </si>
  <si>
    <t>kWh</t>
  </si>
  <si>
    <t>(low limit)</t>
  </si>
  <si>
    <t>(high limit)</t>
  </si>
  <si>
    <t>Cost of each solar module</t>
  </si>
  <si>
    <t>Cost of panels</t>
  </si>
  <si>
    <t>Cost of inverter (3-4kW size)</t>
  </si>
  <si>
    <t>Cost of installation, cabling, fixtures</t>
  </si>
  <si>
    <t>Total Cost of Solar installation (year 0)</t>
  </si>
  <si>
    <t>Total Energy in 25 Years</t>
  </si>
  <si>
    <t>Generation High</t>
  </si>
  <si>
    <t>Generation Low</t>
  </si>
  <si>
    <t>Cost of Electricity high</t>
  </si>
  <si>
    <t>Cost of Electricity low</t>
  </si>
  <si>
    <t xml:space="preserve">Rate paid by utility for energy export </t>
  </si>
  <si>
    <t>Return on Investment</t>
  </si>
  <si>
    <t>Rate of Return</t>
  </si>
  <si>
    <t>Rate of capital depreciation</t>
  </si>
  <si>
    <t>Inflation rate</t>
  </si>
  <si>
    <t>Export Cash in</t>
  </si>
  <si>
    <t>Percentage of Energy use at home</t>
  </si>
  <si>
    <t>Percentage of Energy sold to utility</t>
  </si>
  <si>
    <t>Energy Used</t>
  </si>
  <si>
    <t>Year</t>
  </si>
  <si>
    <t>CO2 intensity of the grid g/kWh</t>
  </si>
  <si>
    <t>Average Tons of C)2 save each year</t>
  </si>
  <si>
    <t>Net present value of investment</t>
  </si>
  <si>
    <t>Input Data</t>
  </si>
  <si>
    <t>Calculated</t>
  </si>
  <si>
    <t>Project Indicators</t>
  </si>
  <si>
    <t>MWh/yr</t>
  </si>
  <si>
    <t xml:space="preserve">Energy Sold MWh </t>
  </si>
  <si>
    <t>Module Degradation Rate</t>
  </si>
  <si>
    <t>Relative/year</t>
  </si>
  <si>
    <t>Typical cost of a 100 MW plant</t>
  </si>
  <si>
    <t>Pay back</t>
  </si>
  <si>
    <t>LCOE</t>
  </si>
  <si>
    <t>MW</t>
  </si>
  <si>
    <t>Maintenance</t>
  </si>
  <si>
    <t>Maintenance cost (£/MWp)</t>
  </si>
  <si>
    <t>Energy Generated by 1 kWp/year</t>
  </si>
  <si>
    <t>MWh</t>
  </si>
  <si>
    <t>£/MWh</t>
  </si>
  <si>
    <t>LCOE (p/MWh)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</si>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</sst>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£&quot;* #,##0.00_);_(&quot;£&quot;* \(#,##0.00\);_(&quot;£&quot;* &quot;-&quot;??_);_(@_)"/>
    <numFmt numFmtId="164" formatCode="&quot;£&quot;#,##0;[Red]\-&quot;£&quot;#,##0"/>
    <numFmt numFmtId="165" formatCode="&quot;£&quot;#,##0.00;[Red]\-&quot;£&quot;#,##0.00"/>
    <numFmt numFmtId="166" formatCode="0.000%"/>
    <numFmt numFmtId="167" formatCode="_(&quot;£&quot;* #,##0.000_);_(&quot;£&quot;* \(#,##0.000\);_(&quot;£&quot;* &quot;-&quot;??_);_(@_)"/>
    <numFmt numFmtId="168" formatCode="_(&quot;£&quot;* #,##0.0000_);_(&quot;£&quot;* \(#,##0.0000\);_(&quot;£&quot;* &quot;-&quot;??_);_(@_)"/>
    <numFmt numFmtId="169" formatCode="0.000E+00"/>
    <numFmt numFmtId="172" formatCode="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3" borderId="1" applyNumberFormat="0" applyAlignment="0" applyProtection="0"/>
    <xf numFmtId="0" fontId="1" fillId="4" borderId="0" applyNumberFormat="0" applyBorder="0" applyAlignment="0" applyProtection="0"/>
  </cellStyleXfs>
  <cellXfs count="38">
    <xf numFmtId="0" fontId="0" fillId="0" borderId="0" xfId="0"/>
    <xf numFmtId="165" fontId="0" fillId="0" borderId="0" xfId="0" applyNumberFormat="1"/>
    <xf numFmtId="164" fontId="0" fillId="0" borderId="0" xfId="0" applyNumberFormat="1"/>
    <xf numFmtId="44" fontId="0" fillId="0" borderId="0" xfId="1" applyFont="1"/>
    <xf numFmtId="0" fontId="2" fillId="0" borderId="0" xfId="3"/>
    <xf numFmtId="0" fontId="0" fillId="2" borderId="0" xfId="0" applyFill="1"/>
    <xf numFmtId="165" fontId="0" fillId="2" borderId="0" xfId="0" applyNumberFormat="1" applyFill="1"/>
    <xf numFmtId="4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0" fontId="0" fillId="0" borderId="0" xfId="2" applyNumberFormat="1" applyFont="1"/>
    <xf numFmtId="166" fontId="0" fillId="0" borderId="0" xfId="2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2" fontId="3" fillId="0" borderId="0" xfId="0" applyNumberFormat="1" applyFont="1"/>
    <xf numFmtId="11" fontId="0" fillId="0" borderId="0" xfId="0" applyNumberFormat="1"/>
    <xf numFmtId="0" fontId="3" fillId="5" borderId="0" xfId="0" applyFont="1" applyFill="1"/>
    <xf numFmtId="10" fontId="1" fillId="4" borderId="0" xfId="5" applyNumberFormat="1"/>
    <xf numFmtId="0" fontId="1" fillId="4" borderId="0" xfId="5"/>
    <xf numFmtId="11" fontId="1" fillId="4" borderId="0" xfId="5" applyNumberFormat="1"/>
    <xf numFmtId="0" fontId="4" fillId="3" borderId="1" xfId="4"/>
    <xf numFmtId="44" fontId="1" fillId="4" borderId="0" xfId="5" applyNumberFormat="1"/>
    <xf numFmtId="44" fontId="4" fillId="3" borderId="1" xfId="4" applyNumberFormat="1"/>
    <xf numFmtId="168" fontId="4" fillId="3" borderId="1" xfId="4" applyNumberFormat="1"/>
    <xf numFmtId="167" fontId="4" fillId="3" borderId="1" xfId="4" applyNumberFormat="1"/>
    <xf numFmtId="9" fontId="1" fillId="4" borderId="0" xfId="5" applyNumberFormat="1"/>
    <xf numFmtId="9" fontId="4" fillId="3" borderId="1" xfId="4" applyNumberFormat="1"/>
    <xf numFmtId="10" fontId="4" fillId="3" borderId="1" xfId="4" applyNumberFormat="1"/>
    <xf numFmtId="165" fontId="4" fillId="3" borderId="1" xfId="4" applyNumberFormat="1"/>
    <xf numFmtId="0" fontId="5" fillId="0" borderId="0" xfId="0" applyFont="1"/>
    <xf numFmtId="169" fontId="4" fillId="3" borderId="1" xfId="4" applyNumberFormat="1"/>
    <xf numFmtId="10" fontId="0" fillId="0" borderId="0" xfId="0" applyNumberFormat="1"/>
    <xf numFmtId="0" fontId="0" fillId="0" borderId="0" xfId="1" applyNumberFormat="1" applyFont="1"/>
    <xf numFmtId="168" fontId="0" fillId="0" borderId="0" xfId="0" applyNumberFormat="1"/>
    <xf numFmtId="0" fontId="5" fillId="5" borderId="0" xfId="0" applyFont="1" applyFill="1" applyAlignment="1">
      <alignment horizontal="center"/>
    </xf>
    <xf numFmtId="172" fontId="4" fillId="3" borderId="1" xfId="4" applyNumberFormat="1"/>
    <xf numFmtId="0" fontId="0" fillId="0" borderId="0" xfId="0" applyAlignment="1">
      <alignment horizontal="center"/>
    </xf>
    <xf numFmtId="10" fontId="0" fillId="0" borderId="0" xfId="1" applyNumberFormat="1" applyFont="1"/>
  </cellXfs>
  <cellStyles count="6">
    <cellStyle name="20% - Accent1" xfId="5" builtinId="30"/>
    <cellStyle name="Calculation" xfId="4" builtinId="22"/>
    <cellStyle name="Currency" xfId="1" builtinId="4"/>
    <cellStyle name="Hyperlink" xfId="3" builtinId="8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F222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69767765676126"/>
          <c:y val="3.0858408324581529E-2"/>
          <c:w val="0.65288192476252771"/>
          <c:h val="0.79947498015913387"/>
        </c:manualLayout>
      </c:layout>
      <c:scatterChart>
        <c:scatterStyle val="smoothMarker"/>
        <c:varyColors val="0"/>
        <c:ser>
          <c:idx val="1"/>
          <c:order val="0"/>
          <c:tx>
            <c:v>Cost of Electricity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'Solar Farm'!$O$3:$O$9</c:f>
              <c:numCache>
                <c:formatCode>General</c:formatCode>
                <c:ptCount val="7"/>
                <c:pt idx="0">
                  <c:v>21</c:v>
                </c:pt>
                <c:pt idx="1">
                  <c:v>21.5</c:v>
                </c:pt>
                <c:pt idx="2">
                  <c:v>22</c:v>
                </c:pt>
                <c:pt idx="3">
                  <c:v>22.5</c:v>
                </c:pt>
                <c:pt idx="4">
                  <c:v>23</c:v>
                </c:pt>
                <c:pt idx="5">
                  <c:v>23.5</c:v>
                </c:pt>
                <c:pt idx="6">
                  <c:v>24</c:v>
                </c:pt>
              </c:numCache>
            </c:numRef>
          </c:xVal>
          <c:yVal>
            <c:numRef>
              <c:f>'Solar Farm'!$T$3:$T$9</c:f>
              <c:numCache>
                <c:formatCode>General</c:formatCode>
                <c:ptCount val="7"/>
                <c:pt idx="0">
                  <c:v>16.527081702212495</c:v>
                </c:pt>
                <c:pt idx="1">
                  <c:v>16.142730964951738</c:v>
                </c:pt>
                <c:pt idx="2">
                  <c:v>15.775850715748289</c:v>
                </c:pt>
                <c:pt idx="3">
                  <c:v>15.425276255398328</c:v>
                </c:pt>
                <c:pt idx="4">
                  <c:v>15.089944162889671</c:v>
                </c:pt>
                <c:pt idx="5">
                  <c:v>14.768881521126064</c:v>
                </c:pt>
                <c:pt idx="6">
                  <c:v>14.461196489435935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E3-4877-811F-4BBEE2CCF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718896"/>
        <c:axId val="2105720624"/>
      </c:scatterChart>
      <c:scatterChart>
        <c:scatterStyle val="smoothMarker"/>
        <c:varyColors val="0"/>
        <c:ser>
          <c:idx val="2"/>
          <c:order val="1"/>
          <c:tx>
            <c:v>CO2 emissions saved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'Solar Farm'!$O$3:$O$9</c:f>
              <c:numCache>
                <c:formatCode>General</c:formatCode>
                <c:ptCount val="7"/>
                <c:pt idx="0">
                  <c:v>21</c:v>
                </c:pt>
                <c:pt idx="1">
                  <c:v>21.5</c:v>
                </c:pt>
                <c:pt idx="2">
                  <c:v>22</c:v>
                </c:pt>
                <c:pt idx="3">
                  <c:v>22.5</c:v>
                </c:pt>
                <c:pt idx="4">
                  <c:v>23</c:v>
                </c:pt>
                <c:pt idx="5">
                  <c:v>23.5</c:v>
                </c:pt>
                <c:pt idx="6">
                  <c:v>24</c:v>
                </c:pt>
              </c:numCache>
            </c:numRef>
          </c:xVal>
          <c:yVal>
            <c:numRef>
              <c:f>'Solar Farm'!$S$3:$S$9</c:f>
              <c:numCache>
                <c:formatCode>General</c:formatCode>
                <c:ptCount val="7"/>
                <c:pt idx="0">
                  <c:v>24202.699980992496</c:v>
                </c:pt>
                <c:pt idx="1">
                  <c:v>24778.954742444712</c:v>
                </c:pt>
                <c:pt idx="2">
                  <c:v>25355.20950389692</c:v>
                </c:pt>
                <c:pt idx="3">
                  <c:v>25931.46426534911</c:v>
                </c:pt>
                <c:pt idx="4">
                  <c:v>26507.719026801315</c:v>
                </c:pt>
                <c:pt idx="5">
                  <c:v>27083.973788253512</c:v>
                </c:pt>
                <c:pt idx="6">
                  <c:v>27660.22854970572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E3-4877-811F-4BBEE2CCF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634544"/>
        <c:axId val="1167593184"/>
      </c:scatterChart>
      <c:valAx>
        <c:axId val="2105718896"/>
        <c:scaling>
          <c:orientation val="minMax"/>
          <c:max val="24"/>
          <c:min val="2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Solar Module Efficiency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5720624"/>
        <c:crosses val="autoZero"/>
        <c:crossBetween val="midCat"/>
      </c:valAx>
      <c:valAx>
        <c:axId val="2105720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Cost of Electricity </a:t>
                </a:r>
                <a:br>
                  <a:rPr lang="en-GB"/>
                </a:br>
                <a:r>
                  <a:rPr lang="en-GB"/>
                  <a:t>(£ /MWh)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5718896"/>
        <c:crosses val="autoZero"/>
        <c:crossBetween val="midCat"/>
      </c:valAx>
      <c:valAx>
        <c:axId val="11675931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CO2</a:t>
                </a:r>
                <a:r>
                  <a:rPr lang="en-GB" baseline="0"/>
                  <a:t> emissions saved (tonnes/year)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01634544"/>
        <c:crosses val="max"/>
        <c:crossBetween val="midCat"/>
      </c:valAx>
      <c:valAx>
        <c:axId val="1201634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759318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l"/>
      <c:layout>
        <c:manualLayout>
          <c:xMode val="edge"/>
          <c:yMode val="edge"/>
          <c:x val="0.3474370445521125"/>
          <c:y val="0.62990746237755957"/>
          <c:w val="0.36786415028761915"/>
          <c:h val="0.1676285542135629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77554160448838"/>
          <c:y val="6.6272887747390707E-2"/>
          <c:w val="0.65455481154962003"/>
          <c:h val="0.7534685653118034"/>
        </c:manualLayout>
      </c:layout>
      <c:scatterChart>
        <c:scatterStyle val="smoothMarker"/>
        <c:varyColors val="0"/>
        <c:ser>
          <c:idx val="1"/>
          <c:order val="0"/>
          <c:tx>
            <c:v>NPV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'Solar Farm'!$O$3:$O$9</c:f>
              <c:numCache>
                <c:formatCode>General</c:formatCode>
                <c:ptCount val="7"/>
                <c:pt idx="0">
                  <c:v>21</c:v>
                </c:pt>
                <c:pt idx="1">
                  <c:v>21.5</c:v>
                </c:pt>
                <c:pt idx="2">
                  <c:v>22</c:v>
                </c:pt>
                <c:pt idx="3">
                  <c:v>22.5</c:v>
                </c:pt>
                <c:pt idx="4">
                  <c:v>23</c:v>
                </c:pt>
                <c:pt idx="5">
                  <c:v>23.5</c:v>
                </c:pt>
                <c:pt idx="6">
                  <c:v>24</c:v>
                </c:pt>
              </c:numCache>
            </c:numRef>
          </c:xVal>
          <c:yVal>
            <c:numRef>
              <c:f>'Solar Farm'!$Q$3:$Q$9</c:f>
              <c:numCache>
                <c:formatCode>General</c:formatCode>
                <c:ptCount val="7"/>
                <c:pt idx="0">
                  <c:v>26.501027098622419</c:v>
                </c:pt>
                <c:pt idx="1">
                  <c:v>28.084384886684862</c:v>
                </c:pt>
                <c:pt idx="2">
                  <c:v>29.667742674747323</c:v>
                </c:pt>
                <c:pt idx="3">
                  <c:v>31.251100462809738</c:v>
                </c:pt>
                <c:pt idx="4">
                  <c:v>32.834458250872167</c:v>
                </c:pt>
                <c:pt idx="5">
                  <c:v>34.417816038934589</c:v>
                </c:pt>
                <c:pt idx="6">
                  <c:v>36.001173826997039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2B-476C-86D3-C38CE733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718896"/>
        <c:axId val="2105720624"/>
      </c:scatterChart>
      <c:scatterChart>
        <c:scatterStyle val="smoothMarker"/>
        <c:varyColors val="0"/>
        <c:ser>
          <c:idx val="2"/>
          <c:order val="1"/>
          <c:tx>
            <c:v>Payback Time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'Solar Farm'!$O$3:$O$9</c:f>
              <c:numCache>
                <c:formatCode>General</c:formatCode>
                <c:ptCount val="7"/>
                <c:pt idx="0">
                  <c:v>21</c:v>
                </c:pt>
                <c:pt idx="1">
                  <c:v>21.5</c:v>
                </c:pt>
                <c:pt idx="2">
                  <c:v>22</c:v>
                </c:pt>
                <c:pt idx="3">
                  <c:v>22.5</c:v>
                </c:pt>
                <c:pt idx="4">
                  <c:v>23</c:v>
                </c:pt>
                <c:pt idx="5">
                  <c:v>23.5</c:v>
                </c:pt>
                <c:pt idx="6">
                  <c:v>24</c:v>
                </c:pt>
              </c:numCache>
            </c:numRef>
          </c:xVal>
          <c:yVal>
            <c:numRef>
              <c:f>'Solar Farm'!$R$3:$R$9</c:f>
              <c:numCache>
                <c:formatCode>General</c:formatCode>
                <c:ptCount val="7"/>
                <c:pt idx="0">
                  <c:v>12.323449280631607</c:v>
                </c:pt>
                <c:pt idx="1">
                  <c:v>11.9641859266771</c:v>
                </c:pt>
                <c:pt idx="2">
                  <c:v>11.621252725175069</c:v>
                </c:pt>
                <c:pt idx="3">
                  <c:v>11.293560999295359</c:v>
                </c:pt>
                <c:pt idx="4">
                  <c:v>10.980116739758238</c:v>
                </c:pt>
                <c:pt idx="5">
                  <c:v>10.680010533818445</c:v>
                </c:pt>
                <c:pt idx="6">
                  <c:v>10.392408753126139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2B-476C-86D3-C38CE733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634544"/>
        <c:axId val="1167593184"/>
      </c:scatterChart>
      <c:valAx>
        <c:axId val="2105718896"/>
        <c:scaling>
          <c:orientation val="minMax"/>
          <c:max val="24"/>
          <c:min val="2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Solar Module Efficiency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5720624"/>
        <c:crosses val="autoZero"/>
        <c:crossBetween val="midCat"/>
      </c:valAx>
      <c:valAx>
        <c:axId val="2105720624"/>
        <c:scaling>
          <c:orientation val="minMax"/>
          <c:min val="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Net Present Value (£M)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&quot;£&quot;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5718896"/>
        <c:crosses val="autoZero"/>
        <c:crossBetween val="midCat"/>
      </c:valAx>
      <c:valAx>
        <c:axId val="1167593184"/>
        <c:scaling>
          <c:orientation val="minMax"/>
          <c:max val="12.5"/>
          <c:min val="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Pay back Time (years)</a:t>
                </a:r>
              </a:p>
            </c:rich>
          </c:tx>
          <c:layout>
            <c:manualLayout>
              <c:xMode val="edge"/>
              <c:yMode val="edge"/>
              <c:x val="0.92478791580845843"/>
              <c:y val="0.131050588010459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01634544"/>
        <c:crosses val="max"/>
        <c:crossBetween val="midCat"/>
      </c:valAx>
      <c:valAx>
        <c:axId val="1201634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759318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l"/>
      <c:layout>
        <c:manualLayout>
          <c:xMode val="edge"/>
          <c:yMode val="edge"/>
          <c:x val="0.34890360570547829"/>
          <c:y val="0.60139919529888319"/>
          <c:w val="0.28575766821107002"/>
          <c:h val="0.1577599597175225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455563</xdr:colOff>
      <xdr:row>28</xdr:row>
      <xdr:rowOff>76153</xdr:rowOff>
    </xdr:from>
    <xdr:to>
      <xdr:col>27</xdr:col>
      <xdr:colOff>556846</xdr:colOff>
      <xdr:row>40</xdr:row>
      <xdr:rowOff>50639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6CBB3D-19F8-4849-9F4B-27400A30FD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556846</xdr:colOff>
      <xdr:row>27</xdr:row>
      <xdr:rowOff>190499</xdr:rowOff>
    </xdr:from>
    <xdr:to>
      <xdr:col>21</xdr:col>
      <xdr:colOff>490904</xdr:colOff>
      <xdr:row>40</xdr:row>
      <xdr:rowOff>33618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CBEA2C-0902-45C9-BB15-0BA2FAE32B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urworldindata.org/grapher/carbon-intensity-electricity?tab=chart&amp;country=~GBR" TargetMode="External"/><Relationship Id="rId1" Type="http://schemas.openxmlformats.org/officeDocument/2006/relationships/hyperlink" Target="https://www.epa.gov/energy/greenhouse-gas-equivalencies-calculato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904E-4DE8-A446-BFCE-677D92B5019A}">
  <dimension ref="A1:T72"/>
  <sheetViews>
    <sheetView tabSelected="1" zoomScaleNormal="115" workbookViewId="0">
      <selection activeCell="F67" sqref="F67"/>
    </sheetView>
  </sheetViews>
  <sheetFormatPr baseColWidth="10" defaultColWidth="8.83203125" defaultRowHeight="15" x14ac:dyDescent="0.2"/>
  <cols>
    <col min="1" max="1" width="36" bestFit="1" customWidth="1"/>
    <col min="2" max="2" width="16.83203125" customWidth="1"/>
    <col min="3" max="3" width="14.6640625" customWidth="1"/>
    <col min="4" max="4" width="15.33203125" bestFit="1" customWidth="1"/>
    <col min="5" max="5" width="12.6640625" customWidth="1"/>
    <col min="6" max="6" width="16.1640625" customWidth="1"/>
    <col min="7" max="8" width="14.83203125" customWidth="1"/>
    <col min="9" max="9" width="15.1640625" bestFit="1" customWidth="1"/>
    <col min="10" max="10" width="15.1640625" customWidth="1"/>
    <col min="11" max="11" width="16.1640625" bestFit="1" customWidth="1"/>
    <col min="12" max="12" width="5" bestFit="1" customWidth="1"/>
    <col min="13" max="13" width="4.33203125" customWidth="1"/>
    <col min="14" max="14" width="12.33203125" bestFit="1" customWidth="1"/>
    <col min="16" max="16" width="9.83203125" customWidth="1"/>
    <col min="18" max="18" width="11" bestFit="1" customWidth="1"/>
    <col min="19" max="19" width="14.5" bestFit="1" customWidth="1"/>
    <col min="21" max="21" width="9.5" customWidth="1"/>
    <col min="23" max="24" width="11" bestFit="1" customWidth="1"/>
    <col min="27" max="27" width="11.1640625" bestFit="1" customWidth="1"/>
  </cols>
  <sheetData>
    <row r="1" spans="1:20" x14ac:dyDescent="0.2">
      <c r="D1" s="18" t="s">
        <v>53</v>
      </c>
      <c r="E1" s="20" t="s">
        <v>54</v>
      </c>
    </row>
    <row r="2" spans="1:20" x14ac:dyDescent="0.2">
      <c r="A2" s="16" t="s">
        <v>19</v>
      </c>
      <c r="B2" s="17">
        <v>0.24</v>
      </c>
      <c r="O2" s="12" t="s">
        <v>13</v>
      </c>
      <c r="P2" s="12" t="s">
        <v>10</v>
      </c>
      <c r="Q2" s="12" t="s">
        <v>14</v>
      </c>
      <c r="R2" s="12" t="s">
        <v>16</v>
      </c>
      <c r="S2" s="12" t="s">
        <v>15</v>
      </c>
      <c r="T2" s="12" t="s">
        <v>69</v>
      </c>
    </row>
    <row r="3" spans="1:20" x14ac:dyDescent="0.2">
      <c r="A3" s="16" t="s">
        <v>58</v>
      </c>
      <c r="B3" s="17">
        <v>3.0000000000000001E-3</v>
      </c>
      <c r="C3" t="s">
        <v>59</v>
      </c>
      <c r="O3">
        <v>21</v>
      </c>
      <c r="P3" s="10">
        <v>0.11986901993960797</v>
      </c>
      <c r="Q3">
        <v>26.501027098622419</v>
      </c>
      <c r="R3">
        <v>12.323449280631607</v>
      </c>
      <c r="S3">
        <v>24202.699980992496</v>
      </c>
      <c r="T3">
        <v>16.527081702212495</v>
      </c>
    </row>
    <row r="4" spans="1:20" x14ac:dyDescent="0.2">
      <c r="A4" s="16" t="s">
        <v>20</v>
      </c>
      <c r="B4" s="19">
        <v>555600</v>
      </c>
      <c r="C4" t="s">
        <v>21</v>
      </c>
      <c r="N4">
        <f>+Q4-Q3</f>
        <v>1.5833577880624432</v>
      </c>
      <c r="O4">
        <f>+O3+0.5</f>
        <v>21.5</v>
      </c>
      <c r="P4" s="10">
        <v>0.12390028456811408</v>
      </c>
      <c r="Q4">
        <v>28.084384886684862</v>
      </c>
      <c r="R4">
        <v>11.9641859266771</v>
      </c>
      <c r="S4">
        <v>24778.954742444712</v>
      </c>
      <c r="T4">
        <v>16.142730964951738</v>
      </c>
    </row>
    <row r="5" spans="1:20" x14ac:dyDescent="0.2">
      <c r="A5" s="16" t="s">
        <v>22</v>
      </c>
      <c r="B5" s="30">
        <f>B4*B2</f>
        <v>133344</v>
      </c>
      <c r="C5" t="s">
        <v>0</v>
      </c>
      <c r="D5" s="35">
        <f>B5/1000</f>
        <v>133.34399999999999</v>
      </c>
      <c r="E5" t="s">
        <v>63</v>
      </c>
      <c r="G5" s="15"/>
      <c r="H5" s="15"/>
      <c r="K5">
        <f>+N4/25*1000000</f>
        <v>63334.31152249773</v>
      </c>
      <c r="O5">
        <v>22</v>
      </c>
      <c r="P5" s="31">
        <v>0.12792938371589035</v>
      </c>
      <c r="Q5">
        <v>29.667742674747323</v>
      </c>
      <c r="R5">
        <v>11.621252725175069</v>
      </c>
      <c r="S5">
        <v>25355.20950389692</v>
      </c>
      <c r="T5">
        <v>15.775850715748289</v>
      </c>
    </row>
    <row r="6" spans="1:20" x14ac:dyDescent="0.2">
      <c r="A6" s="16" t="s">
        <v>5</v>
      </c>
      <c r="B6" s="20">
        <f>D6*D7</f>
        <v>2</v>
      </c>
      <c r="C6" s="8" t="s">
        <v>3</v>
      </c>
      <c r="D6" s="18">
        <v>1</v>
      </c>
      <c r="E6" t="s">
        <v>23</v>
      </c>
      <c r="O6">
        <f t="shared" ref="O6" si="0">+O5+0.5</f>
        <v>22.5</v>
      </c>
      <c r="P6" s="37">
        <v>0.13195791444401928</v>
      </c>
      <c r="Q6">
        <v>31.251100462809738</v>
      </c>
      <c r="R6">
        <v>11.293560999295359</v>
      </c>
      <c r="S6">
        <v>25931.46426534911</v>
      </c>
      <c r="T6">
        <v>15.425276255398328</v>
      </c>
    </row>
    <row r="7" spans="1:20" x14ac:dyDescent="0.2">
      <c r="A7" s="12"/>
      <c r="C7" s="8" t="s">
        <v>1</v>
      </c>
      <c r="D7" s="18">
        <v>2</v>
      </c>
      <c r="E7" t="s">
        <v>23</v>
      </c>
      <c r="O7">
        <v>23</v>
      </c>
      <c r="P7" s="31">
        <v>0.13598739062969756</v>
      </c>
      <c r="Q7">
        <v>32.834458250872167</v>
      </c>
      <c r="R7">
        <v>10.980116739758238</v>
      </c>
      <c r="S7">
        <v>26507.719026801315</v>
      </c>
      <c r="T7">
        <v>15.089944162889671</v>
      </c>
    </row>
    <row r="8" spans="1:20" x14ac:dyDescent="0.2">
      <c r="A8" s="16" t="s">
        <v>24</v>
      </c>
      <c r="B8" s="20">
        <f>B6*1000*B2</f>
        <v>480</v>
      </c>
      <c r="C8" t="s">
        <v>25</v>
      </c>
      <c r="O8">
        <f t="shared" ref="O8" si="1">+O7+0.5</f>
        <v>23.5</v>
      </c>
      <c r="P8" s="37">
        <v>0.14001924989585457</v>
      </c>
      <c r="Q8">
        <v>34.417816038934589</v>
      </c>
      <c r="R8">
        <v>10.680010533818445</v>
      </c>
      <c r="S8">
        <v>27083.973788253512</v>
      </c>
      <c r="T8">
        <v>14.768881521126064</v>
      </c>
    </row>
    <row r="9" spans="1:20" x14ac:dyDescent="0.2">
      <c r="A9" s="16" t="s">
        <v>26</v>
      </c>
      <c r="B9" s="20">
        <f>ROUND(B5/B8*1000,0)</f>
        <v>277800</v>
      </c>
      <c r="O9">
        <v>24</v>
      </c>
      <c r="P9" s="31">
        <v>0.14405485983032018</v>
      </c>
      <c r="Q9">
        <v>36.001173826997039</v>
      </c>
      <c r="R9">
        <v>10.392408753126139</v>
      </c>
      <c r="S9">
        <v>27660.22854970572</v>
      </c>
      <c r="T9">
        <v>14.461196489435935</v>
      </c>
    </row>
    <row r="10" spans="1:20" x14ac:dyDescent="0.2">
      <c r="A10" s="16" t="s">
        <v>66</v>
      </c>
      <c r="B10" s="18">
        <v>860</v>
      </c>
      <c r="C10" t="s">
        <v>27</v>
      </c>
      <c r="D10" t="s">
        <v>28</v>
      </c>
    </row>
    <row r="11" spans="1:20" x14ac:dyDescent="0.2">
      <c r="A11" s="12"/>
      <c r="B11" s="18">
        <v>980</v>
      </c>
      <c r="C11" t="s">
        <v>27</v>
      </c>
      <c r="D11" t="s">
        <v>29</v>
      </c>
    </row>
    <row r="12" spans="1:20" x14ac:dyDescent="0.2">
      <c r="A12" s="16" t="s">
        <v>30</v>
      </c>
      <c r="B12" s="21">
        <v>100</v>
      </c>
      <c r="C12" t="s">
        <v>2</v>
      </c>
    </row>
    <row r="13" spans="1:20" x14ac:dyDescent="0.2">
      <c r="A13" s="16" t="s">
        <v>31</v>
      </c>
      <c r="B13" s="22">
        <f>B12*B9</f>
        <v>27780000</v>
      </c>
      <c r="C13" t="s">
        <v>2</v>
      </c>
    </row>
    <row r="14" spans="1:20" x14ac:dyDescent="0.2">
      <c r="A14" s="16" t="s">
        <v>32</v>
      </c>
      <c r="B14" s="21">
        <v>2500</v>
      </c>
      <c r="C14" t="s">
        <v>2</v>
      </c>
    </row>
    <row r="15" spans="1:20" x14ac:dyDescent="0.2">
      <c r="A15" s="16" t="s">
        <v>33</v>
      </c>
      <c r="B15" s="22">
        <f>B20-B14-B13</f>
        <v>12217500</v>
      </c>
      <c r="C15" t="s">
        <v>2</v>
      </c>
    </row>
    <row r="16" spans="1:20" x14ac:dyDescent="0.2">
      <c r="A16" s="16" t="s">
        <v>34</v>
      </c>
      <c r="B16" s="22">
        <f>SUM(B13:B15)</f>
        <v>40000000</v>
      </c>
      <c r="C16" t="s">
        <v>2</v>
      </c>
    </row>
    <row r="17" spans="1:17" x14ac:dyDescent="0.2">
      <c r="A17" s="16" t="s">
        <v>38</v>
      </c>
      <c r="B17" s="23">
        <f>+$B$16/C55</f>
        <v>14.461196489435935</v>
      </c>
      <c r="C17" t="s">
        <v>68</v>
      </c>
      <c r="D17" s="23">
        <f>B17/1000</f>
        <v>1.4461196489435935E-2</v>
      </c>
      <c r="E17" t="s">
        <v>6</v>
      </c>
    </row>
    <row r="18" spans="1:17" x14ac:dyDescent="0.2">
      <c r="A18" s="16" t="s">
        <v>39</v>
      </c>
      <c r="B18" s="24">
        <f>+$B$16/D55</f>
        <v>12.69043773562745</v>
      </c>
      <c r="C18" t="s">
        <v>68</v>
      </c>
      <c r="D18" s="24">
        <f>B18/1000</f>
        <v>1.269043773562745E-2</v>
      </c>
      <c r="E18" t="s">
        <v>6</v>
      </c>
    </row>
    <row r="19" spans="1:17" x14ac:dyDescent="0.2">
      <c r="A19" s="12"/>
    </row>
    <row r="20" spans="1:17" x14ac:dyDescent="0.2">
      <c r="A20" s="16" t="s">
        <v>60</v>
      </c>
      <c r="B20" s="21">
        <v>40000000</v>
      </c>
      <c r="J20" t="s">
        <v>10</v>
      </c>
      <c r="K20" s="31">
        <f>+F23</f>
        <v>0.14405485983032018</v>
      </c>
    </row>
    <row r="21" spans="1:17" x14ac:dyDescent="0.2">
      <c r="A21" s="16" t="s">
        <v>65</v>
      </c>
      <c r="B21" s="21">
        <v>20000</v>
      </c>
      <c r="E21" s="34" t="s">
        <v>55</v>
      </c>
      <c r="F21" s="34"/>
      <c r="J21" t="s">
        <v>14</v>
      </c>
      <c r="K21" s="3">
        <f>+F25/1000000</f>
        <v>36.001173826997039</v>
      </c>
    </row>
    <row r="22" spans="1:17" x14ac:dyDescent="0.2">
      <c r="E22" s="12" t="s">
        <v>18</v>
      </c>
      <c r="F22" s="27">
        <f>K53/B16</f>
        <v>0.9000293456749261</v>
      </c>
      <c r="G22" t="s">
        <v>41</v>
      </c>
      <c r="J22" t="s">
        <v>61</v>
      </c>
      <c r="K22">
        <f>+INTERCEPT(L29:L53,K29:K53)</f>
        <v>10.392408753126139</v>
      </c>
    </row>
    <row r="23" spans="1:17" x14ac:dyDescent="0.2">
      <c r="A23" s="16" t="s">
        <v>46</v>
      </c>
      <c r="B23" s="25">
        <v>0</v>
      </c>
      <c r="E23" s="12" t="s">
        <v>10</v>
      </c>
      <c r="F23" s="27">
        <f>IRR(I29:I53)</f>
        <v>0.14405485983032018</v>
      </c>
      <c r="G23" t="s">
        <v>42</v>
      </c>
      <c r="J23" t="s">
        <v>11</v>
      </c>
      <c r="K23" s="32">
        <f>+N55</f>
        <v>27660.22854970572</v>
      </c>
    </row>
    <row r="24" spans="1:17" x14ac:dyDescent="0.2">
      <c r="A24" s="16" t="s">
        <v>47</v>
      </c>
      <c r="B24" s="26">
        <f>1-B23</f>
        <v>1</v>
      </c>
      <c r="E24" s="12" t="s">
        <v>44</v>
      </c>
      <c r="F24" s="27">
        <v>0.05</v>
      </c>
      <c r="G24" t="s">
        <v>43</v>
      </c>
      <c r="J24" t="s">
        <v>62</v>
      </c>
      <c r="K24" s="33">
        <f>+B17</f>
        <v>14.461196489435935</v>
      </c>
    </row>
    <row r="25" spans="1:17" x14ac:dyDescent="0.2">
      <c r="A25" s="16" t="s">
        <v>40</v>
      </c>
      <c r="B25" s="21">
        <v>7.0000000000000007E-2</v>
      </c>
      <c r="C25" t="s">
        <v>6</v>
      </c>
      <c r="E25" s="13" t="s">
        <v>52</v>
      </c>
      <c r="F25" s="28">
        <f>K53</f>
        <v>36001173.826997042</v>
      </c>
      <c r="J25" t="s">
        <v>70</v>
      </c>
      <c r="K25" s="15"/>
    </row>
    <row r="26" spans="1:17" x14ac:dyDescent="0.2">
      <c r="O26" s="13" t="s">
        <v>50</v>
      </c>
      <c r="P26">
        <v>250</v>
      </c>
      <c r="Q26" s="4" t="s">
        <v>17</v>
      </c>
    </row>
    <row r="27" spans="1:17" x14ac:dyDescent="0.2">
      <c r="A27" s="12"/>
      <c r="B27" s="12"/>
      <c r="C27" s="12" t="s">
        <v>37</v>
      </c>
      <c r="D27" s="12" t="s">
        <v>36</v>
      </c>
      <c r="E27" s="12"/>
      <c r="F27" s="12"/>
      <c r="G27" s="12"/>
      <c r="H27" s="12"/>
      <c r="I27" s="12"/>
      <c r="J27" s="12"/>
      <c r="K27" s="12"/>
      <c r="L27" s="12"/>
      <c r="M27" s="12"/>
      <c r="Q27" s="4" t="s">
        <v>12</v>
      </c>
    </row>
    <row r="28" spans="1:17" x14ac:dyDescent="0.2">
      <c r="A28" s="13" t="s">
        <v>49</v>
      </c>
      <c r="B28" s="12" t="s">
        <v>4</v>
      </c>
      <c r="C28" s="29" t="s">
        <v>56</v>
      </c>
      <c r="D28" s="29" t="s">
        <v>56</v>
      </c>
      <c r="E28" s="12" t="s">
        <v>48</v>
      </c>
      <c r="F28" s="29" t="s">
        <v>57</v>
      </c>
      <c r="G28" s="12" t="s">
        <v>45</v>
      </c>
      <c r="H28" s="12" t="s">
        <v>64</v>
      </c>
      <c r="I28" s="12" t="s">
        <v>7</v>
      </c>
      <c r="J28" s="12" t="s">
        <v>8</v>
      </c>
      <c r="K28" s="12" t="s">
        <v>9</v>
      </c>
      <c r="L28" s="12" t="s">
        <v>49</v>
      </c>
      <c r="N28" s="12" t="s">
        <v>11</v>
      </c>
    </row>
    <row r="29" spans="1:17" x14ac:dyDescent="0.2">
      <c r="A29">
        <v>1</v>
      </c>
      <c r="B29" s="11">
        <f>B2</f>
        <v>0.24</v>
      </c>
      <c r="C29" s="9">
        <f>$B$10*$B$5/1000</f>
        <v>114675.84</v>
      </c>
      <c r="D29" s="9">
        <f>$B$11*$B$5/1000</f>
        <v>130677.12</v>
      </c>
      <c r="E29" s="9">
        <f>$B$23*C29</f>
        <v>0</v>
      </c>
      <c r="F29" s="9">
        <f t="shared" ref="F29:F53" si="2">C29-E29</f>
        <v>114675.84</v>
      </c>
      <c r="G29" s="3">
        <f>F29*$B$25*1000</f>
        <v>8027308.8000000007</v>
      </c>
      <c r="H29" s="3">
        <f>$B$21*$D$5</f>
        <v>2666880</v>
      </c>
      <c r="I29" s="2">
        <f>+G29-B16-H29</f>
        <v>-34639571.200000003</v>
      </c>
      <c r="J29" s="2">
        <f>I29</f>
        <v>-34639571.200000003</v>
      </c>
      <c r="K29" s="2">
        <f>J29</f>
        <v>-34639571.200000003</v>
      </c>
      <c r="L29">
        <v>1</v>
      </c>
      <c r="N29">
        <f>+$P$26*C29*1000</f>
        <v>28668960000</v>
      </c>
      <c r="O29">
        <f>+IF(AND(K29&lt;0,K30&gt;0),L29,0)</f>
        <v>0</v>
      </c>
    </row>
    <row r="30" spans="1:17" x14ac:dyDescent="0.2">
      <c r="A30">
        <v>2</v>
      </c>
      <c r="B30" s="11">
        <f>+B29*(1-$B$3)</f>
        <v>0.23927999999999999</v>
      </c>
      <c r="C30" s="9">
        <f>+C29*(1-$B$3)</f>
        <v>114331.81247999999</v>
      </c>
      <c r="D30" s="9">
        <f>+D29*(1-$B$3)</f>
        <v>130285.08864</v>
      </c>
      <c r="E30" s="9">
        <f>$B$23*C30</f>
        <v>0</v>
      </c>
      <c r="F30" s="9">
        <f t="shared" si="2"/>
        <v>114331.81247999999</v>
      </c>
      <c r="G30" s="3">
        <f>F30*$B$25*1000</f>
        <v>8003226.8736000005</v>
      </c>
      <c r="H30" s="3">
        <f t="shared" ref="H30:H53" si="3">$B$21*$D$5</f>
        <v>2666880</v>
      </c>
      <c r="I30" s="7">
        <f>+G30-H30</f>
        <v>5336346.8736000005</v>
      </c>
      <c r="J30" s="1">
        <f t="shared" ref="J30:J53" si="4">I30/(1+$F$24)^(A30-1)</f>
        <v>5082235.1177142859</v>
      </c>
      <c r="K30" s="1">
        <f t="shared" ref="K30:K53" si="5">J30+K29</f>
        <v>-29557336.082285717</v>
      </c>
      <c r="L30">
        <v>2</v>
      </c>
      <c r="N30">
        <f t="shared" ref="N30:N53" si="6">+$P$26*C30*1000</f>
        <v>28582953119.999996</v>
      </c>
      <c r="O30">
        <f t="shared" ref="O30:O53" si="7">+IF(AND(K30&lt;0,K31&gt;0),L30,0)</f>
        <v>0</v>
      </c>
    </row>
    <row r="31" spans="1:17" x14ac:dyDescent="0.2">
      <c r="A31">
        <v>3</v>
      </c>
      <c r="B31" s="11">
        <f t="shared" ref="B31:B53" si="8">+B30*(1-$B$3)</f>
        <v>0.23856216</v>
      </c>
      <c r="C31" s="9">
        <f t="shared" ref="C31:C53" si="9">+C30*(1-$B$3)</f>
        <v>113988.81704256</v>
      </c>
      <c r="D31" s="9">
        <f t="shared" ref="D31:D53" si="10">+D30*(1-$B$3)</f>
        <v>129894.23337407999</v>
      </c>
      <c r="E31" s="9">
        <f>$B$23*C31</f>
        <v>0</v>
      </c>
      <c r="F31" s="9">
        <f t="shared" si="2"/>
        <v>113988.81704256</v>
      </c>
      <c r="G31" s="3">
        <f>F31*$B$25*1000</f>
        <v>7979217.1929791998</v>
      </c>
      <c r="H31" s="3">
        <f t="shared" si="3"/>
        <v>2666880</v>
      </c>
      <c r="I31" s="7">
        <f t="shared" ref="I31:I53" si="11">+G31-H31</f>
        <v>5312337.1929791998</v>
      </c>
      <c r="J31" s="1">
        <f t="shared" si="4"/>
        <v>4818446.4335412243</v>
      </c>
      <c r="K31" s="1">
        <f t="shared" si="5"/>
        <v>-24738889.648744494</v>
      </c>
      <c r="L31">
        <v>3</v>
      </c>
      <c r="N31">
        <f t="shared" si="6"/>
        <v>28497204260.639999</v>
      </c>
      <c r="O31">
        <f t="shared" si="7"/>
        <v>0</v>
      </c>
    </row>
    <row r="32" spans="1:17" x14ac:dyDescent="0.2">
      <c r="A32">
        <v>4</v>
      </c>
      <c r="B32" s="11">
        <f t="shared" si="8"/>
        <v>0.23784647351999999</v>
      </c>
      <c r="C32" s="9">
        <f t="shared" si="9"/>
        <v>113646.85059143232</v>
      </c>
      <c r="D32" s="9">
        <f t="shared" si="10"/>
        <v>129504.55067395775</v>
      </c>
      <c r="E32" s="9">
        <f>$B$23*C32</f>
        <v>0</v>
      </c>
      <c r="F32" s="9">
        <f t="shared" si="2"/>
        <v>113646.85059143232</v>
      </c>
      <c r="G32" s="3">
        <f>F32*$B$25*1000</f>
        <v>7955279.5414002631</v>
      </c>
      <c r="H32" s="3">
        <f t="shared" si="3"/>
        <v>2666880</v>
      </c>
      <c r="I32" s="7">
        <f t="shared" si="11"/>
        <v>5288399.5414002631</v>
      </c>
      <c r="J32" s="1">
        <f t="shared" si="4"/>
        <v>4568318.3599181622</v>
      </c>
      <c r="K32" s="1">
        <f t="shared" si="5"/>
        <v>-20170571.288826331</v>
      </c>
      <c r="L32">
        <v>4</v>
      </c>
      <c r="N32">
        <f t="shared" si="6"/>
        <v>28411712647.858078</v>
      </c>
      <c r="O32">
        <f t="shared" si="7"/>
        <v>0</v>
      </c>
    </row>
    <row r="33" spans="1:15" x14ac:dyDescent="0.2">
      <c r="A33">
        <v>5</v>
      </c>
      <c r="B33" s="11">
        <f t="shared" si="8"/>
        <v>0.23713293409944</v>
      </c>
      <c r="C33" s="9">
        <f t="shared" si="9"/>
        <v>113305.91003965802</v>
      </c>
      <c r="D33" s="9">
        <f t="shared" si="10"/>
        <v>129116.03702193587</v>
      </c>
      <c r="E33" s="9">
        <f>$B$23*C33</f>
        <v>0</v>
      </c>
      <c r="F33" s="9">
        <f t="shared" si="2"/>
        <v>113305.91003965802</v>
      </c>
      <c r="G33" s="3">
        <f>F33*$B$25*1000</f>
        <v>7931413.7027760614</v>
      </c>
      <c r="H33" s="3">
        <f t="shared" si="3"/>
        <v>2666880</v>
      </c>
      <c r="I33" s="7">
        <f t="shared" si="11"/>
        <v>5264533.7027760614</v>
      </c>
      <c r="J33" s="1">
        <f t="shared" si="4"/>
        <v>4331144.9058991354</v>
      </c>
      <c r="K33" s="1">
        <f t="shared" si="5"/>
        <v>-15839426.382927196</v>
      </c>
      <c r="L33">
        <v>5</v>
      </c>
      <c r="N33">
        <f t="shared" si="6"/>
        <v>28326477509.914505</v>
      </c>
      <c r="O33">
        <f t="shared" si="7"/>
        <v>0</v>
      </c>
    </row>
    <row r="34" spans="1:15" x14ac:dyDescent="0.2">
      <c r="A34">
        <v>6</v>
      </c>
      <c r="B34" s="11">
        <f t="shared" si="8"/>
        <v>0.23642153529714169</v>
      </c>
      <c r="C34" s="9">
        <f t="shared" si="9"/>
        <v>112965.99230953904</v>
      </c>
      <c r="D34" s="9">
        <f t="shared" si="10"/>
        <v>128728.68891087007</v>
      </c>
      <c r="E34" s="9">
        <f>$B$23*C34</f>
        <v>0</v>
      </c>
      <c r="F34" s="9">
        <f t="shared" si="2"/>
        <v>112965.99230953904</v>
      </c>
      <c r="G34" s="3">
        <f>F34*$B$25*1000</f>
        <v>7907619.4616677342</v>
      </c>
      <c r="H34" s="3">
        <f t="shared" si="3"/>
        <v>2666880</v>
      </c>
      <c r="I34" s="7">
        <f t="shared" si="11"/>
        <v>5240739.4616677342</v>
      </c>
      <c r="J34" s="1">
        <f t="shared" si="4"/>
        <v>4106256.4998604949</v>
      </c>
      <c r="K34" s="1">
        <f t="shared" si="5"/>
        <v>-11733169.883066701</v>
      </c>
      <c r="L34">
        <v>6</v>
      </c>
      <c r="N34">
        <f t="shared" si="6"/>
        <v>28241498077.384758</v>
      </c>
      <c r="O34">
        <f t="shared" si="7"/>
        <v>0</v>
      </c>
    </row>
    <row r="35" spans="1:15" x14ac:dyDescent="0.2">
      <c r="A35">
        <v>7</v>
      </c>
      <c r="B35" s="11">
        <f t="shared" si="8"/>
        <v>0.23571227069125025</v>
      </c>
      <c r="C35" s="9">
        <f t="shared" si="9"/>
        <v>112627.09433261042</v>
      </c>
      <c r="D35" s="9">
        <f t="shared" si="10"/>
        <v>128342.50284413746</v>
      </c>
      <c r="E35" s="9">
        <f>$B$23*C35</f>
        <v>0</v>
      </c>
      <c r="F35" s="9">
        <f t="shared" si="2"/>
        <v>112627.09433261042</v>
      </c>
      <c r="G35" s="3">
        <f>F35*$B$25*1000</f>
        <v>7883896.6032827301</v>
      </c>
      <c r="H35" s="3">
        <f t="shared" si="3"/>
        <v>2666880</v>
      </c>
      <c r="I35" s="7">
        <f t="shared" si="11"/>
        <v>5217016.6032827301</v>
      </c>
      <c r="J35" s="1">
        <f t="shared" si="4"/>
        <v>3893018.1138784946</v>
      </c>
      <c r="K35" s="1">
        <f t="shared" si="5"/>
        <v>-7840151.7691882066</v>
      </c>
      <c r="L35">
        <v>7</v>
      </c>
      <c r="N35">
        <f t="shared" si="6"/>
        <v>28156773583.152603</v>
      </c>
      <c r="O35">
        <f t="shared" si="7"/>
        <v>0</v>
      </c>
    </row>
    <row r="36" spans="1:15" x14ac:dyDescent="0.2">
      <c r="A36">
        <v>8</v>
      </c>
      <c r="B36" s="11">
        <f t="shared" si="8"/>
        <v>0.23500513387917651</v>
      </c>
      <c r="C36" s="9">
        <f t="shared" si="9"/>
        <v>112289.21304961259</v>
      </c>
      <c r="D36" s="9">
        <f t="shared" si="10"/>
        <v>127957.47533560505</v>
      </c>
      <c r="E36" s="9">
        <f>$B$23*C36</f>
        <v>0</v>
      </c>
      <c r="F36" s="9">
        <f t="shared" si="2"/>
        <v>112289.21304961259</v>
      </c>
      <c r="G36" s="3">
        <f>F36*$B$25*1000</f>
        <v>7860244.9134728825</v>
      </c>
      <c r="H36" s="3">
        <f t="shared" si="3"/>
        <v>2666880</v>
      </c>
      <c r="I36" s="7">
        <f t="shared" si="11"/>
        <v>5193364.9134728825</v>
      </c>
      <c r="J36" s="1">
        <f t="shared" si="4"/>
        <v>3690827.4845580114</v>
      </c>
      <c r="K36" s="1">
        <f t="shared" si="5"/>
        <v>-4149324.2846301952</v>
      </c>
      <c r="L36">
        <v>8</v>
      </c>
      <c r="N36">
        <f t="shared" si="6"/>
        <v>28072303262.403149</v>
      </c>
      <c r="O36">
        <f t="shared" si="7"/>
        <v>0</v>
      </c>
    </row>
    <row r="37" spans="1:15" x14ac:dyDescent="0.2">
      <c r="A37">
        <v>9</v>
      </c>
      <c r="B37" s="11">
        <f t="shared" si="8"/>
        <v>0.23430011847753898</v>
      </c>
      <c r="C37" s="9">
        <f t="shared" si="9"/>
        <v>111952.34541046375</v>
      </c>
      <c r="D37" s="9">
        <f t="shared" si="10"/>
        <v>127573.60290959824</v>
      </c>
      <c r="E37" s="9">
        <f>$B$23*C37</f>
        <v>0</v>
      </c>
      <c r="F37" s="9">
        <f t="shared" si="2"/>
        <v>111952.34541046375</v>
      </c>
      <c r="G37" s="3">
        <f>F37*$B$25*1000</f>
        <v>7836664.1787324632</v>
      </c>
      <c r="H37" s="3">
        <f t="shared" si="3"/>
        <v>2666880</v>
      </c>
      <c r="I37" s="7">
        <f t="shared" si="11"/>
        <v>5169784.1787324632</v>
      </c>
      <c r="J37" s="1">
        <f t="shared" si="4"/>
        <v>3499113.4253592808</v>
      </c>
      <c r="K37" s="1">
        <f t="shared" si="5"/>
        <v>-650210.85927091446</v>
      </c>
      <c r="L37">
        <v>9</v>
      </c>
      <c r="N37">
        <f t="shared" si="6"/>
        <v>27988086352.615936</v>
      </c>
      <c r="O37">
        <f t="shared" si="7"/>
        <v>9</v>
      </c>
    </row>
    <row r="38" spans="1:15" x14ac:dyDescent="0.2">
      <c r="A38">
        <v>10</v>
      </c>
      <c r="B38" s="11">
        <f t="shared" si="8"/>
        <v>0.23359721812210638</v>
      </c>
      <c r="C38" s="9">
        <f t="shared" si="9"/>
        <v>111616.48837423236</v>
      </c>
      <c r="D38" s="9">
        <f t="shared" si="10"/>
        <v>127190.88210086944</v>
      </c>
      <c r="E38" s="9">
        <f>$B$23*C38</f>
        <v>0</v>
      </c>
      <c r="F38" s="9">
        <f t="shared" si="2"/>
        <v>111616.48837423236</v>
      </c>
      <c r="G38" s="3">
        <f>F38*$B$25*1000</f>
        <v>7813154.1861962657</v>
      </c>
      <c r="H38" s="3">
        <f t="shared" si="3"/>
        <v>2666880</v>
      </c>
      <c r="I38" s="7">
        <f t="shared" si="11"/>
        <v>5146274.1861962657</v>
      </c>
      <c r="J38" s="1">
        <f t="shared" si="4"/>
        <v>3317334.2257236014</v>
      </c>
      <c r="K38" s="1">
        <f t="shared" si="5"/>
        <v>2667123.366452687</v>
      </c>
      <c r="L38">
        <v>10</v>
      </c>
      <c r="N38">
        <f t="shared" si="6"/>
        <v>27904122093.558086</v>
      </c>
      <c r="O38">
        <f t="shared" si="7"/>
        <v>0</v>
      </c>
    </row>
    <row r="39" spans="1:15" x14ac:dyDescent="0.2">
      <c r="A39">
        <v>11</v>
      </c>
      <c r="B39" s="11">
        <f t="shared" si="8"/>
        <v>0.23289642646774006</v>
      </c>
      <c r="C39" s="9">
        <f t="shared" si="9"/>
        <v>111281.63890910966</v>
      </c>
      <c r="D39" s="9">
        <f t="shared" si="10"/>
        <v>126809.30945456683</v>
      </c>
      <c r="E39" s="9">
        <f>$B$23*C39</f>
        <v>0</v>
      </c>
      <c r="F39" s="9">
        <f t="shared" si="2"/>
        <v>111281.63890910966</v>
      </c>
      <c r="G39" s="3">
        <f>F39*$B$25*1000</f>
        <v>7789714.7236376768</v>
      </c>
      <c r="H39" s="3">
        <f t="shared" si="3"/>
        <v>2666880</v>
      </c>
      <c r="I39" s="7">
        <f t="shared" si="11"/>
        <v>5122834.7236376768</v>
      </c>
      <c r="J39" s="1">
        <f t="shared" si="4"/>
        <v>3144976.1325399829</v>
      </c>
      <c r="K39" s="1">
        <f t="shared" si="5"/>
        <v>5812099.4989926703</v>
      </c>
      <c r="L39">
        <v>11</v>
      </c>
      <c r="N39">
        <f t="shared" si="6"/>
        <v>27820409727.277416</v>
      </c>
      <c r="O39">
        <f t="shared" si="7"/>
        <v>0</v>
      </c>
    </row>
    <row r="40" spans="1:15" x14ac:dyDescent="0.2">
      <c r="A40">
        <v>12</v>
      </c>
      <c r="B40" s="11">
        <f t="shared" si="8"/>
        <v>0.23219773718833683</v>
      </c>
      <c r="C40" s="9">
        <f t="shared" si="9"/>
        <v>110947.79399238233</v>
      </c>
      <c r="D40" s="9">
        <f t="shared" si="10"/>
        <v>126428.88152620313</v>
      </c>
      <c r="E40" s="9">
        <f>$B$23*C40</f>
        <v>0</v>
      </c>
      <c r="F40" s="9">
        <f t="shared" si="2"/>
        <v>110947.79399238233</v>
      </c>
      <c r="G40" s="3">
        <f>F40*$B$25*1000</f>
        <v>7766345.579466763</v>
      </c>
      <c r="H40" s="3">
        <f t="shared" si="3"/>
        <v>2666880</v>
      </c>
      <c r="I40" s="7">
        <f t="shared" si="11"/>
        <v>5099465.579466763</v>
      </c>
      <c r="J40" s="1">
        <f t="shared" si="4"/>
        <v>2981551.9097233843</v>
      </c>
      <c r="K40" s="1">
        <f t="shared" si="5"/>
        <v>8793651.4087160546</v>
      </c>
      <c r="L40">
        <v>12</v>
      </c>
      <c r="N40">
        <f t="shared" si="6"/>
        <v>27736948498.095585</v>
      </c>
      <c r="O40">
        <f t="shared" si="7"/>
        <v>0</v>
      </c>
    </row>
    <row r="41" spans="1:15" x14ac:dyDescent="0.2">
      <c r="A41">
        <v>13</v>
      </c>
      <c r="B41" s="11">
        <f t="shared" si="8"/>
        <v>0.23150114397677182</v>
      </c>
      <c r="C41" s="9">
        <f t="shared" si="9"/>
        <v>110614.95061040518</v>
      </c>
      <c r="D41" s="9">
        <f t="shared" si="10"/>
        <v>126049.59488162452</v>
      </c>
      <c r="E41" s="9">
        <f>$B$23*C41</f>
        <v>0</v>
      </c>
      <c r="F41" s="9">
        <f t="shared" si="2"/>
        <v>110614.95061040518</v>
      </c>
      <c r="G41" s="3">
        <f>F41*$B$25*1000</f>
        <v>7743046.5427283635</v>
      </c>
      <c r="H41" s="3">
        <f t="shared" si="3"/>
        <v>2666880</v>
      </c>
      <c r="I41" s="7">
        <f t="shared" si="11"/>
        <v>5076166.5427283635</v>
      </c>
      <c r="J41" s="1">
        <f t="shared" si="4"/>
        <v>2826599.4718921701</v>
      </c>
      <c r="K41" s="1">
        <f t="shared" si="5"/>
        <v>11620250.880608225</v>
      </c>
      <c r="L41">
        <v>13</v>
      </c>
      <c r="N41">
        <f t="shared" si="6"/>
        <v>27653737652.601295</v>
      </c>
      <c r="O41">
        <f t="shared" si="7"/>
        <v>0</v>
      </c>
    </row>
    <row r="42" spans="1:15" x14ac:dyDescent="0.2">
      <c r="A42">
        <v>14</v>
      </c>
      <c r="B42" s="11">
        <f t="shared" si="8"/>
        <v>0.23080664054484151</v>
      </c>
      <c r="C42" s="9">
        <f t="shared" si="9"/>
        <v>110283.10575857396</v>
      </c>
      <c r="D42" s="9">
        <f t="shared" si="10"/>
        <v>125671.44609697965</v>
      </c>
      <c r="E42" s="9">
        <f>$B$23*C42</f>
        <v>0</v>
      </c>
      <c r="F42" s="9">
        <f t="shared" si="2"/>
        <v>110283.10575857396</v>
      </c>
      <c r="G42" s="3">
        <f>F42*$B$25*1000</f>
        <v>7719817.4031001786</v>
      </c>
      <c r="H42" s="3">
        <f t="shared" si="3"/>
        <v>2666880</v>
      </c>
      <c r="I42" s="7">
        <f t="shared" si="11"/>
        <v>5052937.4031001786</v>
      </c>
      <c r="J42" s="1">
        <f t="shared" si="4"/>
        <v>2679680.5883382144</v>
      </c>
      <c r="K42" s="1">
        <f t="shared" si="5"/>
        <v>14299931.46894644</v>
      </c>
      <c r="L42">
        <v>14</v>
      </c>
      <c r="N42">
        <f t="shared" si="6"/>
        <v>27570776439.64349</v>
      </c>
      <c r="O42">
        <f t="shared" si="7"/>
        <v>0</v>
      </c>
    </row>
    <row r="43" spans="1:15" x14ac:dyDescent="0.2">
      <c r="A43">
        <v>15</v>
      </c>
      <c r="B43" s="11">
        <f t="shared" si="8"/>
        <v>0.23011422062320699</v>
      </c>
      <c r="C43" s="9">
        <f t="shared" si="9"/>
        <v>109952.25644129825</v>
      </c>
      <c r="D43" s="9">
        <f t="shared" si="10"/>
        <v>125294.4317586887</v>
      </c>
      <c r="E43" s="9">
        <f>$B$23*C43</f>
        <v>0</v>
      </c>
      <c r="F43" s="9">
        <f t="shared" si="2"/>
        <v>109952.25644129825</v>
      </c>
      <c r="G43" s="3">
        <f>F43*$B$25*1000</f>
        <v>7696657.9508908782</v>
      </c>
      <c r="H43" s="3">
        <f t="shared" si="3"/>
        <v>2666880</v>
      </c>
      <c r="I43" s="7">
        <f t="shared" si="11"/>
        <v>5029777.9508908782</v>
      </c>
      <c r="J43" s="1">
        <f t="shared" si="4"/>
        <v>2540379.6536784512</v>
      </c>
      <c r="K43" s="1">
        <f t="shared" si="5"/>
        <v>16840311.122624893</v>
      </c>
      <c r="L43">
        <v>15</v>
      </c>
      <c r="N43">
        <f t="shared" si="6"/>
        <v>27488064110.324562</v>
      </c>
      <c r="O43">
        <f t="shared" si="7"/>
        <v>0</v>
      </c>
    </row>
    <row r="44" spans="1:15" x14ac:dyDescent="0.2">
      <c r="A44">
        <v>16</v>
      </c>
      <c r="B44" s="11">
        <f t="shared" si="8"/>
        <v>0.22942387796133737</v>
      </c>
      <c r="C44" s="9">
        <f t="shared" si="9"/>
        <v>109622.39967197434</v>
      </c>
      <c r="D44" s="9">
        <f t="shared" si="10"/>
        <v>124918.54846341263</v>
      </c>
      <c r="E44" s="9">
        <f>$B$23*C44</f>
        <v>0</v>
      </c>
      <c r="F44" s="9">
        <f t="shared" si="2"/>
        <v>109622.39967197434</v>
      </c>
      <c r="G44" s="3">
        <f>F44*$B$25*1000</f>
        <v>7673567.9770382047</v>
      </c>
      <c r="H44" s="3">
        <f t="shared" si="3"/>
        <v>2666880</v>
      </c>
      <c r="I44" s="7">
        <f t="shared" si="11"/>
        <v>5006687.9770382047</v>
      </c>
      <c r="J44" s="1">
        <f t="shared" si="4"/>
        <v>2408302.5217618672</v>
      </c>
      <c r="K44" s="1">
        <f t="shared" si="5"/>
        <v>19248613.644386761</v>
      </c>
      <c r="L44">
        <v>16</v>
      </c>
      <c r="N44">
        <f t="shared" si="6"/>
        <v>27405599917.993587</v>
      </c>
      <c r="O44">
        <f t="shared" si="7"/>
        <v>0</v>
      </c>
    </row>
    <row r="45" spans="1:15" x14ac:dyDescent="0.2">
      <c r="A45">
        <v>17</v>
      </c>
      <c r="B45" s="11">
        <f t="shared" si="8"/>
        <v>0.22873560632745335</v>
      </c>
      <c r="C45" s="9">
        <f t="shared" si="9"/>
        <v>109293.53247295842</v>
      </c>
      <c r="D45" s="9">
        <f t="shared" si="10"/>
        <v>124543.7928180224</v>
      </c>
      <c r="E45" s="9">
        <f>$B$23*C45</f>
        <v>0</v>
      </c>
      <c r="F45" s="9">
        <f t="shared" si="2"/>
        <v>109293.53247295842</v>
      </c>
      <c r="G45" s="3">
        <f>F45*$B$25*1000</f>
        <v>7650547.27310709</v>
      </c>
      <c r="H45" s="3">
        <f t="shared" si="3"/>
        <v>2666880</v>
      </c>
      <c r="I45" s="7">
        <f t="shared" si="11"/>
        <v>4983667.27310709</v>
      </c>
      <c r="J45" s="1">
        <f t="shared" si="4"/>
        <v>2283075.3995818202</v>
      </c>
      <c r="K45" s="1">
        <f t="shared" si="5"/>
        <v>21531689.043968581</v>
      </c>
      <c r="L45">
        <v>17</v>
      </c>
      <c r="N45">
        <f t="shared" si="6"/>
        <v>27323383118.239609</v>
      </c>
      <c r="O45">
        <f t="shared" si="7"/>
        <v>0</v>
      </c>
    </row>
    <row r="46" spans="1:15" x14ac:dyDescent="0.2">
      <c r="A46">
        <v>18</v>
      </c>
      <c r="B46" s="11">
        <f t="shared" si="8"/>
        <v>0.228049399508471</v>
      </c>
      <c r="C46" s="9">
        <f t="shared" si="9"/>
        <v>108965.65187553955</v>
      </c>
      <c r="D46" s="9">
        <f t="shared" si="10"/>
        <v>124170.16143956833</v>
      </c>
      <c r="E46" s="9">
        <f>$B$23*C46</f>
        <v>0</v>
      </c>
      <c r="F46" s="9">
        <f t="shared" si="2"/>
        <v>108965.65187553955</v>
      </c>
      <c r="G46" s="3">
        <f>F46*$B$25*1000</f>
        <v>7627595.6312877694</v>
      </c>
      <c r="H46" s="3">
        <f t="shared" si="3"/>
        <v>2666880</v>
      </c>
      <c r="I46" s="7">
        <f t="shared" si="11"/>
        <v>4960715.6312877694</v>
      </c>
      <c r="J46" s="1">
        <f t="shared" si="4"/>
        <v>2164343.7981102564</v>
      </c>
      <c r="K46" s="1">
        <f t="shared" si="5"/>
        <v>23696032.842078838</v>
      </c>
      <c r="L46">
        <v>18</v>
      </c>
      <c r="N46">
        <f t="shared" si="6"/>
        <v>27241412968.884888</v>
      </c>
      <c r="O46">
        <f t="shared" si="7"/>
        <v>0</v>
      </c>
    </row>
    <row r="47" spans="1:15" x14ac:dyDescent="0.2">
      <c r="A47">
        <v>19</v>
      </c>
      <c r="B47" s="11">
        <f t="shared" si="8"/>
        <v>0.22736525130994559</v>
      </c>
      <c r="C47" s="9">
        <f t="shared" si="9"/>
        <v>108638.75491991293</v>
      </c>
      <c r="D47" s="9">
        <f t="shared" si="10"/>
        <v>123797.65095524963</v>
      </c>
      <c r="E47" s="9">
        <f>$B$23*C47</f>
        <v>0</v>
      </c>
      <c r="F47" s="9">
        <f t="shared" si="2"/>
        <v>108638.75491991293</v>
      </c>
      <c r="G47" s="3">
        <f>F47*$B$25*1000</f>
        <v>7604712.8443939053</v>
      </c>
      <c r="H47" s="3">
        <f t="shared" si="3"/>
        <v>2666880</v>
      </c>
      <c r="I47" s="7">
        <f t="shared" si="11"/>
        <v>4937832.8443939053</v>
      </c>
      <c r="J47" s="1">
        <f t="shared" si="4"/>
        <v>2051771.5371287225</v>
      </c>
      <c r="K47" s="1">
        <f t="shared" si="5"/>
        <v>25747804.379207563</v>
      </c>
      <c r="L47">
        <v>19</v>
      </c>
      <c r="N47">
        <f t="shared" si="6"/>
        <v>27159688729.978233</v>
      </c>
      <c r="O47">
        <f t="shared" si="7"/>
        <v>0</v>
      </c>
    </row>
    <row r="48" spans="1:15" x14ac:dyDescent="0.2">
      <c r="A48">
        <v>20</v>
      </c>
      <c r="B48" s="11">
        <f t="shared" si="8"/>
        <v>0.22668315555601576</v>
      </c>
      <c r="C48" s="9">
        <f t="shared" si="9"/>
        <v>108312.83865515319</v>
      </c>
      <c r="D48" s="9">
        <f t="shared" si="10"/>
        <v>123426.25800238388</v>
      </c>
      <c r="E48" s="9">
        <f>$B$23*C48</f>
        <v>0</v>
      </c>
      <c r="F48" s="9">
        <f t="shared" si="2"/>
        <v>108312.83865515319</v>
      </c>
      <c r="G48" s="3">
        <f>F48*$B$25*1000</f>
        <v>7581898.7058607237</v>
      </c>
      <c r="H48" s="3">
        <f t="shared" si="3"/>
        <v>2666880</v>
      </c>
      <c r="I48" s="7">
        <f t="shared" si="11"/>
        <v>4915018.7058607237</v>
      </c>
      <c r="J48" s="1">
        <f t="shared" si="4"/>
        <v>1945039.8012811213</v>
      </c>
      <c r="K48" s="1">
        <f t="shared" si="5"/>
        <v>27692844.180488683</v>
      </c>
      <c r="L48">
        <v>20</v>
      </c>
      <c r="N48">
        <f t="shared" si="6"/>
        <v>27078209663.788296</v>
      </c>
      <c r="O48">
        <f t="shared" si="7"/>
        <v>0</v>
      </c>
    </row>
    <row r="49" spans="1:15" x14ac:dyDescent="0.2">
      <c r="A49">
        <v>21</v>
      </c>
      <c r="B49" s="11">
        <f t="shared" si="8"/>
        <v>0.22600310608934771</v>
      </c>
      <c r="C49" s="9">
        <f t="shared" si="9"/>
        <v>107987.90013918772</v>
      </c>
      <c r="D49" s="9">
        <f t="shared" si="10"/>
        <v>123055.97922837673</v>
      </c>
      <c r="E49" s="9">
        <f>$B$23*C49</f>
        <v>0</v>
      </c>
      <c r="F49" s="9">
        <f t="shared" si="2"/>
        <v>107987.90013918772</v>
      </c>
      <c r="G49" s="3">
        <f>F49*$B$25*1000</f>
        <v>7559153.009743141</v>
      </c>
      <c r="H49" s="3">
        <f t="shared" si="3"/>
        <v>2666880</v>
      </c>
      <c r="I49" s="7">
        <f t="shared" si="11"/>
        <v>4892273.009743141</v>
      </c>
      <c r="J49" s="1">
        <f t="shared" si="4"/>
        <v>1843846.2447156305</v>
      </c>
      <c r="K49" s="1">
        <f t="shared" si="5"/>
        <v>29536690.425204314</v>
      </c>
      <c r="L49">
        <v>21</v>
      </c>
      <c r="N49">
        <f t="shared" si="6"/>
        <v>26996975034.796932</v>
      </c>
      <c r="O49">
        <f t="shared" si="7"/>
        <v>0</v>
      </c>
    </row>
    <row r="50" spans="1:15" x14ac:dyDescent="0.2">
      <c r="A50">
        <v>22</v>
      </c>
      <c r="B50" s="11">
        <f t="shared" si="8"/>
        <v>0.22532509677107967</v>
      </c>
      <c r="C50" s="9">
        <f t="shared" si="9"/>
        <v>107663.93643877016</v>
      </c>
      <c r="D50" s="9">
        <f t="shared" si="10"/>
        <v>122686.81129069161</v>
      </c>
      <c r="E50" s="9">
        <f>$B$23*C50</f>
        <v>0</v>
      </c>
      <c r="F50" s="9">
        <f t="shared" si="2"/>
        <v>107663.93643877016</v>
      </c>
      <c r="G50" s="3">
        <f>F50*$B$25*1000</f>
        <v>7536475.5507139126</v>
      </c>
      <c r="H50" s="3">
        <f t="shared" si="3"/>
        <v>2666880</v>
      </c>
      <c r="I50" s="7">
        <f t="shared" si="11"/>
        <v>4869595.5507139126</v>
      </c>
      <c r="J50" s="1">
        <f t="shared" si="4"/>
        <v>1747904.1418183153</v>
      </c>
      <c r="K50" s="1">
        <f t="shared" si="5"/>
        <v>31284594.567022629</v>
      </c>
      <c r="L50">
        <v>22</v>
      </c>
      <c r="N50">
        <f t="shared" si="6"/>
        <v>26915984109.692539</v>
      </c>
      <c r="O50">
        <f t="shared" si="7"/>
        <v>0</v>
      </c>
    </row>
    <row r="51" spans="1:15" x14ac:dyDescent="0.2">
      <c r="A51">
        <v>23</v>
      </c>
      <c r="B51" s="11">
        <f t="shared" si="8"/>
        <v>0.22464912148076643</v>
      </c>
      <c r="C51" s="9">
        <f t="shared" si="9"/>
        <v>107340.94462945385</v>
      </c>
      <c r="D51" s="9">
        <f t="shared" si="10"/>
        <v>122318.75085681953</v>
      </c>
      <c r="E51" s="9">
        <f>$B$23*C51</f>
        <v>0</v>
      </c>
      <c r="F51" s="9">
        <f t="shared" si="2"/>
        <v>107340.94462945385</v>
      </c>
      <c r="G51" s="3">
        <f>F51*$B$25*1000</f>
        <v>7513866.1240617707</v>
      </c>
      <c r="H51" s="3">
        <f t="shared" si="3"/>
        <v>2666880</v>
      </c>
      <c r="I51" s="7">
        <f t="shared" si="11"/>
        <v>4846986.1240617707</v>
      </c>
      <c r="J51" s="1">
        <f t="shared" si="4"/>
        <v>1656941.5816691613</v>
      </c>
      <c r="K51" s="1">
        <f t="shared" si="5"/>
        <v>32941536.148691792</v>
      </c>
      <c r="L51">
        <v>23</v>
      </c>
      <c r="N51">
        <f t="shared" si="6"/>
        <v>26835236157.363464</v>
      </c>
      <c r="O51">
        <f t="shared" si="7"/>
        <v>0</v>
      </c>
    </row>
    <row r="52" spans="1:15" x14ac:dyDescent="0.2">
      <c r="A52">
        <v>24</v>
      </c>
      <c r="B52" s="11">
        <f t="shared" si="8"/>
        <v>0.22397517411632414</v>
      </c>
      <c r="C52" s="9">
        <f t="shared" si="9"/>
        <v>107018.92179556549</v>
      </c>
      <c r="D52" s="9">
        <f t="shared" si="10"/>
        <v>121951.79460424908</v>
      </c>
      <c r="E52" s="9">
        <f>$B$23*C52</f>
        <v>0</v>
      </c>
      <c r="F52" s="9">
        <f t="shared" si="2"/>
        <v>107018.92179556549</v>
      </c>
      <c r="G52" s="3">
        <f>F52*$B$25*1000</f>
        <v>7491324.5256895851</v>
      </c>
      <c r="H52" s="3">
        <f t="shared" si="3"/>
        <v>2666880</v>
      </c>
      <c r="I52" s="7">
        <f t="shared" si="11"/>
        <v>4824444.5256895851</v>
      </c>
      <c r="J52" s="1">
        <f t="shared" si="4"/>
        <v>1570700.7039728982</v>
      </c>
      <c r="K52" s="1">
        <f t="shared" si="5"/>
        <v>34512236.852664687</v>
      </c>
      <c r="L52">
        <v>24</v>
      </c>
      <c r="N52">
        <f t="shared" si="6"/>
        <v>26754730448.891373</v>
      </c>
      <c r="O52">
        <f t="shared" si="7"/>
        <v>0</v>
      </c>
    </row>
    <row r="53" spans="1:15" x14ac:dyDescent="0.2">
      <c r="A53">
        <v>25</v>
      </c>
      <c r="B53" s="11">
        <f t="shared" si="8"/>
        <v>0.22330324859397518</v>
      </c>
      <c r="C53" s="9">
        <f t="shared" si="9"/>
        <v>106697.86503017879</v>
      </c>
      <c r="D53" s="9">
        <f t="shared" si="10"/>
        <v>121585.93922043634</v>
      </c>
      <c r="E53" s="9">
        <f>$B$23*C53</f>
        <v>0</v>
      </c>
      <c r="F53" s="9">
        <f t="shared" si="2"/>
        <v>106697.86503017879</v>
      </c>
      <c r="G53" s="3">
        <f>F53*$B$25*1000</f>
        <v>7468850.5521125151</v>
      </c>
      <c r="H53" s="3">
        <f t="shared" si="3"/>
        <v>2666880</v>
      </c>
      <c r="I53" s="7">
        <f t="shared" si="11"/>
        <v>4801970.5521125151</v>
      </c>
      <c r="J53" s="1">
        <f t="shared" si="4"/>
        <v>1488936.9743323517</v>
      </c>
      <c r="K53" s="6">
        <f t="shared" si="5"/>
        <v>36001173.826997042</v>
      </c>
      <c r="L53">
        <v>25</v>
      </c>
      <c r="N53">
        <f t="shared" si="6"/>
        <v>26674466257.544697</v>
      </c>
      <c r="O53">
        <f t="shared" si="7"/>
        <v>0</v>
      </c>
    </row>
    <row r="55" spans="1:15" x14ac:dyDescent="0.2">
      <c r="B55" s="13" t="s">
        <v>35</v>
      </c>
      <c r="C55" s="14">
        <f>+SUM(C29:C53)</f>
        <v>2766022.8549705721</v>
      </c>
      <c r="D55" s="14">
        <f>+SUM(D29:D53)</f>
        <v>3151979.5324083273</v>
      </c>
      <c r="M55" s="8" t="s">
        <v>51</v>
      </c>
      <c r="N55">
        <f>SUM(N29:N53)/1000000/25</f>
        <v>27660.22854970572</v>
      </c>
      <c r="O55" s="5"/>
    </row>
    <row r="56" spans="1:15" x14ac:dyDescent="0.2">
      <c r="C56" s="36" t="s">
        <v>67</v>
      </c>
    </row>
    <row r="63" spans="1:15" x14ac:dyDescent="0.2">
      <c r="C63" s="12"/>
      <c r="D63" s="12"/>
      <c r="E63" s="12"/>
      <c r="F63" s="12"/>
      <c r="G63" s="12"/>
      <c r="H63" s="12"/>
      <c r="I63" s="12"/>
    </row>
    <row r="65" spans="10:10" x14ac:dyDescent="0.2">
      <c r="J65" s="10"/>
    </row>
    <row r="66" spans="10:10" x14ac:dyDescent="0.2">
      <c r="J66" s="10"/>
    </row>
    <row r="67" spans="10:10" x14ac:dyDescent="0.2">
      <c r="J67" s="10"/>
    </row>
    <row r="68" spans="10:10" x14ac:dyDescent="0.2">
      <c r="J68" s="10"/>
    </row>
    <row r="69" spans="10:10" x14ac:dyDescent="0.2">
      <c r="J69" s="10"/>
    </row>
    <row r="70" spans="10:10" x14ac:dyDescent="0.2">
      <c r="J70" s="10"/>
    </row>
    <row r="71" spans="10:10" x14ac:dyDescent="0.2">
      <c r="J71" s="10"/>
    </row>
    <row r="72" spans="10:10" x14ac:dyDescent="0.2">
      <c r="J72" s="10"/>
    </row>
  </sheetData>
  <mergeCells count="1">
    <mergeCell ref="E21:F21"/>
  </mergeCells>
  <hyperlinks>
    <hyperlink ref="Q27" r:id="rId1" location="results" xr:uid="{8F152494-4980-764F-9E7E-859E6DA8024E}"/>
    <hyperlink ref="Q26" r:id="rId2" xr:uid="{456DD15E-D296-6E48-A11E-D83956C2FF25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 Farm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Bonilla</dc:creator>
  <cp:lastModifiedBy>Sebastian Bonilla</cp:lastModifiedBy>
  <dcterms:created xsi:type="dcterms:W3CDTF">2024-01-12T12:21:45Z</dcterms:created>
  <dcterms:modified xsi:type="dcterms:W3CDTF">2024-03-24T15:40:15Z</dcterms:modified>
</cp:coreProperties>
</file>