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corp1959_ox_ac_uk/Documents/Documents-Publications/Public Engagement Articles/is a solar roof worth it/"/>
    </mc:Choice>
  </mc:AlternateContent>
  <xr:revisionPtr revIDLastSave="910" documentId="8_{2B24DF86-7FBA-994E-930C-F4C8B56A4CCC}" xr6:coauthVersionLast="47" xr6:coauthVersionMax="47" xr10:uidLastSave="{5D563AD2-1DBA-4C30-8104-7A0F4DFF01A0}"/>
  <bookViews>
    <workbookView xWindow="28680" yWindow="-120" windowWidth="29040" windowHeight="15840" xr2:uid="{F3DC279C-5C0C-4638-87CC-137F14AABDEF}"/>
  </bookViews>
  <sheets>
    <sheet name="Rooftop" sheetId="1" r:id="rId1"/>
    <sheet name="UK electricity estim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30" i="1"/>
  <c r="C30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30" i="1"/>
  <c r="B29" i="1"/>
  <c r="I66" i="1"/>
  <c r="I67" i="1"/>
  <c r="I68" i="1"/>
  <c r="I69" i="1"/>
  <c r="I70" i="1"/>
  <c r="I71" i="1"/>
  <c r="I72" i="1"/>
  <c r="I65" i="1"/>
  <c r="B23" i="1"/>
  <c r="B6" i="1" l="1"/>
  <c r="B8" i="1" s="1"/>
  <c r="B5" i="1"/>
  <c r="D29" i="1" l="1"/>
  <c r="B9" i="1"/>
  <c r="B13" i="1" s="1"/>
  <c r="C29" i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19" i="2"/>
  <c r="H31" i="1" l="1"/>
  <c r="H35" i="1"/>
  <c r="H49" i="1"/>
  <c r="H34" i="1"/>
  <c r="H48" i="1"/>
  <c r="H41" i="1"/>
  <c r="H40" i="1"/>
  <c r="H46" i="1"/>
  <c r="H38" i="1"/>
  <c r="H45" i="1"/>
  <c r="H29" i="1"/>
  <c r="H51" i="1"/>
  <c r="H43" i="1"/>
  <c r="H42" i="1"/>
  <c r="H33" i="1"/>
  <c r="H47" i="1"/>
  <c r="H32" i="1"/>
  <c r="H39" i="1"/>
  <c r="H53" i="1"/>
  <c r="H30" i="1"/>
  <c r="H52" i="1"/>
  <c r="H37" i="1"/>
  <c r="H44" i="1"/>
  <c r="H36" i="1"/>
  <c r="H50" i="1"/>
  <c r="B15" i="1"/>
  <c r="O29" i="1"/>
  <c r="D55" i="1" l="1"/>
  <c r="B18" i="1" s="1"/>
  <c r="O30" i="1"/>
  <c r="E29" i="1"/>
  <c r="I29" i="1" s="1"/>
  <c r="F29" i="1" l="1"/>
  <c r="G29" i="1" s="1"/>
  <c r="J29" i="1" s="1"/>
  <c r="O31" i="1"/>
  <c r="E30" i="1"/>
  <c r="K29" i="1" l="1"/>
  <c r="L29" i="1" s="1"/>
  <c r="F30" i="1"/>
  <c r="G30" i="1" s="1"/>
  <c r="I30" i="1"/>
  <c r="O32" i="1"/>
  <c r="E31" i="1"/>
  <c r="I31" i="1" s="1"/>
  <c r="J30" i="1" l="1"/>
  <c r="F31" i="1"/>
  <c r="G31" i="1" s="1"/>
  <c r="O33" i="1"/>
  <c r="E32" i="1"/>
  <c r="J31" i="1" l="1"/>
  <c r="K31" i="1" s="1"/>
  <c r="K30" i="1"/>
  <c r="L30" i="1" s="1"/>
  <c r="F32" i="1"/>
  <c r="G32" i="1" s="1"/>
  <c r="I32" i="1"/>
  <c r="O34" i="1"/>
  <c r="E33" i="1"/>
  <c r="J32" i="1" l="1"/>
  <c r="L31" i="1"/>
  <c r="F33" i="1"/>
  <c r="G33" i="1" s="1"/>
  <c r="I33" i="1"/>
  <c r="O35" i="1"/>
  <c r="E34" i="1"/>
  <c r="J33" i="1" l="1"/>
  <c r="K32" i="1"/>
  <c r="L32" i="1" s="1"/>
  <c r="K33" i="1"/>
  <c r="F34" i="1"/>
  <c r="G34" i="1" s="1"/>
  <c r="I34" i="1"/>
  <c r="O36" i="1"/>
  <c r="E35" i="1"/>
  <c r="J34" i="1" l="1"/>
  <c r="L33" i="1"/>
  <c r="K34" i="1"/>
  <c r="L34" i="1" s="1"/>
  <c r="F35" i="1"/>
  <c r="G35" i="1" s="1"/>
  <c r="I35" i="1"/>
  <c r="O37" i="1"/>
  <c r="E36" i="1"/>
  <c r="I36" i="1" s="1"/>
  <c r="J35" i="1" l="1"/>
  <c r="F36" i="1"/>
  <c r="G36" i="1" s="1"/>
  <c r="O38" i="1"/>
  <c r="E37" i="1"/>
  <c r="J36" i="1" l="1"/>
  <c r="K36" i="1" s="1"/>
  <c r="K35" i="1"/>
  <c r="L35" i="1" s="1"/>
  <c r="F37" i="1"/>
  <c r="G37" i="1" s="1"/>
  <c r="I37" i="1"/>
  <c r="O39" i="1"/>
  <c r="E38" i="1"/>
  <c r="J37" i="1" l="1"/>
  <c r="K37" i="1" s="1"/>
  <c r="L36" i="1"/>
  <c r="O40" i="1"/>
  <c r="E39" i="1"/>
  <c r="I39" i="1" s="1"/>
  <c r="F38" i="1"/>
  <c r="G38" i="1" s="1"/>
  <c r="I38" i="1"/>
  <c r="L37" i="1" l="1"/>
  <c r="J38" i="1"/>
  <c r="K38" i="1" s="1"/>
  <c r="F39" i="1"/>
  <c r="G39" i="1" s="1"/>
  <c r="O41" i="1"/>
  <c r="E40" i="1"/>
  <c r="L38" i="1" l="1"/>
  <c r="J39" i="1"/>
  <c r="K39" i="1" s="1"/>
  <c r="L39" i="1" s="1"/>
  <c r="F40" i="1"/>
  <c r="G40" i="1" s="1"/>
  <c r="I40" i="1"/>
  <c r="O42" i="1"/>
  <c r="E41" i="1"/>
  <c r="J40" i="1" l="1"/>
  <c r="K40" i="1" s="1"/>
  <c r="L40" i="1" s="1"/>
  <c r="O43" i="1"/>
  <c r="E42" i="1"/>
  <c r="F41" i="1"/>
  <c r="G41" i="1" s="1"/>
  <c r="I41" i="1"/>
  <c r="J41" i="1" l="1"/>
  <c r="K41" i="1" s="1"/>
  <c r="L41" i="1" s="1"/>
  <c r="F42" i="1"/>
  <c r="G42" i="1" s="1"/>
  <c r="I42" i="1"/>
  <c r="O44" i="1"/>
  <c r="E43" i="1"/>
  <c r="I43" i="1" s="1"/>
  <c r="J42" i="1" l="1"/>
  <c r="K42" i="1" s="1"/>
  <c r="L42" i="1" s="1"/>
  <c r="F43" i="1"/>
  <c r="G43" i="1" s="1"/>
  <c r="J43" i="1" s="1"/>
  <c r="K43" i="1" s="1"/>
  <c r="O45" i="1"/>
  <c r="E44" i="1"/>
  <c r="L43" i="1" l="1"/>
  <c r="F44" i="1"/>
  <c r="G44" i="1" s="1"/>
  <c r="I44" i="1"/>
  <c r="J44" i="1" s="1"/>
  <c r="O46" i="1"/>
  <c r="E45" i="1"/>
  <c r="K44" i="1" l="1"/>
  <c r="L44" i="1" s="1"/>
  <c r="O47" i="1"/>
  <c r="E46" i="1"/>
  <c r="I46" i="1" s="1"/>
  <c r="F45" i="1"/>
  <c r="G45" i="1" s="1"/>
  <c r="I45" i="1"/>
  <c r="J45" i="1" l="1"/>
  <c r="F46" i="1"/>
  <c r="G46" i="1" s="1"/>
  <c r="J46" i="1" s="1"/>
  <c r="K46" i="1" s="1"/>
  <c r="K45" i="1"/>
  <c r="L45" i="1" s="1"/>
  <c r="O48" i="1"/>
  <c r="E47" i="1"/>
  <c r="O49" i="1" l="1"/>
  <c r="E48" i="1"/>
  <c r="F47" i="1"/>
  <c r="G47" i="1" s="1"/>
  <c r="I47" i="1"/>
  <c r="L46" i="1"/>
  <c r="J47" i="1" l="1"/>
  <c r="K47" i="1"/>
  <c r="L47" i="1" s="1"/>
  <c r="F48" i="1"/>
  <c r="G48" i="1" s="1"/>
  <c r="I48" i="1"/>
  <c r="O50" i="1"/>
  <c r="E49" i="1"/>
  <c r="J48" i="1" l="1"/>
  <c r="K48" i="1"/>
  <c r="L48" i="1" s="1"/>
  <c r="O51" i="1"/>
  <c r="E50" i="1"/>
  <c r="F49" i="1"/>
  <c r="G49" i="1" s="1"/>
  <c r="I49" i="1"/>
  <c r="J49" i="1" l="1"/>
  <c r="K49" i="1" s="1"/>
  <c r="L49" i="1" s="1"/>
  <c r="F50" i="1"/>
  <c r="G50" i="1" s="1"/>
  <c r="I50" i="1"/>
  <c r="O52" i="1"/>
  <c r="E51" i="1"/>
  <c r="J50" i="1" l="1"/>
  <c r="K50" i="1" s="1"/>
  <c r="L50" i="1" s="1"/>
  <c r="F51" i="1"/>
  <c r="G51" i="1" s="1"/>
  <c r="I51" i="1"/>
  <c r="O53" i="1"/>
  <c r="O55" i="1" s="1"/>
  <c r="E52" i="1"/>
  <c r="J51" i="1" l="1"/>
  <c r="K51" i="1" s="1"/>
  <c r="L51" i="1" s="1"/>
  <c r="F52" i="1"/>
  <c r="G52" i="1" s="1"/>
  <c r="I52" i="1"/>
  <c r="E53" i="1"/>
  <c r="C55" i="1"/>
  <c r="B17" i="1" s="1"/>
  <c r="J52" i="1" l="1"/>
  <c r="K52" i="1" s="1"/>
  <c r="L52" i="1" s="1"/>
  <c r="F53" i="1"/>
  <c r="G53" i="1" s="1"/>
  <c r="I53" i="1"/>
  <c r="J53" i="1" l="1"/>
  <c r="K53" i="1" s="1"/>
  <c r="L53" i="1" s="1"/>
  <c r="F23" i="1"/>
  <c r="F22" i="1" l="1"/>
  <c r="F25" i="1"/>
</calcChain>
</file>

<file path=xl/sharedStrings.xml><?xml version="1.0" encoding="utf-8"?>
<sst xmlns="http://schemas.openxmlformats.org/spreadsheetml/2006/main" count="89" uniqueCount="76">
  <si>
    <t>kW</t>
  </si>
  <si>
    <t>W</t>
  </si>
  <si>
    <t>£</t>
  </si>
  <si>
    <t>L</t>
  </si>
  <si>
    <t>Efficiency</t>
  </si>
  <si>
    <t>Panel Size</t>
  </si>
  <si>
    <t>Grid savings</t>
  </si>
  <si>
    <t>£/kWh</t>
  </si>
  <si>
    <t>Cash Flow</t>
  </si>
  <si>
    <t>Discounted</t>
  </si>
  <si>
    <t>Net</t>
  </si>
  <si>
    <t>IRR</t>
  </si>
  <si>
    <t>estimate</t>
  </si>
  <si>
    <t>power</t>
  </si>
  <si>
    <t>slope</t>
  </si>
  <si>
    <t>intercep</t>
  </si>
  <si>
    <t>CO2 saved</t>
  </si>
  <si>
    <t>https://www.epa.gov/energy/greenhouse-gas-equivalencies-calculator#results</t>
  </si>
  <si>
    <t>eff</t>
  </si>
  <si>
    <t>NPV</t>
  </si>
  <si>
    <t>Pay Back Yr</t>
  </si>
  <si>
    <t>LCOE (p/kWh)</t>
  </si>
  <si>
    <t>https://ourworldindata.org/grapher/carbon-intensity-electricity?tab=chart&amp;country=~GBR</t>
  </si>
  <si>
    <t>ROI</t>
  </si>
  <si>
    <t xml:space="preserve">Efficiency of Solar Module </t>
  </si>
  <si>
    <t>Area available for installation</t>
  </si>
  <si>
    <t>square meters</t>
  </si>
  <si>
    <t>Total Power Rating of Installation</t>
  </si>
  <si>
    <t>meters</t>
  </si>
  <si>
    <t>Module Power Rating</t>
  </si>
  <si>
    <t>Watts</t>
  </si>
  <si>
    <t>Number of Panels to Install</t>
  </si>
  <si>
    <t>kWh</t>
  </si>
  <si>
    <t>Energy Generated by 1 kW/year</t>
  </si>
  <si>
    <t>(low limit)</t>
  </si>
  <si>
    <t>(high limit)</t>
  </si>
  <si>
    <t>Cost of each solar module</t>
  </si>
  <si>
    <t>Cost of panels</t>
  </si>
  <si>
    <t>Cost of inverter (3-4kW size)</t>
  </si>
  <si>
    <t>Cost of installation, cabling, fixtures</t>
  </si>
  <si>
    <t>Total Cost of Solar installation (year 0)</t>
  </si>
  <si>
    <t>Total Energy in 25 Years</t>
  </si>
  <si>
    <t>Generation High</t>
  </si>
  <si>
    <t>Generation Low</t>
  </si>
  <si>
    <t>kWh/yr</t>
  </si>
  <si>
    <t>Cost of Electricity high</t>
  </si>
  <si>
    <t>Cost of Electricity low</t>
  </si>
  <si>
    <t xml:space="preserve">Rate paid by utility for energy export </t>
  </si>
  <si>
    <t>Return on Investment</t>
  </si>
  <si>
    <t>Rate of Return</t>
  </si>
  <si>
    <t>Rate of capital depreciation</t>
  </si>
  <si>
    <t>Inflation rate</t>
  </si>
  <si>
    <t>Export Cash in</t>
  </si>
  <si>
    <t>Grid Price £/kWh</t>
  </si>
  <si>
    <t>Percentage of Energy use at home</t>
  </si>
  <si>
    <t>Percentage of Energy sold to utility</t>
  </si>
  <si>
    <t xml:space="preserve">Energy Sold kWh </t>
  </si>
  <si>
    <t>Energy Used</t>
  </si>
  <si>
    <t>Year</t>
  </si>
  <si>
    <t>CO2 intensity of the grid g/kWh</t>
  </si>
  <si>
    <t>Average Tons of C)2 save each year</t>
  </si>
  <si>
    <t>Net present value of investment</t>
  </si>
  <si>
    <t>Typical cost of a 10 modules system</t>
  </si>
  <si>
    <t>Record £/kWh</t>
  </si>
  <si>
    <t>Projected Cost of electricity</t>
  </si>
  <si>
    <t>Input Data</t>
  </si>
  <si>
    <t>Calculated</t>
  </si>
  <si>
    <t>www.pvcalc.org</t>
  </si>
  <si>
    <t>www.globalsolaratlas.info</t>
  </si>
  <si>
    <t>pvwatts.nrel.gov</t>
  </si>
  <si>
    <t>www.solarguide.co.uk/solar-pv-calculator</t>
  </si>
  <si>
    <t>To get an accurate estimate check the assumptions and enter your data at:</t>
  </si>
  <si>
    <t>Estimated here</t>
  </si>
  <si>
    <t>Module Degradation Rate</t>
  </si>
  <si>
    <t>Relative/year</t>
  </si>
  <si>
    <t>CO2 saved/yr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</si>
</sst>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;[Red]\-&quot;£&quot;#,##0"/>
    <numFmt numFmtId="8" formatCode="&quot;£&quot;#,##0.00;[Red]\-&quot;£&quot;#,##0.00"/>
    <numFmt numFmtId="164" formatCode="_(&quot;£&quot;* #,##0.00_);_(&quot;£&quot;* \(#,##0.00\);_(&quot;£&quot;* &quot;-&quot;??_);_(@_)"/>
    <numFmt numFmtId="165" formatCode="0.000%"/>
    <numFmt numFmtId="166" formatCode="_(&quot;£&quot;* #,##0.000_);_(&quot;£&quot;* \(#,##0.000\);_(&quot;£&quot;* &quot;-&quot;??_);_(@_)"/>
    <numFmt numFmtId="167" formatCode="_(&quot;£&quot;* #,##0.0000_);_(&quot;£&quot;* \(#,##0.0000\);_(&quot;£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3" borderId="1" applyNumberFormat="0" applyAlignment="0" applyProtection="0"/>
    <xf numFmtId="0" fontId="1" fillId="4" borderId="0" applyNumberFormat="0" applyBorder="0" applyAlignment="0" applyProtection="0"/>
  </cellStyleXfs>
  <cellXfs count="33">
    <xf numFmtId="0" fontId="0" fillId="0" borderId="0" xfId="0"/>
    <xf numFmtId="8" fontId="0" fillId="0" borderId="0" xfId="0" applyNumberFormat="1"/>
    <xf numFmtId="6" fontId="0" fillId="0" borderId="0" xfId="0" applyNumberFormat="1"/>
    <xf numFmtId="164" fontId="0" fillId="0" borderId="0" xfId="1" applyFont="1"/>
    <xf numFmtId="0" fontId="2" fillId="0" borderId="0" xfId="3"/>
    <xf numFmtId="0" fontId="0" fillId="2" borderId="0" xfId="0" applyFill="1"/>
    <xf numFmtId="8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166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/>
    <xf numFmtId="11" fontId="0" fillId="0" borderId="0" xfId="0" applyNumberFormat="1"/>
    <xf numFmtId="0" fontId="3" fillId="5" borderId="0" xfId="0" applyFont="1" applyFill="1"/>
    <xf numFmtId="10" fontId="1" fillId="4" borderId="0" xfId="5" applyNumberFormat="1"/>
    <xf numFmtId="0" fontId="1" fillId="4" borderId="0" xfId="5"/>
    <xf numFmtId="0" fontId="4" fillId="3" borderId="1" xfId="4"/>
    <xf numFmtId="164" fontId="1" fillId="4" borderId="0" xfId="5" applyNumberFormat="1"/>
    <xf numFmtId="164" fontId="4" fillId="3" borderId="1" xfId="4" applyNumberFormat="1"/>
    <xf numFmtId="167" fontId="4" fillId="3" borderId="1" xfId="4" applyNumberFormat="1"/>
    <xf numFmtId="166" fontId="4" fillId="3" borderId="1" xfId="4" applyNumberFormat="1"/>
    <xf numFmtId="9" fontId="1" fillId="4" borderId="0" xfId="5" applyNumberFormat="1"/>
    <xf numFmtId="9" fontId="4" fillId="3" borderId="1" xfId="4" applyNumberFormat="1"/>
    <xf numFmtId="10" fontId="4" fillId="3" borderId="1" xfId="4" applyNumberFormat="1"/>
    <xf numFmtId="8" fontId="4" fillId="3" borderId="1" xfId="4" applyNumberFormat="1"/>
    <xf numFmtId="0" fontId="5" fillId="0" borderId="0" xfId="0" applyFont="1"/>
    <xf numFmtId="2" fontId="1" fillId="4" borderId="0" xfId="5" applyNumberFormat="1"/>
    <xf numFmtId="2" fontId="4" fillId="3" borderId="1" xfId="4" applyNumberFormat="1"/>
    <xf numFmtId="0" fontId="5" fillId="5" borderId="0" xfId="0" applyFont="1" applyFill="1" applyAlignment="1">
      <alignment horizontal="center"/>
    </xf>
    <xf numFmtId="9" fontId="0" fillId="0" borderId="0" xfId="2" applyFont="1"/>
  </cellXfs>
  <cellStyles count="6">
    <cellStyle name="20% - Accent1" xfId="5" builtinId="30"/>
    <cellStyle name="Calculation" xfId="4" builtinId="22"/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222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77554160448838"/>
          <c:y val="6.6272887747390707E-2"/>
          <c:w val="0.57611523121873531"/>
          <c:h val="0.78084386376242798"/>
        </c:manualLayout>
      </c:layout>
      <c:scatterChart>
        <c:scatterStyle val="smoothMarker"/>
        <c:varyColors val="0"/>
        <c:ser>
          <c:idx val="1"/>
          <c:order val="0"/>
          <c:tx>
            <c:v>NPV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Rooftop!$C$64:$C$72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Rooftop!$E$64:$E$72</c:f>
              <c:numCache>
                <c:formatCode>General</c:formatCode>
                <c:ptCount val="9"/>
                <c:pt idx="0">
                  <c:v>438.2</c:v>
                </c:pt>
                <c:pt idx="1">
                  <c:v>846.33</c:v>
                </c:pt>
                <c:pt idx="2">
                  <c:v>1254.46</c:v>
                </c:pt>
                <c:pt idx="3">
                  <c:v>1662.59</c:v>
                </c:pt>
                <c:pt idx="4">
                  <c:v>2070.7199999999998</c:v>
                </c:pt>
                <c:pt idx="5">
                  <c:v>2478.85</c:v>
                </c:pt>
                <c:pt idx="6">
                  <c:v>2886.98</c:v>
                </c:pt>
                <c:pt idx="7">
                  <c:v>3295</c:v>
                </c:pt>
                <c:pt idx="8">
                  <c:v>3707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D8-A84A-AE51-756C98FA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18896"/>
        <c:axId val="2105720624"/>
      </c:scatterChart>
      <c:scatterChart>
        <c:scatterStyle val="smoothMarker"/>
        <c:varyColors val="0"/>
        <c:ser>
          <c:idx val="2"/>
          <c:order val="1"/>
          <c:tx>
            <c:v>Payback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Rooftop!$C$64:$C$72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Rooftop!$F$64:$F$72</c:f>
              <c:numCache>
                <c:formatCode>General</c:formatCode>
                <c:ptCount val="9"/>
                <c:pt idx="0">
                  <c:v>22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D8-A84A-AE51-756C98FA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34544"/>
        <c:axId val="1167593184"/>
      </c:scatterChart>
      <c:valAx>
        <c:axId val="2105718896"/>
        <c:scaling>
          <c:orientation val="minMax"/>
          <c:min val="1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5720624"/>
        <c:crosses val="autoZero"/>
        <c:crossBetween val="midCat"/>
      </c:valAx>
      <c:valAx>
        <c:axId val="2105720624"/>
        <c:scaling>
          <c:orientation val="minMax"/>
          <c:max val="4000"/>
          <c:min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Net Present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£&quot;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5718896"/>
        <c:crosses val="autoZero"/>
        <c:crossBetween val="midCat"/>
      </c:valAx>
      <c:valAx>
        <c:axId val="1167593184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Pay back Time (years)</a:t>
                </a:r>
              </a:p>
            </c:rich>
          </c:tx>
          <c:layout>
            <c:manualLayout>
              <c:xMode val="edge"/>
              <c:yMode val="edge"/>
              <c:x val="0.83057725208536859"/>
              <c:y val="6.59336151805982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634544"/>
        <c:crosses val="max"/>
        <c:crossBetween val="midCat"/>
      </c:valAx>
      <c:valAx>
        <c:axId val="120163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593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69267945489341309"/>
          <c:y val="0.76359415858336788"/>
          <c:w val="0.28575766821107002"/>
          <c:h val="0.179659918801884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33102158341057"/>
          <c:y val="3.0858408324581529E-2"/>
          <c:w val="0.54387768733735986"/>
          <c:h val="0.68149150226986588"/>
        </c:manualLayout>
      </c:layout>
      <c:scatterChart>
        <c:scatterStyle val="smoothMarker"/>
        <c:varyColors val="0"/>
        <c:ser>
          <c:idx val="1"/>
          <c:order val="0"/>
          <c:tx>
            <c:v>Cost of Electricity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Rooftop!$C$64:$C$72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Rooftop!$H$64:$H$72</c:f>
              <c:numCache>
                <c:formatCode>General</c:formatCode>
                <c:ptCount val="9"/>
                <c:pt idx="0">
                  <c:v>9.5</c:v>
                </c:pt>
                <c:pt idx="1">
                  <c:v>8.9600000000000009</c:v>
                </c:pt>
                <c:pt idx="2">
                  <c:v>8.49</c:v>
                </c:pt>
                <c:pt idx="3">
                  <c:v>8.06</c:v>
                </c:pt>
                <c:pt idx="4">
                  <c:v>7.68</c:v>
                </c:pt>
                <c:pt idx="5">
                  <c:v>7.33</c:v>
                </c:pt>
                <c:pt idx="6">
                  <c:v>7</c:v>
                </c:pt>
                <c:pt idx="7">
                  <c:v>6.72</c:v>
                </c:pt>
                <c:pt idx="8">
                  <c:v>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2-4D78-9D5D-8CED04EB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18896"/>
        <c:axId val="2105720624"/>
      </c:scatterChart>
      <c:scatterChart>
        <c:scatterStyle val="smoothMarker"/>
        <c:varyColors val="0"/>
        <c:ser>
          <c:idx val="2"/>
          <c:order val="1"/>
          <c:tx>
            <c:v>Internal Rate of Return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Rooftop!$C$64:$C$72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Rooftop!$D$64:$D$72</c:f>
              <c:numCache>
                <c:formatCode>General</c:formatCode>
                <c:ptCount val="9"/>
                <c:pt idx="0">
                  <c:v>5.74</c:v>
                </c:pt>
                <c:pt idx="1">
                  <c:v>6.41</c:v>
                </c:pt>
                <c:pt idx="2">
                  <c:v>7.08</c:v>
                </c:pt>
                <c:pt idx="3">
                  <c:v>7.73</c:v>
                </c:pt>
                <c:pt idx="4">
                  <c:v>8.3699999999999992</c:v>
                </c:pt>
                <c:pt idx="5">
                  <c:v>9.01</c:v>
                </c:pt>
                <c:pt idx="6">
                  <c:v>9.65</c:v>
                </c:pt>
                <c:pt idx="7">
                  <c:v>10.28</c:v>
                </c:pt>
                <c:pt idx="8">
                  <c:v>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2-4D78-9D5D-8CED04EB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34544"/>
        <c:axId val="1167593184"/>
      </c:scatterChart>
      <c:valAx>
        <c:axId val="2105718896"/>
        <c:scaling>
          <c:orientation val="minMax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Solar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5720624"/>
        <c:crosses val="autoZero"/>
        <c:crossBetween val="midCat"/>
      </c:valAx>
      <c:valAx>
        <c:axId val="2105720624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Cost of Electricity (£ pence/kWh)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5718896"/>
        <c:crosses val="autoZero"/>
        <c:crossBetween val="midCat"/>
      </c:valAx>
      <c:valAx>
        <c:axId val="1167593184"/>
        <c:scaling>
          <c:orientation val="minMax"/>
          <c:min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Internal Rate of Return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634544"/>
        <c:crosses val="max"/>
        <c:crossBetween val="midCat"/>
      </c:valAx>
      <c:valAx>
        <c:axId val="120163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593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65464642420226427"/>
          <c:y val="0.80407349941252371"/>
          <c:w val="0.32909227437340338"/>
          <c:h val="0.1844834209367475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77554160448838"/>
          <c:y val="6.6272887747390707E-2"/>
          <c:w val="0.57611523121873531"/>
          <c:h val="0.69796771652442235"/>
        </c:manualLayout>
      </c:layout>
      <c:scatterChart>
        <c:scatterStyle val="smoothMarker"/>
        <c:varyColors val="0"/>
        <c:ser>
          <c:idx val="1"/>
          <c:order val="0"/>
          <c:tx>
            <c:v>NPV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Rooftop!$C$64:$C$72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Rooftop!$E$64:$E$72</c:f>
              <c:numCache>
                <c:formatCode>General</c:formatCode>
                <c:ptCount val="9"/>
                <c:pt idx="0">
                  <c:v>438.2</c:v>
                </c:pt>
                <c:pt idx="1">
                  <c:v>846.33</c:v>
                </c:pt>
                <c:pt idx="2">
                  <c:v>1254.46</c:v>
                </c:pt>
                <c:pt idx="3">
                  <c:v>1662.59</c:v>
                </c:pt>
                <c:pt idx="4">
                  <c:v>2070.7199999999998</c:v>
                </c:pt>
                <c:pt idx="5">
                  <c:v>2478.85</c:v>
                </c:pt>
                <c:pt idx="6">
                  <c:v>2886.98</c:v>
                </c:pt>
                <c:pt idx="7">
                  <c:v>3295</c:v>
                </c:pt>
                <c:pt idx="8">
                  <c:v>3707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4466-819E-64FE89CF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18896"/>
        <c:axId val="2105720624"/>
      </c:scatterChart>
      <c:scatterChart>
        <c:scatterStyle val="smoothMarker"/>
        <c:varyColors val="0"/>
        <c:ser>
          <c:idx val="2"/>
          <c:order val="1"/>
          <c:tx>
            <c:v>Payback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Rooftop!$C$64:$C$72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Rooftop!$F$64:$F$72</c:f>
              <c:numCache>
                <c:formatCode>General</c:formatCode>
                <c:ptCount val="9"/>
                <c:pt idx="0">
                  <c:v>22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4-4466-819E-64FE89CF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34544"/>
        <c:axId val="1167593184"/>
      </c:scatterChart>
      <c:valAx>
        <c:axId val="2105718896"/>
        <c:scaling>
          <c:orientation val="minMax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Module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5720624"/>
        <c:crosses val="autoZero"/>
        <c:crossBetween val="midCat"/>
        <c:majorUnit val="2"/>
      </c:valAx>
      <c:valAx>
        <c:axId val="2105720624"/>
        <c:scaling>
          <c:orientation val="minMax"/>
          <c:max val="4000"/>
          <c:min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Net Present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£&quot;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5718896"/>
        <c:crosses val="autoZero"/>
        <c:crossBetween val="midCat"/>
      </c:valAx>
      <c:valAx>
        <c:axId val="1167593184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Pay back Time (years)</a:t>
                </a:r>
              </a:p>
            </c:rich>
          </c:tx>
          <c:layout>
            <c:manualLayout>
              <c:xMode val="edge"/>
              <c:yMode val="edge"/>
              <c:x val="0.83057725208536859"/>
              <c:y val="6.59336151805982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634544"/>
        <c:crosses val="max"/>
        <c:crossBetween val="midCat"/>
      </c:valAx>
      <c:valAx>
        <c:axId val="120163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593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67710978613974904"/>
          <c:y val="0.799112507399656"/>
          <c:w val="0.28575766821107002"/>
          <c:h val="0.179659918801884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33102158341057"/>
          <c:y val="5.3331451732061157E-2"/>
          <c:w val="0.59917023219566568"/>
          <c:h val="0.65901845886238619"/>
        </c:manualLayout>
      </c:layout>
      <c:scatterChart>
        <c:scatterStyle val="smoothMarker"/>
        <c:varyColors val="0"/>
        <c:ser>
          <c:idx val="1"/>
          <c:order val="0"/>
          <c:tx>
            <c:v>Cost of Electricity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Rooftop!$C$64:$C$72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Rooftop!$H$64:$H$72</c:f>
              <c:numCache>
                <c:formatCode>General</c:formatCode>
                <c:ptCount val="9"/>
                <c:pt idx="0">
                  <c:v>9.5</c:v>
                </c:pt>
                <c:pt idx="1">
                  <c:v>8.9600000000000009</c:v>
                </c:pt>
                <c:pt idx="2">
                  <c:v>8.49</c:v>
                </c:pt>
                <c:pt idx="3">
                  <c:v>8.06</c:v>
                </c:pt>
                <c:pt idx="4">
                  <c:v>7.68</c:v>
                </c:pt>
                <c:pt idx="5">
                  <c:v>7.33</c:v>
                </c:pt>
                <c:pt idx="6">
                  <c:v>7</c:v>
                </c:pt>
                <c:pt idx="7">
                  <c:v>6.72</c:v>
                </c:pt>
                <c:pt idx="8">
                  <c:v>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7-446B-806E-B8F98694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18896"/>
        <c:axId val="2105720624"/>
      </c:scatterChart>
      <c:scatterChart>
        <c:scatterStyle val="smoothMarker"/>
        <c:varyColors val="0"/>
        <c:ser>
          <c:idx val="2"/>
          <c:order val="1"/>
          <c:tx>
            <c:v>Internal Rate of Return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Rooftop!$C$64:$C$72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Rooftop!$D$64:$D$72</c:f>
              <c:numCache>
                <c:formatCode>General</c:formatCode>
                <c:ptCount val="9"/>
                <c:pt idx="0">
                  <c:v>5.74</c:v>
                </c:pt>
                <c:pt idx="1">
                  <c:v>6.41</c:v>
                </c:pt>
                <c:pt idx="2">
                  <c:v>7.08</c:v>
                </c:pt>
                <c:pt idx="3">
                  <c:v>7.73</c:v>
                </c:pt>
                <c:pt idx="4">
                  <c:v>8.3699999999999992</c:v>
                </c:pt>
                <c:pt idx="5">
                  <c:v>9.01</c:v>
                </c:pt>
                <c:pt idx="6">
                  <c:v>9.65</c:v>
                </c:pt>
                <c:pt idx="7">
                  <c:v>10.28</c:v>
                </c:pt>
                <c:pt idx="8">
                  <c:v>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7-446B-806E-B8F98694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34544"/>
        <c:axId val="1167593184"/>
      </c:scatterChart>
      <c:valAx>
        <c:axId val="2105718896"/>
        <c:scaling>
          <c:orientation val="minMax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Solar Module</a:t>
                </a:r>
              </a:p>
              <a:p>
                <a:pPr>
                  <a:defRPr/>
                </a:pPr>
                <a:r>
                  <a:rPr lang="en-GB"/>
                  <a:t>Efficiency (%)</a:t>
                </a:r>
              </a:p>
            </c:rich>
          </c:tx>
          <c:layout>
            <c:manualLayout>
              <c:xMode val="edge"/>
              <c:yMode val="edge"/>
              <c:x val="0.34010330328892158"/>
              <c:y val="0.80774797985919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5720624"/>
        <c:crosses val="autoZero"/>
        <c:crossBetween val="midCat"/>
        <c:majorUnit val="2"/>
      </c:valAx>
      <c:valAx>
        <c:axId val="2105720624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Cost of Electricity </a:t>
                </a:r>
              </a:p>
              <a:p>
                <a:pPr>
                  <a:defRPr/>
                </a:pPr>
                <a:r>
                  <a:rPr lang="en-GB"/>
                  <a:t>(£ pence/kWh)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5718896"/>
        <c:crosses val="autoZero"/>
        <c:crossBetween val="midCat"/>
      </c:valAx>
      <c:valAx>
        <c:axId val="1167593184"/>
        <c:scaling>
          <c:orientation val="minMax"/>
          <c:min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Internal Rate of Return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634544"/>
        <c:crosses val="max"/>
        <c:crossBetween val="midCat"/>
      </c:valAx>
      <c:valAx>
        <c:axId val="120163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593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5820750127074692"/>
          <c:y val="0.80969180963739662"/>
          <c:w val="0.4120308440480609"/>
          <c:h val="0.1844833367691726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36641883427351"/>
          <c:y val="5.4189997083697872E-2"/>
          <c:w val="0.64065161634656009"/>
          <c:h val="0.71452099737532804"/>
        </c:manualLayout>
      </c:layout>
      <c:scatterChart>
        <c:scatterStyle val="smoothMarker"/>
        <c:varyColors val="0"/>
        <c:ser>
          <c:idx val="0"/>
          <c:order val="0"/>
          <c:tx>
            <c:v>Efficiency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Rooftop!$A$29:$A$53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Rooftop!$B$29:$B$53</c:f>
              <c:numCache>
                <c:formatCode>0.000%</c:formatCode>
                <c:ptCount val="25"/>
                <c:pt idx="0">
                  <c:v>0.21</c:v>
                </c:pt>
                <c:pt idx="1">
                  <c:v>0.208845</c:v>
                </c:pt>
                <c:pt idx="2">
                  <c:v>0.20769635250000001</c:v>
                </c:pt>
                <c:pt idx="3">
                  <c:v>0.20655402256125002</c:v>
                </c:pt>
                <c:pt idx="4">
                  <c:v>0.20541797543716317</c:v>
                </c:pt>
                <c:pt idx="5">
                  <c:v>0.20428817657225878</c:v>
                </c:pt>
                <c:pt idx="6">
                  <c:v>0.20316459160111136</c:v>
                </c:pt>
                <c:pt idx="7">
                  <c:v>0.20204718634730526</c:v>
                </c:pt>
                <c:pt idx="8">
                  <c:v>0.20093592682239508</c:v>
                </c:pt>
                <c:pt idx="9">
                  <c:v>0.19983077922487191</c:v>
                </c:pt>
                <c:pt idx="10">
                  <c:v>0.19873170993913514</c:v>
                </c:pt>
                <c:pt idx="11">
                  <c:v>0.19763868553446989</c:v>
                </c:pt>
                <c:pt idx="12">
                  <c:v>0.19655167276403032</c:v>
                </c:pt>
                <c:pt idx="13">
                  <c:v>0.19547063856382815</c:v>
                </c:pt>
                <c:pt idx="14">
                  <c:v>0.1943955500517271</c:v>
                </c:pt>
                <c:pt idx="15">
                  <c:v>0.19332637452644261</c:v>
                </c:pt>
                <c:pt idx="16">
                  <c:v>0.19226307946654719</c:v>
                </c:pt>
                <c:pt idx="17">
                  <c:v>0.1912056325294812</c:v>
                </c:pt>
                <c:pt idx="18">
                  <c:v>0.19015400155056905</c:v>
                </c:pt>
                <c:pt idx="19">
                  <c:v>0.18910815454204094</c:v>
                </c:pt>
                <c:pt idx="20">
                  <c:v>0.18806805969205972</c:v>
                </c:pt>
                <c:pt idx="21">
                  <c:v>0.18703368536375339</c:v>
                </c:pt>
                <c:pt idx="22">
                  <c:v>0.18600500009425275</c:v>
                </c:pt>
                <c:pt idx="23">
                  <c:v>0.18498197259373436</c:v>
                </c:pt>
                <c:pt idx="24">
                  <c:v>0.18396457174446884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B-47F0-92D8-7402C749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88079"/>
        <c:axId val="1375111983"/>
      </c:scatterChart>
      <c:scatterChart>
        <c:scatterStyle val="smoothMarker"/>
        <c:varyColors val="0"/>
        <c:ser>
          <c:idx val="1"/>
          <c:order val="1"/>
          <c:tx>
            <c:v>Energy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Rooftop!$A$29:$A$53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Rooftop!$C$29:$C$53</c:f>
              <c:numCache>
                <c:formatCode>0.00</c:formatCode>
                <c:ptCount val="25"/>
                <c:pt idx="0">
                  <c:v>3612</c:v>
                </c:pt>
                <c:pt idx="1">
                  <c:v>3592.134</c:v>
                </c:pt>
                <c:pt idx="2">
                  <c:v>3572.3772630000003</c:v>
                </c:pt>
                <c:pt idx="3">
                  <c:v>3552.7291880535004</c:v>
                </c:pt>
                <c:pt idx="4">
                  <c:v>3533.1891775192062</c:v>
                </c:pt>
                <c:pt idx="5">
                  <c:v>3513.7566370428508</c:v>
                </c:pt>
                <c:pt idx="6">
                  <c:v>3494.4309755391155</c:v>
                </c:pt>
                <c:pt idx="7">
                  <c:v>3475.2116051736507</c:v>
                </c:pt>
                <c:pt idx="8">
                  <c:v>3456.097941345196</c:v>
                </c:pt>
                <c:pt idx="9">
                  <c:v>3437.0894026677975</c:v>
                </c:pt>
                <c:pt idx="10">
                  <c:v>3418.1854109531246</c:v>
                </c:pt>
                <c:pt idx="11">
                  <c:v>3399.3853911928827</c:v>
                </c:pt>
                <c:pt idx="12">
                  <c:v>3380.6887715413222</c:v>
                </c:pt>
                <c:pt idx="13">
                  <c:v>3362.0949832978449</c:v>
                </c:pt>
                <c:pt idx="14">
                  <c:v>3343.6034608897071</c:v>
                </c:pt>
                <c:pt idx="15">
                  <c:v>3325.2136418548139</c:v>
                </c:pt>
                <c:pt idx="16">
                  <c:v>3306.9249668246125</c:v>
                </c:pt>
                <c:pt idx="17">
                  <c:v>3288.7368795070774</c:v>
                </c:pt>
                <c:pt idx="18">
                  <c:v>3270.6488266697888</c:v>
                </c:pt>
                <c:pt idx="19">
                  <c:v>3252.660258123105</c:v>
                </c:pt>
                <c:pt idx="20">
                  <c:v>3234.7706267034282</c:v>
                </c:pt>
                <c:pt idx="21">
                  <c:v>3216.9793882565596</c:v>
                </c:pt>
                <c:pt idx="22">
                  <c:v>3199.2860016211484</c:v>
                </c:pt>
                <c:pt idx="23">
                  <c:v>3181.6899286122325</c:v>
                </c:pt>
                <c:pt idx="24">
                  <c:v>3164.1906340048654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B-47F0-92D8-7402C749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228303"/>
        <c:axId val="1186434975"/>
      </c:scatterChart>
      <c:valAx>
        <c:axId val="1260088079"/>
        <c:scaling>
          <c:orientation val="minMax"/>
          <c:max val="2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Year of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111983"/>
        <c:crosses val="autoZero"/>
        <c:crossBetween val="midCat"/>
        <c:majorUnit val="5"/>
      </c:valAx>
      <c:valAx>
        <c:axId val="1375111983"/>
        <c:scaling>
          <c:orientation val="minMax"/>
          <c:max val="0.21000000000000002"/>
          <c:min val="0.18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Solar Module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0088079"/>
        <c:crosses val="autoZero"/>
        <c:crossBetween val="midCat"/>
      </c:valAx>
      <c:valAx>
        <c:axId val="1186434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Energy Generated (kWh/year)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6228303"/>
        <c:crosses val="max"/>
        <c:crossBetween val="midCat"/>
        <c:majorUnit val="100"/>
      </c:valAx>
      <c:valAx>
        <c:axId val="1356228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43497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758507964982245"/>
          <c:y val="0.54711465796285685"/>
          <c:w val="0.16533431564117751"/>
          <c:h val="0.185539170824745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Average Energy Prices in UK, in 2023 £/kWh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33674772954267"/>
          <c:y val="0.15684721869443738"/>
          <c:w val="0.77988135553852234"/>
          <c:h val="0.6476689103378207"/>
        </c:manualLayout>
      </c:layout>
      <c:barChart>
        <c:barDir val="col"/>
        <c:grouping val="clustered"/>
        <c:varyColors val="0"/>
        <c:ser>
          <c:idx val="1"/>
          <c:order val="0"/>
          <c:tx>
            <c:v>Historical record of electricity prices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'UK electricity estimate'!$A$19:$A$57</c:f>
              <c:numCache>
                <c:formatCode>General</c:formatCode>
                <c:ptCount val="3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</c:numCache>
            </c:numRef>
          </c:cat>
          <c:val>
            <c:numRef>
              <c:f>'UK electricity estimate'!$B$19:$B$33</c:f>
              <c:numCache>
                <c:formatCode>_("£"* #,##0.00_);_("£"* \(#,##0.00\);_("£"* "-"??_);_(@_)</c:formatCode>
                <c:ptCount val="15"/>
                <c:pt idx="0">
                  <c:v>12.681825535092001</c:v>
                </c:pt>
                <c:pt idx="1">
                  <c:v>13.653764310602201</c:v>
                </c:pt>
                <c:pt idx="2">
                  <c:v>14.496111249377799</c:v>
                </c:pt>
                <c:pt idx="3">
                  <c:v>15.144070433051199</c:v>
                </c:pt>
                <c:pt idx="4">
                  <c:v>15.5976418616227</c:v>
                </c:pt>
                <c:pt idx="5">
                  <c:v>15.3384581881533</c:v>
                </c:pt>
                <c:pt idx="6">
                  <c:v>15.3384581881533</c:v>
                </c:pt>
                <c:pt idx="7">
                  <c:v>16.439988800398201</c:v>
                </c:pt>
                <c:pt idx="8">
                  <c:v>17.735907167745101</c:v>
                </c:pt>
                <c:pt idx="9">
                  <c:v>19.3558051269288</c:v>
                </c:pt>
                <c:pt idx="10">
                  <c:v>19.5501928820308</c:v>
                </c:pt>
                <c:pt idx="11">
                  <c:v>21.364478596316498</c:v>
                </c:pt>
                <c:pt idx="12">
                  <c:v>32.055805126928803</c:v>
                </c:pt>
                <c:pt idx="13">
                  <c:v>29.917539820806301</c:v>
                </c:pt>
                <c:pt idx="14">
                  <c:v>28.4920296167247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6-6F45-8365-67CAF2F3C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16672"/>
        <c:axId val="342169760"/>
      </c:barChart>
      <c:lineChart>
        <c:grouping val="standard"/>
        <c:varyColors val="0"/>
        <c:ser>
          <c:idx val="2"/>
          <c:order val="1"/>
          <c:tx>
            <c:v>Model of projected prices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'UK electricity estimate'!$C$19:$C$49</c:f>
              <c:numCache>
                <c:formatCode>_("£"* #,##0.00_);_("£"* \(#,##0.00\);_("£"* "-"??_);_(@_)</c:formatCode>
                <c:ptCount val="31"/>
                <c:pt idx="0">
                  <c:v>12.566319511009418</c:v>
                </c:pt>
                <c:pt idx="1">
                  <c:v>13.325390128958803</c:v>
                </c:pt>
                <c:pt idx="2">
                  <c:v>14.035239624290096</c:v>
                </c:pt>
                <c:pt idx="3">
                  <c:v>14.705505632961241</c:v>
                </c:pt>
                <c:pt idx="4">
                  <c:v>15.342982047116381</c:v>
                </c:pt>
                <c:pt idx="5">
                  <c:v>15.952679263837432</c:v>
                </c:pt>
                <c:pt idx="6">
                  <c:v>16.538422832729751</c:v>
                </c:pt>
                <c:pt idx="7">
                  <c:v>17.103215174614601</c:v>
                </c:pt>
                <c:pt idx="8">
                  <c:v>17.649466050090165</c:v>
                </c:pt>
                <c:pt idx="9">
                  <c:v>18.179145814417286</c:v>
                </c:pt>
                <c:pt idx="10">
                  <c:v>18.693890979968518</c:v>
                </c:pt>
                <c:pt idx="11">
                  <c:v>19.195079107728944</c:v>
                </c:pt>
                <c:pt idx="12">
                  <c:v>19.683883292296223</c:v>
                </c:pt>
                <c:pt idx="13">
                  <c:v>20.161312669423527</c:v>
                </c:pt>
                <c:pt idx="14">
                  <c:v>20.628243106023039</c:v>
                </c:pt>
                <c:pt idx="15">
                  <c:v>21.085440841362903</c:v>
                </c:pt>
                <c:pt idx="16">
                  <c:v>21.533580968401857</c:v>
                </c:pt>
                <c:pt idx="17">
                  <c:v>21.973262072459917</c:v>
                </c:pt>
                <c:pt idx="18">
                  <c:v>22.405017963789636</c:v>
                </c:pt>
                <c:pt idx="19">
                  <c:v>22.829327181692992</c:v>
                </c:pt>
                <c:pt idx="20">
                  <c:v>23.246620768265181</c:v>
                </c:pt>
                <c:pt idx="21">
                  <c:v>23.657288683122115</c:v>
                </c:pt>
                <c:pt idx="22">
                  <c:v>24.061685139605189</c:v>
                </c:pt>
                <c:pt idx="23">
                  <c:v>24.460133076858053</c:v>
                </c:pt>
                <c:pt idx="24">
                  <c:v>24.8529279334441</c:v>
                </c:pt>
                <c:pt idx="25">
                  <c:v>25.240340851815198</c:v>
                </c:pt>
                <c:pt idx="26">
                  <c:v>25.622621415505087</c:v>
                </c:pt>
                <c:pt idx="27">
                  <c:v>25.999999999999996</c:v>
                </c:pt>
                <c:pt idx="28">
                  <c:v>26.372689802132072</c:v>
                </c:pt>
                <c:pt idx="29">
                  <c:v>26.74088860032823</c:v>
                </c:pt>
                <c:pt idx="30">
                  <c:v>27.104780288244811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6-6F45-8365-67CAF2F3C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116672"/>
        <c:axId val="342169760"/>
      </c:lineChart>
      <c:catAx>
        <c:axId val="34211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21697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4216976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Energy prices in £/kWh</a:t>
                </a:r>
              </a:p>
            </c:rich>
          </c:tx>
          <c:layout>
            <c:manualLayout>
              <c:xMode val="edge"/>
              <c:yMode val="edge"/>
              <c:x val="5.317167212505516E-3"/>
              <c:y val="0.19562103124206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2116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1474926253687312"/>
          <c:y val="0.50846774193548383"/>
          <c:w val="0.31917404129793508"/>
          <c:h val="0.269897129794259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33267</xdr:colOff>
      <xdr:row>72</xdr:row>
      <xdr:rowOff>94705</xdr:rowOff>
    </xdr:from>
    <xdr:to>
      <xdr:col>7</xdr:col>
      <xdr:colOff>144575</xdr:colOff>
      <xdr:row>83</xdr:row>
      <xdr:rowOff>144575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34AE2-B31E-14A3-279E-423EDF1F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1179634</xdr:colOff>
      <xdr:row>83</xdr:row>
      <xdr:rowOff>29061</xdr:rowOff>
    </xdr:from>
    <xdr:to>
      <xdr:col>7</xdr:col>
      <xdr:colOff>332334</xdr:colOff>
      <xdr:row>95</xdr:row>
      <xdr:rowOff>3547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DE8A4F-3E9B-4E2D-972E-DB66E7198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112589</xdr:colOff>
      <xdr:row>99</xdr:row>
      <xdr:rowOff>0</xdr:rowOff>
    </xdr:from>
    <xdr:to>
      <xdr:col>6</xdr:col>
      <xdr:colOff>463826</xdr:colOff>
      <xdr:row>110</xdr:row>
      <xdr:rowOff>49870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9E891-F566-463B-8761-05B34EB3B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397564</xdr:colOff>
      <xdr:row>99</xdr:row>
      <xdr:rowOff>17182</xdr:rowOff>
    </xdr:from>
    <xdr:to>
      <xdr:col>10</xdr:col>
      <xdr:colOff>651851</xdr:colOff>
      <xdr:row>110</xdr:row>
      <xdr:rowOff>182168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2DA5A-33B1-4B4E-A869-E00EB7150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111813</xdr:colOff>
      <xdr:row>2</xdr:row>
      <xdr:rowOff>28160</xdr:rowOff>
    </xdr:from>
    <xdr:to>
      <xdr:col>18</xdr:col>
      <xdr:colOff>190498</xdr:colOff>
      <xdr:row>15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CF8621-991D-8EE2-8480-9C32EF8CC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117474</xdr:colOff>
      <xdr:row>0</xdr:row>
      <xdr:rowOff>81788</xdr:rowOff>
    </xdr:from>
    <xdr:to>
      <xdr:col>6</xdr:col>
      <xdr:colOff>268819</xdr:colOff>
      <xdr:row>16</xdr:row>
      <xdr:rowOff>190499</xdr:rowOff>
    </xdr:to>
    <xdr:pic>
      <xdr:nvPicPr>
        <xdr:cNvPr id="2" name="Picture 1" descr="chart showing historical energy prices in the UK, pence per kWh">
          <a:extLst>
            <a:ext uri="{FF2B5EF4-FFF2-40B4-BE49-F238E27FC236}">
              <a16:creationId xmlns:a16="http://schemas.microsoft.com/office/drawing/2014/main" id="{13361749-E659-32B5-695E-66B017B6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4" y="81788"/>
          <a:ext cx="4761445" cy="3156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676274</xdr:colOff>
      <xdr:row>0</xdr:row>
      <xdr:rowOff>98425</xdr:rowOff>
    </xdr:from>
    <xdr:to>
      <xdr:col>14</xdr:col>
      <xdr:colOff>285750</xdr:colOff>
      <xdr:row>17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5DE77-0E45-77B7-C89E-B6054EDCC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vwatts.nrel.gov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ourworldindata.org/grapher/carbon-intensity-electricity?tab=chart&amp;country=~GBR" TargetMode="External"/><Relationship Id="rId1" Type="http://schemas.openxmlformats.org/officeDocument/2006/relationships/hyperlink" Target="https://www.epa.gov/energy/greenhouse-gas-equivalencies-calculator" TargetMode="External"/><Relationship Id="rId6" Type="http://schemas.openxmlformats.org/officeDocument/2006/relationships/hyperlink" Target="http://www.solarguide.co.uk/solar-pv-calculator" TargetMode="External"/><Relationship Id="rId5" Type="http://schemas.openxmlformats.org/officeDocument/2006/relationships/hyperlink" Target="http://www.globalsolaratlas.info/" TargetMode="External"/><Relationship Id="rId4" Type="http://schemas.openxmlformats.org/officeDocument/2006/relationships/hyperlink" Target="http://www.pvcalc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F513-F496-43F6-8D2E-7B6FCFB0D603}">
  <dimension ref="A1:P72"/>
  <sheetViews>
    <sheetView tabSelected="1" zoomScale="115" zoomScaleNormal="115" workbookViewId="0">
      <selection activeCell="H16" sqref="H16"/>
    </sheetView>
  </sheetViews>
  <sheetFormatPr defaultColWidth="8.85546875" defaultRowHeight="15" x14ac:dyDescent="0.25"/>
  <cols>
    <col min="1" max="1" width="30.28515625" customWidth="1"/>
    <col min="2" max="2" width="18.85546875" customWidth="1"/>
    <col min="3" max="3" width="12.85546875" bestFit="1" customWidth="1"/>
    <col min="4" max="4" width="12.42578125" bestFit="1" customWidth="1"/>
    <col min="5" max="5" width="14" customWidth="1"/>
    <col min="6" max="6" width="16.5703125" bestFit="1" customWidth="1"/>
    <col min="7" max="7" width="14.85546875" customWidth="1"/>
    <col min="8" max="8" width="16.140625" customWidth="1"/>
    <col min="9" max="9" width="11.42578125" customWidth="1"/>
    <col min="11" max="11" width="9.85546875" bestFit="1" customWidth="1"/>
    <col min="12" max="12" width="10.7109375" customWidth="1"/>
    <col min="13" max="13" width="4.7109375" bestFit="1" customWidth="1"/>
    <col min="15" max="15" width="9.85546875" customWidth="1"/>
    <col min="18" max="18" width="10.85546875" customWidth="1"/>
    <col min="20" max="20" width="9.42578125" customWidth="1"/>
    <col min="22" max="23" width="11" bestFit="1" customWidth="1"/>
    <col min="26" max="26" width="11.140625" bestFit="1" customWidth="1"/>
  </cols>
  <sheetData>
    <row r="1" spans="1:7" x14ac:dyDescent="0.25">
      <c r="D1" s="18" t="s">
        <v>65</v>
      </c>
      <c r="E1" s="19" t="s">
        <v>66</v>
      </c>
    </row>
    <row r="2" spans="1:7" x14ac:dyDescent="0.25">
      <c r="A2" s="16" t="s">
        <v>24</v>
      </c>
      <c r="B2" s="17">
        <v>0.21</v>
      </c>
    </row>
    <row r="3" spans="1:7" x14ac:dyDescent="0.25">
      <c r="A3" s="16" t="s">
        <v>73</v>
      </c>
      <c r="B3" s="17">
        <v>5.4999999999999997E-3</v>
      </c>
      <c r="C3" t="s">
        <v>74</v>
      </c>
    </row>
    <row r="4" spans="1:7" x14ac:dyDescent="0.25">
      <c r="A4" s="16" t="s">
        <v>25</v>
      </c>
      <c r="B4" s="29">
        <v>20</v>
      </c>
      <c r="C4" t="s">
        <v>26</v>
      </c>
    </row>
    <row r="5" spans="1:7" x14ac:dyDescent="0.25">
      <c r="A5" s="16" t="s">
        <v>27</v>
      </c>
      <c r="B5" s="30">
        <f>B4*B2</f>
        <v>4.2</v>
      </c>
      <c r="C5" t="s">
        <v>0</v>
      </c>
      <c r="G5" s="15"/>
    </row>
    <row r="6" spans="1:7" x14ac:dyDescent="0.25">
      <c r="A6" s="16" t="s">
        <v>5</v>
      </c>
      <c r="B6" s="19">
        <f>D6*D7</f>
        <v>2</v>
      </c>
      <c r="C6" s="7" t="s">
        <v>3</v>
      </c>
      <c r="D6" s="18">
        <v>1</v>
      </c>
      <c r="E6" t="s">
        <v>28</v>
      </c>
    </row>
    <row r="7" spans="1:7" x14ac:dyDescent="0.25">
      <c r="A7" s="12"/>
      <c r="C7" s="7" t="s">
        <v>1</v>
      </c>
      <c r="D7" s="18">
        <v>2</v>
      </c>
      <c r="E7" t="s">
        <v>28</v>
      </c>
    </row>
    <row r="8" spans="1:7" x14ac:dyDescent="0.25">
      <c r="A8" s="16" t="s">
        <v>29</v>
      </c>
      <c r="B8" s="19">
        <f>B6*1000*B2</f>
        <v>420</v>
      </c>
      <c r="C8" t="s">
        <v>30</v>
      </c>
    </row>
    <row r="9" spans="1:7" x14ac:dyDescent="0.25">
      <c r="A9" s="16" t="s">
        <v>31</v>
      </c>
      <c r="B9" s="19">
        <f>ROUND(B5/B8*1000,0)</f>
        <v>10</v>
      </c>
    </row>
    <row r="10" spans="1:7" x14ac:dyDescent="0.25">
      <c r="A10" s="16" t="s">
        <v>33</v>
      </c>
      <c r="B10" s="18">
        <v>860</v>
      </c>
      <c r="C10" t="s">
        <v>32</v>
      </c>
      <c r="D10" t="s">
        <v>34</v>
      </c>
      <c r="E10" t="s">
        <v>71</v>
      </c>
    </row>
    <row r="11" spans="1:7" x14ac:dyDescent="0.25">
      <c r="A11" s="12"/>
      <c r="B11" s="18">
        <v>980</v>
      </c>
      <c r="C11" t="s">
        <v>32</v>
      </c>
      <c r="D11" t="s">
        <v>35</v>
      </c>
      <c r="E11" s="4" t="s">
        <v>69</v>
      </c>
    </row>
    <row r="12" spans="1:7" x14ac:dyDescent="0.25">
      <c r="A12" s="16" t="s">
        <v>36</v>
      </c>
      <c r="B12" s="20">
        <v>100</v>
      </c>
      <c r="C12" t="s">
        <v>2</v>
      </c>
      <c r="E12" s="4" t="s">
        <v>67</v>
      </c>
    </row>
    <row r="13" spans="1:7" x14ac:dyDescent="0.25">
      <c r="A13" s="16" t="s">
        <v>37</v>
      </c>
      <c r="B13" s="21">
        <f>B12*B9</f>
        <v>1000</v>
      </c>
      <c r="C13" t="s">
        <v>2</v>
      </c>
      <c r="D13" s="32">
        <f>+B13/B16</f>
        <v>0.15384615384615385</v>
      </c>
      <c r="E13" s="4" t="s">
        <v>68</v>
      </c>
    </row>
    <row r="14" spans="1:7" x14ac:dyDescent="0.25">
      <c r="A14" s="16" t="s">
        <v>38</v>
      </c>
      <c r="B14" s="20">
        <v>2500</v>
      </c>
      <c r="C14" t="s">
        <v>2</v>
      </c>
      <c r="D14" s="32">
        <f>+B14/B16</f>
        <v>0.38461538461538464</v>
      </c>
      <c r="E14" s="4" t="s">
        <v>70</v>
      </c>
    </row>
    <row r="15" spans="1:7" x14ac:dyDescent="0.25">
      <c r="A15" s="16" t="s">
        <v>39</v>
      </c>
      <c r="B15" s="21">
        <f>B20-B14-B13</f>
        <v>4500</v>
      </c>
      <c r="C15" t="s">
        <v>2</v>
      </c>
      <c r="D15" s="32">
        <f>+B15/B16</f>
        <v>0.69230769230769229</v>
      </c>
    </row>
    <row r="16" spans="1:7" x14ac:dyDescent="0.25">
      <c r="A16" s="16" t="s">
        <v>40</v>
      </c>
      <c r="B16" s="21">
        <v>6500</v>
      </c>
      <c r="C16" t="s">
        <v>2</v>
      </c>
    </row>
    <row r="17" spans="1:16" x14ac:dyDescent="0.25">
      <c r="A17" s="16" t="s">
        <v>45</v>
      </c>
      <c r="B17" s="22">
        <f>+$B$16/C55</f>
        <v>7.6846616485490377E-2</v>
      </c>
      <c r="C17" t="s">
        <v>7</v>
      </c>
    </row>
    <row r="18" spans="1:16" x14ac:dyDescent="0.25">
      <c r="A18" s="16" t="s">
        <v>46</v>
      </c>
      <c r="B18" s="23">
        <f>+$B$16/D55</f>
        <v>6.7436826711756853E-2</v>
      </c>
      <c r="C18" t="s">
        <v>7</v>
      </c>
    </row>
    <row r="19" spans="1:16" x14ac:dyDescent="0.25">
      <c r="A19" s="12"/>
    </row>
    <row r="20" spans="1:16" x14ac:dyDescent="0.25">
      <c r="A20" s="16" t="s">
        <v>62</v>
      </c>
      <c r="B20" s="20">
        <v>8000</v>
      </c>
    </row>
    <row r="21" spans="1:16" x14ac:dyDescent="0.25">
      <c r="A21" s="12"/>
      <c r="E21" s="31"/>
      <c r="F21" s="31"/>
    </row>
    <row r="22" spans="1:16" x14ac:dyDescent="0.25">
      <c r="A22" s="16" t="s">
        <v>54</v>
      </c>
      <c r="B22" s="24">
        <v>0.2</v>
      </c>
      <c r="E22" s="12" t="s">
        <v>23</v>
      </c>
      <c r="F22" s="26">
        <f>L53/B16</f>
        <v>0.31857227071516198</v>
      </c>
      <c r="G22" t="s">
        <v>48</v>
      </c>
    </row>
    <row r="23" spans="1:16" x14ac:dyDescent="0.25">
      <c r="A23" s="16" t="s">
        <v>55</v>
      </c>
      <c r="B23" s="25">
        <f>1-B22</f>
        <v>0.8</v>
      </c>
      <c r="E23" s="12" t="s">
        <v>11</v>
      </c>
      <c r="F23" s="26">
        <f>IRR(J29:J53)</f>
        <v>8.3739950074885217E-2</v>
      </c>
      <c r="G23" t="s">
        <v>49</v>
      </c>
    </row>
    <row r="24" spans="1:16" x14ac:dyDescent="0.25">
      <c r="A24" s="16" t="s">
        <v>47</v>
      </c>
      <c r="B24" s="20">
        <v>0.15</v>
      </c>
      <c r="C24" t="s">
        <v>7</v>
      </c>
      <c r="E24" s="12" t="s">
        <v>51</v>
      </c>
      <c r="F24" s="26">
        <v>0.05</v>
      </c>
      <c r="G24" t="s">
        <v>50</v>
      </c>
    </row>
    <row r="25" spans="1:16" x14ac:dyDescent="0.25">
      <c r="E25" s="13" t="s">
        <v>61</v>
      </c>
      <c r="F25" s="27">
        <f>L53</f>
        <v>2070.719759648553</v>
      </c>
    </row>
    <row r="26" spans="1:16" x14ac:dyDescent="0.25">
      <c r="N26" s="13" t="s">
        <v>59</v>
      </c>
      <c r="O26">
        <v>250</v>
      </c>
      <c r="P26" s="4" t="s">
        <v>22</v>
      </c>
    </row>
    <row r="27" spans="1:16" x14ac:dyDescent="0.25">
      <c r="A27" s="12"/>
      <c r="B27" s="12"/>
      <c r="C27" s="12" t="s">
        <v>42</v>
      </c>
      <c r="D27" s="12" t="s">
        <v>43</v>
      </c>
      <c r="E27" s="12"/>
      <c r="F27" s="12"/>
      <c r="G27" s="12"/>
      <c r="H27" s="4" t="s">
        <v>72</v>
      </c>
      <c r="I27" s="12"/>
      <c r="J27" s="12"/>
      <c r="K27" s="12"/>
      <c r="L27" s="12"/>
      <c r="P27" s="4" t="s">
        <v>17</v>
      </c>
    </row>
    <row r="28" spans="1:16" x14ac:dyDescent="0.25">
      <c r="A28" s="13" t="s">
        <v>58</v>
      </c>
      <c r="B28" s="12" t="s">
        <v>4</v>
      </c>
      <c r="C28" s="12" t="s">
        <v>44</v>
      </c>
      <c r="D28" s="12" t="s">
        <v>44</v>
      </c>
      <c r="E28" s="12" t="s">
        <v>57</v>
      </c>
      <c r="F28" s="12" t="s">
        <v>56</v>
      </c>
      <c r="G28" s="12" t="s">
        <v>52</v>
      </c>
      <c r="H28" s="12" t="s">
        <v>53</v>
      </c>
      <c r="I28" s="12" t="s">
        <v>6</v>
      </c>
      <c r="J28" s="12" t="s">
        <v>8</v>
      </c>
      <c r="K28" s="12" t="s">
        <v>9</v>
      </c>
      <c r="L28" s="12" t="s">
        <v>10</v>
      </c>
      <c r="M28" s="12" t="s">
        <v>58</v>
      </c>
      <c r="O28" s="12" t="s">
        <v>16</v>
      </c>
    </row>
    <row r="29" spans="1:16" x14ac:dyDescent="0.25">
      <c r="A29">
        <v>1</v>
      </c>
      <c r="B29" s="10">
        <f>B2</f>
        <v>0.21</v>
      </c>
      <c r="C29" s="8">
        <f>$B$10*$B$5</f>
        <v>3612</v>
      </c>
      <c r="D29" s="8">
        <f>$B$11*$B$5</f>
        <v>4116</v>
      </c>
      <c r="E29" s="8">
        <f t="shared" ref="E29:E53" si="0">$B$22*C29</f>
        <v>722.40000000000009</v>
      </c>
      <c r="F29" s="8">
        <f t="shared" ref="F29:F53" si="1">C29-E29</f>
        <v>2889.6</v>
      </c>
      <c r="G29" s="3">
        <f t="shared" ref="G29:G53" si="2">F29*$B$24</f>
        <v>433.44</v>
      </c>
      <c r="H29" s="11">
        <f>'UK electricity estimate'!E33</f>
        <v>0.20628243106023039</v>
      </c>
      <c r="I29" s="3">
        <f>H29*E29</f>
        <v>149.01842819791045</v>
      </c>
      <c r="J29" s="2">
        <f>+I29+G29-B16</f>
        <v>-5917.5415718020895</v>
      </c>
      <c r="K29" s="2">
        <f>J29</f>
        <v>-5917.5415718020895</v>
      </c>
      <c r="L29" s="2">
        <f>K29</f>
        <v>-5917.5415718020895</v>
      </c>
      <c r="M29">
        <v>1</v>
      </c>
      <c r="O29">
        <f t="shared" ref="O29:O53" si="3">+$O$26*C29</f>
        <v>903000</v>
      </c>
    </row>
    <row r="30" spans="1:16" x14ac:dyDescent="0.25">
      <c r="A30">
        <v>2</v>
      </c>
      <c r="B30" s="10">
        <f>+B29*(1-$B$3)</f>
        <v>0.208845</v>
      </c>
      <c r="C30" s="8">
        <f>+C29*(1-$B$3)</f>
        <v>3592.134</v>
      </c>
      <c r="D30" s="8">
        <f>+D29*(1-$B$3)</f>
        <v>4093.3620000000001</v>
      </c>
      <c r="E30" s="8">
        <f t="shared" si="0"/>
        <v>718.42680000000007</v>
      </c>
      <c r="F30" s="8">
        <f t="shared" si="1"/>
        <v>2873.7071999999998</v>
      </c>
      <c r="G30" s="3">
        <f t="shared" si="2"/>
        <v>431.05607999999995</v>
      </c>
      <c r="H30" s="11">
        <f>'UK electricity estimate'!E34</f>
        <v>0.21085440841362904</v>
      </c>
      <c r="I30" s="3">
        <f t="shared" ref="I30:I43" si="4">H30*E30</f>
        <v>151.48345790249661</v>
      </c>
      <c r="J30" s="2">
        <f>+I30+G30</f>
        <v>582.53953790249659</v>
      </c>
      <c r="K30" s="1">
        <f t="shared" ref="K30:K53" si="5">J30/(1+$F$24)^(A30-1)</f>
        <v>554.79955990713961</v>
      </c>
      <c r="L30" s="1">
        <f>K30+L29</f>
        <v>-5362.7420118949503</v>
      </c>
      <c r="M30">
        <v>2</v>
      </c>
      <c r="O30">
        <f t="shared" si="3"/>
        <v>898033.5</v>
      </c>
    </row>
    <row r="31" spans="1:16" x14ac:dyDescent="0.25">
      <c r="A31">
        <v>3</v>
      </c>
      <c r="B31" s="10">
        <f t="shared" ref="B31:B53" si="6">+B30*(1-$B$3)</f>
        <v>0.20769635250000001</v>
      </c>
      <c r="C31" s="8">
        <f t="shared" ref="C31:C53" si="7">+C30*(1-$B$3)</f>
        <v>3572.3772630000003</v>
      </c>
      <c r="D31" s="8">
        <f t="shared" ref="D31:D53" si="8">+D30*(1-$B$3)</f>
        <v>4070.8485090000004</v>
      </c>
      <c r="E31" s="8">
        <f t="shared" si="0"/>
        <v>714.47545260000015</v>
      </c>
      <c r="F31" s="8">
        <f t="shared" si="1"/>
        <v>2857.9018104000002</v>
      </c>
      <c r="G31" s="3">
        <f t="shared" si="2"/>
        <v>428.68527155999999</v>
      </c>
      <c r="H31" s="11">
        <f>'UK electricity estimate'!E35</f>
        <v>0.21533580968401858</v>
      </c>
      <c r="I31" s="3">
        <f t="shared" si="4"/>
        <v>153.85215008497667</v>
      </c>
      <c r="J31" s="2">
        <f t="shared" ref="J31:J53" si="9">+I31+G31</f>
        <v>582.53742164497669</v>
      </c>
      <c r="K31" s="1">
        <f t="shared" si="5"/>
        <v>528.37861373694034</v>
      </c>
      <c r="L31" s="1">
        <f t="shared" ref="L31:L42" si="10">K31+L30</f>
        <v>-4834.3633981580097</v>
      </c>
      <c r="M31">
        <v>3</v>
      </c>
      <c r="O31">
        <f t="shared" si="3"/>
        <v>893094.31575000007</v>
      </c>
    </row>
    <row r="32" spans="1:16" x14ac:dyDescent="0.25">
      <c r="A32">
        <v>4</v>
      </c>
      <c r="B32" s="10">
        <f t="shared" si="6"/>
        <v>0.20655402256125002</v>
      </c>
      <c r="C32" s="8">
        <f t="shared" si="7"/>
        <v>3552.7291880535004</v>
      </c>
      <c r="D32" s="8">
        <f t="shared" si="8"/>
        <v>4048.4588422005004</v>
      </c>
      <c r="E32" s="8">
        <f t="shared" si="0"/>
        <v>710.54583761070012</v>
      </c>
      <c r="F32" s="8">
        <f t="shared" si="1"/>
        <v>2842.1833504428005</v>
      </c>
      <c r="G32" s="3">
        <f t="shared" si="2"/>
        <v>426.32750256642004</v>
      </c>
      <c r="H32" s="11">
        <f>'UK electricity estimate'!E36</f>
        <v>0.21973262072459918</v>
      </c>
      <c r="I32" s="3">
        <f t="shared" si="4"/>
        <v>156.13009904315462</v>
      </c>
      <c r="J32" s="2">
        <f t="shared" si="9"/>
        <v>582.45760160957468</v>
      </c>
      <c r="K32" s="1">
        <f t="shared" si="5"/>
        <v>503.14877582081817</v>
      </c>
      <c r="L32" s="1">
        <f t="shared" si="10"/>
        <v>-4331.214622337191</v>
      </c>
      <c r="M32">
        <v>4</v>
      </c>
      <c r="O32">
        <f t="shared" si="3"/>
        <v>888182.29701337509</v>
      </c>
    </row>
    <row r="33" spans="1:15" x14ac:dyDescent="0.25">
      <c r="A33">
        <v>5</v>
      </c>
      <c r="B33" s="10">
        <f t="shared" si="6"/>
        <v>0.20541797543716317</v>
      </c>
      <c r="C33" s="8">
        <f t="shared" si="7"/>
        <v>3533.1891775192062</v>
      </c>
      <c r="D33" s="8">
        <f t="shared" si="8"/>
        <v>4026.1923185683977</v>
      </c>
      <c r="E33" s="8">
        <f t="shared" si="0"/>
        <v>706.6378355038413</v>
      </c>
      <c r="F33" s="8">
        <f t="shared" si="1"/>
        <v>2826.5513420153648</v>
      </c>
      <c r="G33" s="3">
        <f t="shared" si="2"/>
        <v>423.98270130230469</v>
      </c>
      <c r="H33" s="11">
        <f>'UK electricity estimate'!E37</f>
        <v>0.22405017963789636</v>
      </c>
      <c r="I33" s="3">
        <f t="shared" si="4"/>
        <v>158.32233398356991</v>
      </c>
      <c r="J33" s="2">
        <f t="shared" si="9"/>
        <v>582.30503528587462</v>
      </c>
      <c r="K33" s="1">
        <f t="shared" si="5"/>
        <v>479.06379361346319</v>
      </c>
      <c r="L33" s="1">
        <f t="shared" si="10"/>
        <v>-3852.150828723728</v>
      </c>
      <c r="M33">
        <v>5</v>
      </c>
      <c r="O33">
        <f t="shared" si="3"/>
        <v>883297.29437980149</v>
      </c>
    </row>
    <row r="34" spans="1:15" x14ac:dyDescent="0.25">
      <c r="A34">
        <v>6</v>
      </c>
      <c r="B34" s="10">
        <f t="shared" si="6"/>
        <v>0.20428817657225878</v>
      </c>
      <c r="C34" s="8">
        <f t="shared" si="7"/>
        <v>3513.7566370428508</v>
      </c>
      <c r="D34" s="8">
        <f t="shared" si="8"/>
        <v>4004.0482608162715</v>
      </c>
      <c r="E34" s="8">
        <f t="shared" si="0"/>
        <v>702.75132740857021</v>
      </c>
      <c r="F34" s="8">
        <f t="shared" si="1"/>
        <v>2811.0053096342808</v>
      </c>
      <c r="G34" s="3">
        <f t="shared" si="2"/>
        <v>421.65079644514213</v>
      </c>
      <c r="H34" s="11">
        <f>'UK electricity estimate'!E38</f>
        <v>0.22829327181692993</v>
      </c>
      <c r="I34" s="3">
        <f t="shared" si="4"/>
        <v>160.43339980779305</v>
      </c>
      <c r="J34" s="2">
        <f t="shared" si="9"/>
        <v>582.08419625293516</v>
      </c>
      <c r="K34" s="1">
        <f t="shared" si="5"/>
        <v>456.07819885193641</v>
      </c>
      <c r="L34" s="1">
        <f t="shared" si="10"/>
        <v>-3396.0726298717914</v>
      </c>
      <c r="M34">
        <v>6</v>
      </c>
      <c r="O34">
        <f t="shared" si="3"/>
        <v>878439.15926071268</v>
      </c>
    </row>
    <row r="35" spans="1:15" x14ac:dyDescent="0.25">
      <c r="A35">
        <v>7</v>
      </c>
      <c r="B35" s="10">
        <f t="shared" si="6"/>
        <v>0.20316459160111136</v>
      </c>
      <c r="C35" s="8">
        <f t="shared" si="7"/>
        <v>3494.4309755391155</v>
      </c>
      <c r="D35" s="8">
        <f t="shared" si="8"/>
        <v>3982.0259953817822</v>
      </c>
      <c r="E35" s="8">
        <f t="shared" si="0"/>
        <v>698.88619510782314</v>
      </c>
      <c r="F35" s="8">
        <f t="shared" si="1"/>
        <v>2795.5447804312926</v>
      </c>
      <c r="G35" s="3">
        <f t="shared" si="2"/>
        <v>419.33171706469386</v>
      </c>
      <c r="H35" s="11">
        <f>'UK electricity estimate'!E39</f>
        <v>0.2324662076826518</v>
      </c>
      <c r="I35" s="3">
        <f t="shared" si="4"/>
        <v>162.46742337847351</v>
      </c>
      <c r="J35" s="2">
        <f t="shared" si="9"/>
        <v>581.7991404431674</v>
      </c>
      <c r="K35" s="1">
        <f t="shared" si="5"/>
        <v>434.14747634864722</v>
      </c>
      <c r="L35" s="1">
        <f t="shared" si="10"/>
        <v>-2961.9251535231442</v>
      </c>
      <c r="M35">
        <v>7</v>
      </c>
      <c r="O35">
        <f t="shared" si="3"/>
        <v>873607.74388477881</v>
      </c>
    </row>
    <row r="36" spans="1:15" x14ac:dyDescent="0.25">
      <c r="A36">
        <v>8</v>
      </c>
      <c r="B36" s="10">
        <f t="shared" si="6"/>
        <v>0.20204718634730526</v>
      </c>
      <c r="C36" s="8">
        <f t="shared" si="7"/>
        <v>3475.2116051736507</v>
      </c>
      <c r="D36" s="8">
        <f t="shared" si="8"/>
        <v>3960.1248524071825</v>
      </c>
      <c r="E36" s="8">
        <f t="shared" si="0"/>
        <v>695.04232103473021</v>
      </c>
      <c r="F36" s="8">
        <f t="shared" si="1"/>
        <v>2780.1692841389204</v>
      </c>
      <c r="G36" s="3">
        <f t="shared" si="2"/>
        <v>417.02539262083803</v>
      </c>
      <c r="H36" s="11">
        <f>'UK electricity estimate'!E40</f>
        <v>0.23657288683122116</v>
      </c>
      <c r="I36" s="3">
        <f t="shared" si="4"/>
        <v>164.42816835705852</v>
      </c>
      <c r="J36" s="2">
        <f t="shared" si="9"/>
        <v>581.45356097789659</v>
      </c>
      <c r="K36" s="1">
        <f t="shared" si="5"/>
        <v>413.22819012466721</v>
      </c>
      <c r="L36" s="1">
        <f t="shared" si="10"/>
        <v>-2548.6969633984772</v>
      </c>
      <c r="M36">
        <v>8</v>
      </c>
      <c r="O36">
        <f t="shared" si="3"/>
        <v>868802.90129341267</v>
      </c>
    </row>
    <row r="37" spans="1:15" x14ac:dyDescent="0.25">
      <c r="A37">
        <v>9</v>
      </c>
      <c r="B37" s="10">
        <f t="shared" si="6"/>
        <v>0.20093592682239508</v>
      </c>
      <c r="C37" s="8">
        <f t="shared" si="7"/>
        <v>3456.097941345196</v>
      </c>
      <c r="D37" s="8">
        <f t="shared" si="8"/>
        <v>3938.3441657189433</v>
      </c>
      <c r="E37" s="8">
        <f t="shared" si="0"/>
        <v>691.21958826903926</v>
      </c>
      <c r="F37" s="8">
        <f t="shared" si="1"/>
        <v>2764.8783530761566</v>
      </c>
      <c r="G37" s="3">
        <f t="shared" si="2"/>
        <v>414.73175296142347</v>
      </c>
      <c r="H37" s="11">
        <f>'UK electricity estimate'!E41</f>
        <v>0.24061685139605188</v>
      </c>
      <c r="I37" s="3">
        <f t="shared" si="4"/>
        <v>166.3190809525716</v>
      </c>
      <c r="J37" s="2">
        <f t="shared" si="9"/>
        <v>581.05083391399512</v>
      </c>
      <c r="K37" s="1">
        <f t="shared" si="5"/>
        <v>393.27807573258514</v>
      </c>
      <c r="L37" s="1">
        <f t="shared" si="10"/>
        <v>-2155.4188876658923</v>
      </c>
      <c r="M37">
        <v>9</v>
      </c>
      <c r="O37">
        <f t="shared" si="3"/>
        <v>864024.48533629894</v>
      </c>
    </row>
    <row r="38" spans="1:15" x14ac:dyDescent="0.25">
      <c r="A38">
        <v>10</v>
      </c>
      <c r="B38" s="10">
        <f t="shared" si="6"/>
        <v>0.19983077922487191</v>
      </c>
      <c r="C38" s="8">
        <f t="shared" si="7"/>
        <v>3437.0894026677975</v>
      </c>
      <c r="D38" s="8">
        <f t="shared" si="8"/>
        <v>3916.6832728074892</v>
      </c>
      <c r="E38" s="8">
        <f t="shared" si="0"/>
        <v>687.41788053355958</v>
      </c>
      <c r="F38" s="8">
        <f t="shared" si="1"/>
        <v>2749.6715221342379</v>
      </c>
      <c r="G38" s="3">
        <f t="shared" si="2"/>
        <v>412.45072832013568</v>
      </c>
      <c r="H38" s="11">
        <f>'UK electricity estimate'!E42</f>
        <v>0.24460133076858054</v>
      </c>
      <c r="I38" s="3">
        <f t="shared" si="4"/>
        <v>168.14332837262577</v>
      </c>
      <c r="J38" s="2">
        <f t="shared" si="9"/>
        <v>580.59405669276146</v>
      </c>
      <c r="K38" s="1">
        <f t="shared" si="5"/>
        <v>374.25610564721529</v>
      </c>
      <c r="L38" s="1">
        <f t="shared" si="10"/>
        <v>-1781.162782018677</v>
      </c>
      <c r="M38">
        <v>10</v>
      </c>
      <c r="O38">
        <f t="shared" si="3"/>
        <v>859272.35066694941</v>
      </c>
    </row>
    <row r="39" spans="1:15" x14ac:dyDescent="0.25">
      <c r="A39">
        <v>11</v>
      </c>
      <c r="B39" s="10">
        <f t="shared" si="6"/>
        <v>0.19873170993913514</v>
      </c>
      <c r="C39" s="8">
        <f t="shared" si="7"/>
        <v>3418.1854109531246</v>
      </c>
      <c r="D39" s="8">
        <f t="shared" si="8"/>
        <v>3895.1415148070482</v>
      </c>
      <c r="E39" s="8">
        <f t="shared" si="0"/>
        <v>683.63708219062494</v>
      </c>
      <c r="F39" s="8">
        <f t="shared" si="1"/>
        <v>2734.5483287624998</v>
      </c>
      <c r="G39" s="3">
        <f t="shared" si="2"/>
        <v>410.18224931437493</v>
      </c>
      <c r="H39" s="11">
        <f>'UK electricity estimate'!E43</f>
        <v>0.24852927933444099</v>
      </c>
      <c r="I39" s="3">
        <f t="shared" si="4"/>
        <v>169.90383136313602</v>
      </c>
      <c r="J39" s="2">
        <f t="shared" si="9"/>
        <v>580.08608067751095</v>
      </c>
      <c r="K39" s="1">
        <f t="shared" si="5"/>
        <v>356.12253312243814</v>
      </c>
      <c r="L39" s="1">
        <f t="shared" si="10"/>
        <v>-1425.0402488962388</v>
      </c>
      <c r="M39">
        <v>11</v>
      </c>
      <c r="O39">
        <f t="shared" si="3"/>
        <v>854546.35273828113</v>
      </c>
    </row>
    <row r="40" spans="1:15" x14ac:dyDescent="0.25">
      <c r="A40">
        <v>12</v>
      </c>
      <c r="B40" s="10">
        <f t="shared" si="6"/>
        <v>0.19763868553446989</v>
      </c>
      <c r="C40" s="8">
        <f t="shared" si="7"/>
        <v>3399.3853911928827</v>
      </c>
      <c r="D40" s="8">
        <f t="shared" si="8"/>
        <v>3873.7182364756095</v>
      </c>
      <c r="E40" s="8">
        <f t="shared" si="0"/>
        <v>679.87707823857659</v>
      </c>
      <c r="F40" s="8">
        <f t="shared" si="1"/>
        <v>2719.5083129543063</v>
      </c>
      <c r="G40" s="3">
        <f t="shared" si="2"/>
        <v>407.92624694314594</v>
      </c>
      <c r="H40" s="11">
        <f>'UK electricity estimate'!E44</f>
        <v>0.25240340851815196</v>
      </c>
      <c r="I40" s="3">
        <f t="shared" si="4"/>
        <v>171.60329192077901</v>
      </c>
      <c r="J40" s="2">
        <f t="shared" si="9"/>
        <v>579.52953886392493</v>
      </c>
      <c r="K40" s="1">
        <f t="shared" si="5"/>
        <v>338.83891878755054</v>
      </c>
      <c r="L40" s="1">
        <f t="shared" si="10"/>
        <v>-1086.2013301086884</v>
      </c>
      <c r="M40">
        <v>12</v>
      </c>
      <c r="O40">
        <f t="shared" si="3"/>
        <v>849846.3477982207</v>
      </c>
    </row>
    <row r="41" spans="1:15" x14ac:dyDescent="0.25">
      <c r="A41">
        <v>13</v>
      </c>
      <c r="B41" s="10">
        <f t="shared" si="6"/>
        <v>0.19655167276403032</v>
      </c>
      <c r="C41" s="8">
        <f t="shared" si="7"/>
        <v>3380.6887715413222</v>
      </c>
      <c r="D41" s="8">
        <f t="shared" si="8"/>
        <v>3852.4127861749939</v>
      </c>
      <c r="E41" s="8">
        <f t="shared" si="0"/>
        <v>676.13775430826445</v>
      </c>
      <c r="F41" s="8">
        <f t="shared" si="1"/>
        <v>2704.5510172330578</v>
      </c>
      <c r="G41" s="3">
        <f t="shared" si="2"/>
        <v>405.68265258495865</v>
      </c>
      <c r="H41" s="11">
        <f>'UK electricity estimate'!E45</f>
        <v>0.25622621415505087</v>
      </c>
      <c r="I41" s="3">
        <f t="shared" si="4"/>
        <v>173.24421703370453</v>
      </c>
      <c r="J41" s="2">
        <f t="shared" si="9"/>
        <v>578.9268696186632</v>
      </c>
      <c r="K41" s="1">
        <f t="shared" si="5"/>
        <v>322.36814339207302</v>
      </c>
      <c r="L41" s="1">
        <f t="shared" si="10"/>
        <v>-763.83318671661527</v>
      </c>
      <c r="M41">
        <v>13</v>
      </c>
      <c r="O41">
        <f t="shared" si="3"/>
        <v>845172.19288533053</v>
      </c>
    </row>
    <row r="42" spans="1:15" x14ac:dyDescent="0.25">
      <c r="A42">
        <v>14</v>
      </c>
      <c r="B42" s="10">
        <f t="shared" si="6"/>
        <v>0.19547063856382815</v>
      </c>
      <c r="C42" s="8">
        <f t="shared" si="7"/>
        <v>3362.0949832978449</v>
      </c>
      <c r="D42" s="8">
        <f t="shared" si="8"/>
        <v>3831.2245158510318</v>
      </c>
      <c r="E42" s="8">
        <f t="shared" si="0"/>
        <v>672.41899665956907</v>
      </c>
      <c r="F42" s="8">
        <f t="shared" si="1"/>
        <v>2689.6759866382758</v>
      </c>
      <c r="G42" s="3">
        <f t="shared" si="2"/>
        <v>403.45139799574139</v>
      </c>
      <c r="H42" s="11">
        <f>'UK electricity estimate'!E46</f>
        <v>0.25999999999999995</v>
      </c>
      <c r="I42" s="3">
        <f t="shared" si="4"/>
        <v>174.82893913148791</v>
      </c>
      <c r="J42" s="2">
        <f t="shared" si="9"/>
        <v>578.28033712722936</v>
      </c>
      <c r="K42" s="1">
        <f t="shared" si="5"/>
        <v>306.67440943692861</v>
      </c>
      <c r="L42" s="1">
        <f t="shared" si="10"/>
        <v>-457.15877727968666</v>
      </c>
      <c r="M42">
        <v>14</v>
      </c>
      <c r="O42">
        <f t="shared" si="3"/>
        <v>840523.74582446122</v>
      </c>
    </row>
    <row r="43" spans="1:15" x14ac:dyDescent="0.25">
      <c r="A43">
        <v>15</v>
      </c>
      <c r="B43" s="10">
        <f t="shared" si="6"/>
        <v>0.1943955500517271</v>
      </c>
      <c r="C43" s="8">
        <f t="shared" si="7"/>
        <v>3343.6034608897071</v>
      </c>
      <c r="D43" s="8">
        <f t="shared" si="8"/>
        <v>3810.1527810138514</v>
      </c>
      <c r="E43" s="8">
        <f t="shared" si="0"/>
        <v>668.72069217794149</v>
      </c>
      <c r="F43" s="8">
        <f t="shared" si="1"/>
        <v>2674.8827687117655</v>
      </c>
      <c r="G43" s="3">
        <f t="shared" si="2"/>
        <v>401.23241530676484</v>
      </c>
      <c r="H43" s="11">
        <f>'UK electricity estimate'!E47</f>
        <v>0.26372689802132071</v>
      </c>
      <c r="I43" s="3">
        <f t="shared" si="4"/>
        <v>176.35963379075898</v>
      </c>
      <c r="J43" s="2">
        <f t="shared" si="9"/>
        <v>577.59204909752384</v>
      </c>
      <c r="K43" s="1">
        <f t="shared" si="5"/>
        <v>291.72323390417358</v>
      </c>
      <c r="L43" s="1">
        <f>K43+L42</f>
        <v>-165.43554337551308</v>
      </c>
      <c r="M43">
        <v>15</v>
      </c>
      <c r="O43">
        <f t="shared" si="3"/>
        <v>835900.86522242683</v>
      </c>
    </row>
    <row r="44" spans="1:15" x14ac:dyDescent="0.25">
      <c r="A44">
        <v>16</v>
      </c>
      <c r="B44" s="10">
        <f t="shared" si="6"/>
        <v>0.19332637452644261</v>
      </c>
      <c r="C44" s="8">
        <f t="shared" si="7"/>
        <v>3325.2136418548139</v>
      </c>
      <c r="D44" s="8">
        <f t="shared" si="8"/>
        <v>3789.1969407182755</v>
      </c>
      <c r="E44" s="8">
        <f t="shared" si="0"/>
        <v>665.04272837096278</v>
      </c>
      <c r="F44" s="8">
        <f t="shared" si="1"/>
        <v>2660.1709134838511</v>
      </c>
      <c r="G44" s="3">
        <f t="shared" si="2"/>
        <v>399.02563702257765</v>
      </c>
      <c r="H44" s="11">
        <f>'UK electricity estimate'!E48</f>
        <v>0.26740888600328228</v>
      </c>
      <c r="I44" s="3">
        <f t="shared" ref="I44:I53" si="11">H44*E44</f>
        <v>177.83833513826261</v>
      </c>
      <c r="J44" s="2">
        <f t="shared" si="9"/>
        <v>576.86397216084026</v>
      </c>
      <c r="K44" s="1">
        <f t="shared" si="5"/>
        <v>277.48143388203761</v>
      </c>
      <c r="L44" s="1">
        <f t="shared" ref="L44:L53" si="12">K44+L43</f>
        <v>112.04589050652453</v>
      </c>
      <c r="M44">
        <v>16</v>
      </c>
      <c r="O44">
        <f t="shared" si="3"/>
        <v>831303.41046370345</v>
      </c>
    </row>
    <row r="45" spans="1:15" x14ac:dyDescent="0.25">
      <c r="A45">
        <v>17</v>
      </c>
      <c r="B45" s="10">
        <f t="shared" si="6"/>
        <v>0.19226307946654719</v>
      </c>
      <c r="C45" s="8">
        <f t="shared" si="7"/>
        <v>3306.9249668246125</v>
      </c>
      <c r="D45" s="8">
        <f t="shared" si="8"/>
        <v>3768.3563575443254</v>
      </c>
      <c r="E45" s="8">
        <f t="shared" si="0"/>
        <v>661.38499336492259</v>
      </c>
      <c r="F45" s="8">
        <f t="shared" si="1"/>
        <v>2645.5399734596899</v>
      </c>
      <c r="G45" s="3">
        <f t="shared" si="2"/>
        <v>396.8309960189535</v>
      </c>
      <c r="H45" s="11">
        <f>'UK electricity estimate'!E49</f>
        <v>0.27104780288244812</v>
      </c>
      <c r="I45" s="3">
        <f t="shared" si="11"/>
        <v>179.26694931098478</v>
      </c>
      <c r="J45" s="2">
        <f t="shared" si="9"/>
        <v>576.09794532993828</v>
      </c>
      <c r="K45" s="1">
        <f t="shared" si="5"/>
        <v>263.91710655121648</v>
      </c>
      <c r="L45" s="1">
        <f t="shared" si="12"/>
        <v>375.96299705774101</v>
      </c>
      <c r="M45">
        <v>17</v>
      </c>
      <c r="O45">
        <f t="shared" si="3"/>
        <v>826731.24170615315</v>
      </c>
    </row>
    <row r="46" spans="1:15" x14ac:dyDescent="0.25">
      <c r="A46">
        <v>18</v>
      </c>
      <c r="B46" s="10">
        <f t="shared" si="6"/>
        <v>0.1912056325294812</v>
      </c>
      <c r="C46" s="8">
        <f t="shared" si="7"/>
        <v>3288.7368795070774</v>
      </c>
      <c r="D46" s="8">
        <f t="shared" si="8"/>
        <v>3747.6303975778319</v>
      </c>
      <c r="E46" s="8">
        <f t="shared" si="0"/>
        <v>657.74737590141558</v>
      </c>
      <c r="F46" s="8">
        <f t="shared" si="1"/>
        <v>2630.9895036056619</v>
      </c>
      <c r="G46" s="3">
        <f t="shared" si="2"/>
        <v>394.64842554084925</v>
      </c>
      <c r="H46" s="11">
        <f>'UK electricity estimate'!E50</f>
        <v>0.27464536216578828</v>
      </c>
      <c r="I46" s="3">
        <f t="shared" si="11"/>
        <v>180.64726626804116</v>
      </c>
      <c r="J46" s="2">
        <f t="shared" si="9"/>
        <v>575.29569180889041</v>
      </c>
      <c r="K46" s="1">
        <f t="shared" si="5"/>
        <v>250.9996047330155</v>
      </c>
      <c r="L46" s="1">
        <f t="shared" si="12"/>
        <v>626.96260179075648</v>
      </c>
      <c r="M46">
        <v>18</v>
      </c>
      <c r="O46">
        <f t="shared" si="3"/>
        <v>822184.21987676935</v>
      </c>
    </row>
    <row r="47" spans="1:15" x14ac:dyDescent="0.25">
      <c r="A47">
        <v>19</v>
      </c>
      <c r="B47" s="10">
        <f t="shared" si="6"/>
        <v>0.19015400155056905</v>
      </c>
      <c r="C47" s="8">
        <f t="shared" si="7"/>
        <v>3270.6488266697888</v>
      </c>
      <c r="D47" s="8">
        <f t="shared" si="8"/>
        <v>3727.0184303911542</v>
      </c>
      <c r="E47" s="8">
        <f t="shared" si="0"/>
        <v>654.12976533395783</v>
      </c>
      <c r="F47" s="8">
        <f t="shared" si="1"/>
        <v>2616.5190613358309</v>
      </c>
      <c r="G47" s="3">
        <f t="shared" si="2"/>
        <v>392.47785920037461</v>
      </c>
      <c r="H47" s="11">
        <f>'UK electricity estimate'!E51</f>
        <v>0.27820316371690323</v>
      </c>
      <c r="I47" s="3">
        <f t="shared" si="11"/>
        <v>181.98097019730255</v>
      </c>
      <c r="J47" s="2">
        <f t="shared" si="9"/>
        <v>574.45882939767716</v>
      </c>
      <c r="K47" s="1">
        <f t="shared" si="5"/>
        <v>238.6995089857306</v>
      </c>
      <c r="L47" s="1">
        <f t="shared" si="12"/>
        <v>865.66211077648711</v>
      </c>
      <c r="M47">
        <v>19</v>
      </c>
      <c r="O47">
        <f t="shared" si="3"/>
        <v>817662.20666744723</v>
      </c>
    </row>
    <row r="48" spans="1:15" x14ac:dyDescent="0.25">
      <c r="A48">
        <v>20</v>
      </c>
      <c r="B48" s="10">
        <f t="shared" si="6"/>
        <v>0.18910815454204094</v>
      </c>
      <c r="C48" s="8">
        <f t="shared" si="7"/>
        <v>3252.660258123105</v>
      </c>
      <c r="D48" s="8">
        <f t="shared" si="8"/>
        <v>3706.5198290240032</v>
      </c>
      <c r="E48" s="8">
        <f t="shared" si="0"/>
        <v>650.53205162462109</v>
      </c>
      <c r="F48" s="8">
        <f t="shared" si="1"/>
        <v>2602.1282064984839</v>
      </c>
      <c r="G48" s="3">
        <f t="shared" si="2"/>
        <v>390.31923097477255</v>
      </c>
      <c r="H48" s="11">
        <f>'UK electricity estimate'!E52</f>
        <v>0.28172270414740647</v>
      </c>
      <c r="I48" s="3">
        <f t="shared" si="11"/>
        <v>183.26964871824848</v>
      </c>
      <c r="J48" s="2">
        <f t="shared" si="9"/>
        <v>573.588879693021</v>
      </c>
      <c r="K48" s="1">
        <f t="shared" si="5"/>
        <v>226.98859706166675</v>
      </c>
      <c r="L48" s="1">
        <f t="shared" si="12"/>
        <v>1092.6507078381539</v>
      </c>
      <c r="M48">
        <v>20</v>
      </c>
      <c r="O48">
        <f t="shared" si="3"/>
        <v>813165.06453077623</v>
      </c>
    </row>
    <row r="49" spans="1:16" x14ac:dyDescent="0.25">
      <c r="A49">
        <v>21</v>
      </c>
      <c r="B49" s="10">
        <f t="shared" si="6"/>
        <v>0.18806805969205972</v>
      </c>
      <c r="C49" s="8">
        <f t="shared" si="7"/>
        <v>3234.7706267034282</v>
      </c>
      <c r="D49" s="8">
        <f t="shared" si="8"/>
        <v>3686.1339699643713</v>
      </c>
      <c r="E49" s="8">
        <f t="shared" si="0"/>
        <v>646.95412534068566</v>
      </c>
      <c r="F49" s="8">
        <f t="shared" si="1"/>
        <v>2587.8165013627427</v>
      </c>
      <c r="G49" s="3">
        <f t="shared" si="2"/>
        <v>388.1724752044114</v>
      </c>
      <c r="H49" s="11">
        <f>'UK electricity estimate'!E53</f>
        <v>0.28520538601076451</v>
      </c>
      <c r="I49" s="3">
        <f t="shared" si="11"/>
        <v>184.51480104904678</v>
      </c>
      <c r="J49" s="2">
        <f t="shared" si="9"/>
        <v>572.68727625345821</v>
      </c>
      <c r="K49" s="1">
        <f t="shared" si="5"/>
        <v>215.83981139511309</v>
      </c>
      <c r="L49" s="1">
        <f t="shared" si="12"/>
        <v>1308.4905192332672</v>
      </c>
      <c r="M49">
        <v>21</v>
      </c>
      <c r="O49">
        <f t="shared" si="3"/>
        <v>808692.65667585703</v>
      </c>
    </row>
    <row r="50" spans="1:16" x14ac:dyDescent="0.25">
      <c r="A50">
        <v>22</v>
      </c>
      <c r="B50" s="10">
        <f t="shared" si="6"/>
        <v>0.18703368536375339</v>
      </c>
      <c r="C50" s="8">
        <f t="shared" si="7"/>
        <v>3216.9793882565596</v>
      </c>
      <c r="D50" s="8">
        <f t="shared" si="8"/>
        <v>3665.8602331295674</v>
      </c>
      <c r="E50" s="8">
        <f t="shared" si="0"/>
        <v>643.39587765131193</v>
      </c>
      <c r="F50" s="8">
        <f t="shared" si="1"/>
        <v>2573.5835106052477</v>
      </c>
      <c r="G50" s="3">
        <f t="shared" si="2"/>
        <v>386.03752659078714</v>
      </c>
      <c r="H50" s="11">
        <f>'UK electricity estimate'!E54</f>
        <v>0.28865252596366309</v>
      </c>
      <c r="I50" s="3">
        <f t="shared" si="11"/>
        <v>185.71784527865913</v>
      </c>
      <c r="J50" s="2">
        <f t="shared" si="9"/>
        <v>571.75537186944621</v>
      </c>
      <c r="K50" s="1">
        <f t="shared" si="5"/>
        <v>205.22722517498642</v>
      </c>
      <c r="L50" s="1">
        <f t="shared" si="12"/>
        <v>1513.7177444082536</v>
      </c>
      <c r="M50">
        <v>22</v>
      </c>
      <c r="O50">
        <f t="shared" si="3"/>
        <v>804244.8470641399</v>
      </c>
    </row>
    <row r="51" spans="1:16" x14ac:dyDescent="0.25">
      <c r="A51">
        <v>23</v>
      </c>
      <c r="B51" s="10">
        <f t="shared" si="6"/>
        <v>0.18600500009425275</v>
      </c>
      <c r="C51" s="8">
        <f t="shared" si="7"/>
        <v>3199.2860016211484</v>
      </c>
      <c r="D51" s="8">
        <f t="shared" si="8"/>
        <v>3645.698001847355</v>
      </c>
      <c r="E51" s="8">
        <f t="shared" si="0"/>
        <v>639.85720032422978</v>
      </c>
      <c r="F51" s="8">
        <f t="shared" si="1"/>
        <v>2559.4288012969187</v>
      </c>
      <c r="G51" s="3">
        <f t="shared" si="2"/>
        <v>383.91432019453777</v>
      </c>
      <c r="H51" s="11">
        <f>'UK electricity estimate'!E55</f>
        <v>0.29206536203366712</v>
      </c>
      <c r="I51" s="3">
        <f t="shared" si="11"/>
        <v>186.88012486254485</v>
      </c>
      <c r="J51" s="2">
        <f t="shared" si="9"/>
        <v>570.79444505708261</v>
      </c>
      <c r="K51" s="1">
        <f t="shared" si="5"/>
        <v>195.12600745972358</v>
      </c>
      <c r="L51" s="1">
        <f t="shared" si="12"/>
        <v>1708.8437518679771</v>
      </c>
      <c r="M51">
        <v>23</v>
      </c>
      <c r="O51">
        <f t="shared" si="3"/>
        <v>799821.50040528714</v>
      </c>
    </row>
    <row r="52" spans="1:16" x14ac:dyDescent="0.25">
      <c r="A52">
        <v>24</v>
      </c>
      <c r="B52" s="10">
        <f t="shared" si="6"/>
        <v>0.18498197259373436</v>
      </c>
      <c r="C52" s="8">
        <f t="shared" si="7"/>
        <v>3181.6899286122325</v>
      </c>
      <c r="D52" s="8">
        <f t="shared" si="8"/>
        <v>3625.646662837195</v>
      </c>
      <c r="E52" s="8">
        <f t="shared" si="0"/>
        <v>636.33798572244655</v>
      </c>
      <c r="F52" s="8">
        <f t="shared" si="1"/>
        <v>2545.3519428897862</v>
      </c>
      <c r="G52" s="3">
        <f t="shared" si="2"/>
        <v>381.80279143346792</v>
      </c>
      <c r="H52" s="11">
        <f>'UK electricity estimate'!E56</f>
        <v>0.29544506011037325</v>
      </c>
      <c r="I52" s="3">
        <f t="shared" si="11"/>
        <v>188.00291444228205</v>
      </c>
      <c r="J52" s="2">
        <f t="shared" si="9"/>
        <v>569.80570587574994</v>
      </c>
      <c r="K52" s="1">
        <f t="shared" si="5"/>
        <v>185.51238771242541</v>
      </c>
      <c r="L52" s="1">
        <f t="shared" si="12"/>
        <v>1894.3561395804024</v>
      </c>
      <c r="M52">
        <v>24</v>
      </c>
      <c r="O52">
        <f t="shared" si="3"/>
        <v>795422.48215305817</v>
      </c>
    </row>
    <row r="53" spans="1:16" x14ac:dyDescent="0.25">
      <c r="A53">
        <v>25</v>
      </c>
      <c r="B53" s="10">
        <f t="shared" si="6"/>
        <v>0.18396457174446884</v>
      </c>
      <c r="C53" s="8">
        <f t="shared" si="7"/>
        <v>3164.1906340048654</v>
      </c>
      <c r="D53" s="8">
        <f t="shared" si="8"/>
        <v>3605.7056061915905</v>
      </c>
      <c r="E53" s="8">
        <f t="shared" si="0"/>
        <v>632.8381268009731</v>
      </c>
      <c r="F53" s="8">
        <f t="shared" si="1"/>
        <v>2531.3525072038924</v>
      </c>
      <c r="G53" s="3">
        <f t="shared" si="2"/>
        <v>379.70287608058385</v>
      </c>
      <c r="H53" s="11">
        <f>'UK electricity estimate'!E57</f>
        <v>0.29879271975947252</v>
      </c>
      <c r="I53" s="3">
        <f t="shared" si="11"/>
        <v>189.08742507435269</v>
      </c>
      <c r="J53" s="2">
        <f t="shared" si="9"/>
        <v>568.79030115493651</v>
      </c>
      <c r="K53" s="1">
        <f t="shared" si="5"/>
        <v>176.36362006815045</v>
      </c>
      <c r="L53" s="6">
        <f t="shared" si="12"/>
        <v>2070.719759648553</v>
      </c>
      <c r="M53">
        <v>25</v>
      </c>
      <c r="O53">
        <f t="shared" si="3"/>
        <v>791047.65850121633</v>
      </c>
    </row>
    <row r="55" spans="1:16" x14ac:dyDescent="0.25">
      <c r="B55" s="13" t="s">
        <v>41</v>
      </c>
      <c r="C55" s="14">
        <f>+SUM(C29:C53)</f>
        <v>84584.075360393821</v>
      </c>
      <c r="D55" s="14">
        <f>+SUM(D29:D53)</f>
        <v>96386.504480448784</v>
      </c>
      <c r="N55" s="7" t="s">
        <v>60</v>
      </c>
      <c r="O55">
        <f>SUM(O29:O53)/1000000/25</f>
        <v>0.84584075360393829</v>
      </c>
      <c r="P55" s="5"/>
    </row>
    <row r="63" spans="1:16" x14ac:dyDescent="0.25">
      <c r="B63">
        <v>0.25</v>
      </c>
      <c r="C63" s="12" t="s">
        <v>18</v>
      </c>
      <c r="D63" s="12" t="s">
        <v>11</v>
      </c>
      <c r="E63" s="12" t="s">
        <v>19</v>
      </c>
      <c r="F63" s="12" t="s">
        <v>20</v>
      </c>
      <c r="G63" s="12" t="s">
        <v>75</v>
      </c>
      <c r="H63" s="12" t="s">
        <v>21</v>
      </c>
    </row>
    <row r="64" spans="1:16" x14ac:dyDescent="0.25">
      <c r="C64">
        <v>17</v>
      </c>
      <c r="D64">
        <v>5.74</v>
      </c>
      <c r="E64">
        <v>438.2</v>
      </c>
      <c r="F64">
        <v>22</v>
      </c>
      <c r="G64">
        <v>0.68</v>
      </c>
      <c r="H64">
        <v>9.5</v>
      </c>
      <c r="L64">
        <v>9.5</v>
      </c>
    </row>
    <row r="65" spans="3:12" x14ac:dyDescent="0.25">
      <c r="C65">
        <v>18</v>
      </c>
      <c r="D65">
        <v>6.41</v>
      </c>
      <c r="E65">
        <v>846.33</v>
      </c>
      <c r="F65">
        <v>19</v>
      </c>
      <c r="G65">
        <v>0.72</v>
      </c>
      <c r="H65">
        <v>8.9600000000000009</v>
      </c>
      <c r="I65" s="9">
        <f>1-E64/E65</f>
        <v>0.48223506197346189</v>
      </c>
      <c r="L65">
        <v>8.9600000000000009</v>
      </c>
    </row>
    <row r="66" spans="3:12" x14ac:dyDescent="0.25">
      <c r="C66">
        <v>19</v>
      </c>
      <c r="D66">
        <v>7.08</v>
      </c>
      <c r="E66">
        <v>1254.46</v>
      </c>
      <c r="F66">
        <v>18</v>
      </c>
      <c r="G66">
        <v>0.76500000000000001</v>
      </c>
      <c r="H66">
        <v>8.49</v>
      </c>
      <c r="I66" s="9">
        <f t="shared" ref="I66:I72" si="13">1-E65/E66</f>
        <v>0.32534317554963887</v>
      </c>
      <c r="L66">
        <v>8.49</v>
      </c>
    </row>
    <row r="67" spans="3:12" x14ac:dyDescent="0.25">
      <c r="C67">
        <v>20</v>
      </c>
      <c r="D67">
        <v>7.73</v>
      </c>
      <c r="E67">
        <v>1662.59</v>
      </c>
      <c r="F67">
        <v>16</v>
      </c>
      <c r="G67">
        <v>0.8</v>
      </c>
      <c r="H67">
        <v>8.06</v>
      </c>
      <c r="I67" s="9">
        <f t="shared" si="13"/>
        <v>0.24547844026488785</v>
      </c>
      <c r="L67">
        <v>8.06</v>
      </c>
    </row>
    <row r="68" spans="3:12" x14ac:dyDescent="0.25">
      <c r="C68">
        <v>21</v>
      </c>
      <c r="D68">
        <v>8.3699999999999992</v>
      </c>
      <c r="E68">
        <v>2070.7199999999998</v>
      </c>
      <c r="F68">
        <v>15</v>
      </c>
      <c r="G68">
        <v>0.84499999999999997</v>
      </c>
      <c r="H68">
        <v>7.68</v>
      </c>
      <c r="I68" s="9">
        <f t="shared" si="13"/>
        <v>0.19709569618297018</v>
      </c>
      <c r="L68">
        <v>7.68</v>
      </c>
    </row>
    <row r="69" spans="3:12" x14ac:dyDescent="0.25">
      <c r="C69">
        <v>22</v>
      </c>
      <c r="D69">
        <v>9.01</v>
      </c>
      <c r="E69">
        <v>2478.85</v>
      </c>
      <c r="F69">
        <v>14</v>
      </c>
      <c r="G69">
        <v>0.88</v>
      </c>
      <c r="H69">
        <v>7.33</v>
      </c>
      <c r="I69" s="9">
        <f t="shared" si="13"/>
        <v>0.16464489581862563</v>
      </c>
      <c r="L69">
        <v>7.33</v>
      </c>
    </row>
    <row r="70" spans="3:12" x14ac:dyDescent="0.25">
      <c r="C70">
        <v>23</v>
      </c>
      <c r="D70">
        <v>9.65</v>
      </c>
      <c r="E70">
        <v>2886.98</v>
      </c>
      <c r="F70">
        <v>13</v>
      </c>
      <c r="G70">
        <v>0.92</v>
      </c>
      <c r="H70">
        <v>7</v>
      </c>
      <c r="I70" s="9">
        <f t="shared" si="13"/>
        <v>0.14136918163617351</v>
      </c>
      <c r="L70">
        <v>7</v>
      </c>
    </row>
    <row r="71" spans="3:12" x14ac:dyDescent="0.25">
      <c r="C71">
        <v>24</v>
      </c>
      <c r="D71">
        <v>10.28</v>
      </c>
      <c r="E71">
        <v>3295</v>
      </c>
      <c r="F71">
        <v>12</v>
      </c>
      <c r="G71">
        <v>0.96599999999999997</v>
      </c>
      <c r="H71">
        <v>6.72</v>
      </c>
      <c r="I71" s="9">
        <f t="shared" si="13"/>
        <v>0.1238300455235205</v>
      </c>
      <c r="L71">
        <v>6.72</v>
      </c>
    </row>
    <row r="72" spans="3:12" x14ac:dyDescent="0.25">
      <c r="C72">
        <v>25</v>
      </c>
      <c r="D72">
        <v>10.9</v>
      </c>
      <c r="E72">
        <v>3707</v>
      </c>
      <c r="F72">
        <v>12</v>
      </c>
      <c r="G72">
        <v>1</v>
      </c>
      <c r="H72">
        <v>6.45</v>
      </c>
      <c r="I72" s="9">
        <f t="shared" si="13"/>
        <v>0.11114108443485293</v>
      </c>
      <c r="L72">
        <v>6.45</v>
      </c>
    </row>
  </sheetData>
  <mergeCells count="1">
    <mergeCell ref="E21:F21"/>
  </mergeCells>
  <hyperlinks>
    <hyperlink ref="P27" r:id="rId1" location="results" xr:uid="{D002A853-4763-8A41-84AA-B052C9B2D290}"/>
    <hyperlink ref="P26" r:id="rId2" xr:uid="{876126A6-B99E-EC47-9771-314279314EC9}"/>
    <hyperlink ref="H27" location="'UK electricity estimate'!A1" display="See here" xr:uid="{2DF9F678-37E8-4EBF-A9E0-45EDFDF2FC6A}"/>
    <hyperlink ref="E11" r:id="rId3" display="https://pvwatts.nrel.gov/" xr:uid="{D34DE0A9-316C-4BAA-A30D-EA2A0BFE3531}"/>
    <hyperlink ref="E12" r:id="rId4" xr:uid="{440B85A4-1D4B-40DC-B394-F598B6730087}"/>
    <hyperlink ref="E13" r:id="rId5" xr:uid="{7DFC9448-6A3E-4799-8D8B-6111187044CA}"/>
    <hyperlink ref="E14" r:id="rId6" xr:uid="{182A55A3-DA3B-463E-B584-487E71990CA5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1C4F-B56C-2146-A164-A6A3AF226329}">
  <dimension ref="A18:I57"/>
  <sheetViews>
    <sheetView topLeftCell="A11" workbookViewId="0">
      <selection activeCell="J22" sqref="J22"/>
    </sheetView>
  </sheetViews>
  <sheetFormatPr defaultColWidth="11.42578125" defaultRowHeight="15" x14ac:dyDescent="0.25"/>
  <cols>
    <col min="5" max="5" width="12" bestFit="1" customWidth="1"/>
  </cols>
  <sheetData>
    <row r="18" spans="1:9" x14ac:dyDescent="0.25">
      <c r="A18" s="28" t="s">
        <v>58</v>
      </c>
      <c r="B18" s="28" t="s">
        <v>63</v>
      </c>
      <c r="C18" s="28" t="s">
        <v>12</v>
      </c>
    </row>
    <row r="19" spans="1:9" x14ac:dyDescent="0.25">
      <c r="A19">
        <v>2010</v>
      </c>
      <c r="B19" s="3">
        <v>12.681825535092001</v>
      </c>
      <c r="C19" s="3">
        <f t="shared" ref="C19:C57" si="0">$I$34*(A19-$I$32)^($I$33)+$I$35</f>
        <v>12.566319511009418</v>
      </c>
    </row>
    <row r="20" spans="1:9" x14ac:dyDescent="0.25">
      <c r="A20">
        <v>2011</v>
      </c>
      <c r="B20" s="3">
        <v>13.653764310602201</v>
      </c>
      <c r="C20" s="3">
        <f t="shared" si="0"/>
        <v>13.325390128958803</v>
      </c>
    </row>
    <row r="21" spans="1:9" x14ac:dyDescent="0.25">
      <c r="A21">
        <v>2012</v>
      </c>
      <c r="B21" s="3">
        <v>14.496111249377799</v>
      </c>
      <c r="C21" s="3">
        <f t="shared" si="0"/>
        <v>14.035239624290096</v>
      </c>
    </row>
    <row r="22" spans="1:9" x14ac:dyDescent="0.25">
      <c r="A22">
        <v>2013</v>
      </c>
      <c r="B22" s="3">
        <v>15.144070433051199</v>
      </c>
      <c r="C22" s="3">
        <f t="shared" si="0"/>
        <v>14.705505632961241</v>
      </c>
    </row>
    <row r="23" spans="1:9" x14ac:dyDescent="0.25">
      <c r="A23">
        <v>2014</v>
      </c>
      <c r="B23" s="3">
        <v>15.5976418616227</v>
      </c>
      <c r="C23" s="3">
        <f t="shared" si="0"/>
        <v>15.342982047116381</v>
      </c>
    </row>
    <row r="24" spans="1:9" x14ac:dyDescent="0.25">
      <c r="A24">
        <v>2015</v>
      </c>
      <c r="B24" s="3">
        <v>15.3384581881533</v>
      </c>
      <c r="C24" s="3">
        <f t="shared" si="0"/>
        <v>15.952679263837432</v>
      </c>
    </row>
    <row r="25" spans="1:9" x14ac:dyDescent="0.25">
      <c r="A25">
        <v>2016</v>
      </c>
      <c r="B25" s="3">
        <v>15.3384581881533</v>
      </c>
      <c r="C25" s="3">
        <f t="shared" si="0"/>
        <v>16.538422832729751</v>
      </c>
    </row>
    <row r="26" spans="1:9" x14ac:dyDescent="0.25">
      <c r="A26">
        <v>2017</v>
      </c>
      <c r="B26" s="3">
        <v>16.439988800398201</v>
      </c>
      <c r="C26" s="3">
        <f t="shared" si="0"/>
        <v>17.103215174614601</v>
      </c>
    </row>
    <row r="27" spans="1:9" x14ac:dyDescent="0.25">
      <c r="A27">
        <v>2018</v>
      </c>
      <c r="B27" s="3">
        <v>17.735907167745101</v>
      </c>
      <c r="C27" s="3">
        <f t="shared" si="0"/>
        <v>17.649466050090165</v>
      </c>
    </row>
    <row r="28" spans="1:9" x14ac:dyDescent="0.25">
      <c r="A28">
        <v>2019</v>
      </c>
      <c r="B28" s="3">
        <v>19.3558051269288</v>
      </c>
      <c r="C28" s="3">
        <f t="shared" si="0"/>
        <v>18.179145814417286</v>
      </c>
    </row>
    <row r="29" spans="1:9" x14ac:dyDescent="0.25">
      <c r="A29">
        <v>2020</v>
      </c>
      <c r="B29" s="3">
        <v>19.5501928820308</v>
      </c>
      <c r="C29" s="3">
        <f t="shared" si="0"/>
        <v>18.693890979968518</v>
      </c>
    </row>
    <row r="30" spans="1:9" x14ac:dyDescent="0.25">
      <c r="A30">
        <v>2021</v>
      </c>
      <c r="B30" s="3">
        <v>21.364478596316498</v>
      </c>
      <c r="C30" s="3">
        <f t="shared" si="0"/>
        <v>19.195079107728944</v>
      </c>
    </row>
    <row r="31" spans="1:9" x14ac:dyDescent="0.25">
      <c r="A31">
        <v>2022</v>
      </c>
      <c r="B31" s="3">
        <v>32.055805126928803</v>
      </c>
      <c r="C31" s="3">
        <f t="shared" si="0"/>
        <v>19.683883292296223</v>
      </c>
    </row>
    <row r="32" spans="1:9" x14ac:dyDescent="0.25">
      <c r="A32">
        <v>2023</v>
      </c>
      <c r="B32" s="3">
        <v>29.917539820806301</v>
      </c>
      <c r="C32" s="3">
        <f t="shared" si="0"/>
        <v>20.161312669423527</v>
      </c>
      <c r="D32" s="28" t="s">
        <v>58</v>
      </c>
      <c r="E32" s="28" t="s">
        <v>64</v>
      </c>
      <c r="I32" s="18">
        <v>2005</v>
      </c>
    </row>
    <row r="33" spans="1:9" x14ac:dyDescent="0.25">
      <c r="A33">
        <v>2024</v>
      </c>
      <c r="B33" s="3">
        <v>28.4920296167247</v>
      </c>
      <c r="C33" s="3">
        <f t="shared" si="0"/>
        <v>20.628243106023039</v>
      </c>
      <c r="D33">
        <v>1</v>
      </c>
      <c r="E33">
        <f>C33/100</f>
        <v>0.20628243106023039</v>
      </c>
      <c r="H33" t="s">
        <v>13</v>
      </c>
      <c r="I33" s="18">
        <v>0.6</v>
      </c>
    </row>
    <row r="34" spans="1:9" x14ac:dyDescent="0.25">
      <c r="A34">
        <v>2025</v>
      </c>
      <c r="B34" s="3"/>
      <c r="C34" s="3">
        <f t="shared" si="0"/>
        <v>21.085440841362903</v>
      </c>
      <c r="D34">
        <v>2</v>
      </c>
      <c r="E34">
        <f t="shared" ref="E34:E57" si="1">C34/100</f>
        <v>0.21085440841362904</v>
      </c>
      <c r="H34" t="s">
        <v>14</v>
      </c>
      <c r="I34" s="18">
        <v>2.5</v>
      </c>
    </row>
    <row r="35" spans="1:9" x14ac:dyDescent="0.25">
      <c r="A35">
        <v>2026</v>
      </c>
      <c r="B35" s="3"/>
      <c r="C35" s="3">
        <f t="shared" si="0"/>
        <v>21.533580968401857</v>
      </c>
      <c r="D35">
        <v>3</v>
      </c>
      <c r="E35">
        <f t="shared" si="1"/>
        <v>0.21533580968401858</v>
      </c>
      <c r="H35" t="s">
        <v>15</v>
      </c>
      <c r="I35" s="18">
        <v>6</v>
      </c>
    </row>
    <row r="36" spans="1:9" x14ac:dyDescent="0.25">
      <c r="A36">
        <v>2027</v>
      </c>
      <c r="B36" s="3"/>
      <c r="C36" s="3">
        <f t="shared" si="0"/>
        <v>21.973262072459917</v>
      </c>
      <c r="D36">
        <v>4</v>
      </c>
      <c r="E36">
        <f t="shared" si="1"/>
        <v>0.21973262072459918</v>
      </c>
    </row>
    <row r="37" spans="1:9" x14ac:dyDescent="0.25">
      <c r="A37">
        <v>2028</v>
      </c>
      <c r="B37" s="3"/>
      <c r="C37" s="3">
        <f t="shared" si="0"/>
        <v>22.405017963789636</v>
      </c>
      <c r="D37">
        <v>5</v>
      </c>
      <c r="E37">
        <f t="shared" si="1"/>
        <v>0.22405017963789636</v>
      </c>
    </row>
    <row r="38" spans="1:9" x14ac:dyDescent="0.25">
      <c r="A38">
        <v>2029</v>
      </c>
      <c r="B38" s="3"/>
      <c r="C38" s="3">
        <f t="shared" si="0"/>
        <v>22.829327181692992</v>
      </c>
      <c r="D38">
        <v>6</v>
      </c>
      <c r="E38">
        <f t="shared" si="1"/>
        <v>0.22829327181692993</v>
      </c>
    </row>
    <row r="39" spans="1:9" x14ac:dyDescent="0.25">
      <c r="A39">
        <v>2030</v>
      </c>
      <c r="B39" s="3"/>
      <c r="C39" s="3">
        <f t="shared" si="0"/>
        <v>23.246620768265181</v>
      </c>
      <c r="D39">
        <v>7</v>
      </c>
      <c r="E39">
        <f t="shared" si="1"/>
        <v>0.2324662076826518</v>
      </c>
    </row>
    <row r="40" spans="1:9" x14ac:dyDescent="0.25">
      <c r="A40">
        <v>2031</v>
      </c>
      <c r="B40" s="3"/>
      <c r="C40" s="3">
        <f t="shared" si="0"/>
        <v>23.657288683122115</v>
      </c>
      <c r="D40">
        <v>8</v>
      </c>
      <c r="E40">
        <f t="shared" si="1"/>
        <v>0.23657288683122116</v>
      </c>
    </row>
    <row r="41" spans="1:9" x14ac:dyDescent="0.25">
      <c r="A41">
        <v>2032</v>
      </c>
      <c r="B41" s="3"/>
      <c r="C41" s="3">
        <f t="shared" si="0"/>
        <v>24.061685139605189</v>
      </c>
      <c r="D41">
        <v>9</v>
      </c>
      <c r="E41">
        <f t="shared" si="1"/>
        <v>0.24061685139605188</v>
      </c>
    </row>
    <row r="42" spans="1:9" x14ac:dyDescent="0.25">
      <c r="A42">
        <v>2033</v>
      </c>
      <c r="B42" s="3"/>
      <c r="C42" s="3">
        <f t="shared" si="0"/>
        <v>24.460133076858053</v>
      </c>
      <c r="D42">
        <v>10</v>
      </c>
      <c r="E42">
        <f t="shared" si="1"/>
        <v>0.24460133076858054</v>
      </c>
    </row>
    <row r="43" spans="1:9" x14ac:dyDescent="0.25">
      <c r="A43">
        <v>2034</v>
      </c>
      <c r="B43" s="3"/>
      <c r="C43" s="3">
        <f t="shared" si="0"/>
        <v>24.8529279334441</v>
      </c>
      <c r="D43">
        <v>11</v>
      </c>
      <c r="E43">
        <f t="shared" si="1"/>
        <v>0.24852927933444099</v>
      </c>
    </row>
    <row r="44" spans="1:9" x14ac:dyDescent="0.25">
      <c r="A44">
        <v>2035</v>
      </c>
      <c r="B44" s="3"/>
      <c r="C44" s="3">
        <f t="shared" si="0"/>
        <v>25.240340851815198</v>
      </c>
      <c r="D44">
        <v>12</v>
      </c>
      <c r="E44">
        <f t="shared" si="1"/>
        <v>0.25240340851815196</v>
      </c>
    </row>
    <row r="45" spans="1:9" x14ac:dyDescent="0.25">
      <c r="A45">
        <v>2036</v>
      </c>
      <c r="B45" s="3"/>
      <c r="C45" s="3">
        <f t="shared" si="0"/>
        <v>25.622621415505087</v>
      </c>
      <c r="D45">
        <v>13</v>
      </c>
      <c r="E45">
        <f t="shared" si="1"/>
        <v>0.25622621415505087</v>
      </c>
    </row>
    <row r="46" spans="1:9" x14ac:dyDescent="0.25">
      <c r="A46">
        <v>2037</v>
      </c>
      <c r="B46" s="3"/>
      <c r="C46" s="3">
        <f t="shared" si="0"/>
        <v>25.999999999999996</v>
      </c>
      <c r="D46">
        <v>14</v>
      </c>
      <c r="E46">
        <f t="shared" si="1"/>
        <v>0.25999999999999995</v>
      </c>
    </row>
    <row r="47" spans="1:9" x14ac:dyDescent="0.25">
      <c r="A47">
        <v>2038</v>
      </c>
      <c r="B47" s="3"/>
      <c r="C47" s="3">
        <f t="shared" si="0"/>
        <v>26.372689802132072</v>
      </c>
      <c r="D47">
        <v>15</v>
      </c>
      <c r="E47">
        <f t="shared" si="1"/>
        <v>0.26372689802132071</v>
      </c>
    </row>
    <row r="48" spans="1:9" x14ac:dyDescent="0.25">
      <c r="A48">
        <v>2039</v>
      </c>
      <c r="B48" s="3"/>
      <c r="C48" s="3">
        <f t="shared" si="0"/>
        <v>26.74088860032823</v>
      </c>
      <c r="D48">
        <v>16</v>
      </c>
      <c r="E48">
        <f t="shared" si="1"/>
        <v>0.26740888600328228</v>
      </c>
    </row>
    <row r="49" spans="1:5" x14ac:dyDescent="0.25">
      <c r="A49">
        <v>2040</v>
      </c>
      <c r="B49" s="3"/>
      <c r="C49" s="3">
        <f t="shared" si="0"/>
        <v>27.104780288244811</v>
      </c>
      <c r="D49">
        <v>17</v>
      </c>
      <c r="E49">
        <f t="shared" si="1"/>
        <v>0.27104780288244812</v>
      </c>
    </row>
    <row r="50" spans="1:5" x14ac:dyDescent="0.25">
      <c r="A50">
        <v>2041</v>
      </c>
      <c r="B50" s="3"/>
      <c r="C50" s="3">
        <f t="shared" si="0"/>
        <v>27.464536216578828</v>
      </c>
      <c r="D50">
        <v>18</v>
      </c>
      <c r="E50">
        <f t="shared" si="1"/>
        <v>0.27464536216578828</v>
      </c>
    </row>
    <row r="51" spans="1:5" x14ac:dyDescent="0.25">
      <c r="A51">
        <v>2042</v>
      </c>
      <c r="B51" s="3"/>
      <c r="C51" s="3">
        <f t="shared" si="0"/>
        <v>27.820316371690325</v>
      </c>
      <c r="D51">
        <v>19</v>
      </c>
      <c r="E51">
        <f t="shared" si="1"/>
        <v>0.27820316371690323</v>
      </c>
    </row>
    <row r="52" spans="1:5" x14ac:dyDescent="0.25">
      <c r="A52">
        <v>2043</v>
      </c>
      <c r="B52" s="3"/>
      <c r="C52" s="3">
        <f t="shared" si="0"/>
        <v>28.172270414740645</v>
      </c>
      <c r="D52">
        <v>20</v>
      </c>
      <c r="E52">
        <f t="shared" si="1"/>
        <v>0.28172270414740647</v>
      </c>
    </row>
    <row r="53" spans="1:5" x14ac:dyDescent="0.25">
      <c r="A53">
        <v>2044</v>
      </c>
      <c r="B53" s="3"/>
      <c r="C53" s="3">
        <f t="shared" si="0"/>
        <v>28.520538601076453</v>
      </c>
      <c r="D53">
        <v>21</v>
      </c>
      <c r="E53">
        <f t="shared" si="1"/>
        <v>0.28520538601076451</v>
      </c>
    </row>
    <row r="54" spans="1:5" x14ac:dyDescent="0.25">
      <c r="A54">
        <v>2045</v>
      </c>
      <c r="B54" s="3"/>
      <c r="C54" s="3">
        <f t="shared" si="0"/>
        <v>28.865252596366311</v>
      </c>
      <c r="D54">
        <v>22</v>
      </c>
      <c r="E54">
        <f t="shared" si="1"/>
        <v>0.28865252596366309</v>
      </c>
    </row>
    <row r="55" spans="1:5" x14ac:dyDescent="0.25">
      <c r="A55">
        <v>2046</v>
      </c>
      <c r="B55" s="3"/>
      <c r="C55" s="3">
        <f t="shared" si="0"/>
        <v>29.20653620336671</v>
      </c>
      <c r="D55">
        <v>23</v>
      </c>
      <c r="E55">
        <f t="shared" si="1"/>
        <v>0.29206536203366712</v>
      </c>
    </row>
    <row r="56" spans="1:5" x14ac:dyDescent="0.25">
      <c r="A56">
        <v>2047</v>
      </c>
      <c r="B56" s="3"/>
      <c r="C56" s="3">
        <f t="shared" si="0"/>
        <v>29.544506011037324</v>
      </c>
      <c r="D56">
        <v>24</v>
      </c>
      <c r="E56">
        <f t="shared" si="1"/>
        <v>0.29544506011037325</v>
      </c>
    </row>
    <row r="57" spans="1:5" x14ac:dyDescent="0.25">
      <c r="A57">
        <v>2048</v>
      </c>
      <c r="B57" s="3"/>
      <c r="C57" s="3">
        <f t="shared" si="0"/>
        <v>29.879271975947255</v>
      </c>
      <c r="D57">
        <v>25</v>
      </c>
      <c r="E57">
        <f t="shared" si="1"/>
        <v>0.29879271975947252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Rooftop</vt:lpstr>
      <vt:lpstr>UK electricity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Bonilla</dc:creator>
  <cp:lastModifiedBy>Sebastian Bonilla</cp:lastModifiedBy>
  <dcterms:created xsi:type="dcterms:W3CDTF">2024-01-12T12:21:45Z</dcterms:created>
  <dcterms:modified xsi:type="dcterms:W3CDTF">2024-02-18T11:04:19Z</dcterms:modified>
</cp:coreProperties>
</file>