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.sadikov\Desktop\"/>
    </mc:Choice>
  </mc:AlternateContent>
  <xr:revisionPtr revIDLastSave="0" documentId="13_ncr:1_{8D62CBE5-8F08-4D38-B6AF-02EE96CEC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8" r:id="rId1"/>
    <sheet name="АКТ" sheetId="9" r:id="rId2"/>
    <sheet name="Appendix" sheetId="10" r:id="rId3"/>
    <sheet name="Путь" sheetId="3" r:id="rId4"/>
    <sheet name="Курс" sheetId="7" r:id="rId5"/>
    <sheet name="ACT" sheetId="4" state="hidden" r:id="rId6"/>
    <sheet name="Шаблон_Формулы" sheetId="5" state="hidden" r:id="rId7"/>
    <sheet name="Лист2" sheetId="2" state="hidden" r:id="rId8"/>
  </sheets>
  <externalReferences>
    <externalReference r:id="rId9"/>
    <externalReference r:id="rId10"/>
  </externalReferences>
  <definedNames>
    <definedName name="_xlnm._FilterDatabase" localSheetId="2" hidden="1">Appendix!$A$5:$O$130</definedName>
    <definedName name="_xlnm._FilterDatabase" localSheetId="1" hidden="1">АКТ!$A$5:$AE$126</definedName>
    <definedName name="Country">[1]LISTS!$C$2:$C$234</definedName>
    <definedName name="CurrencyCode">'[1]CURRENCY CODE'!$A$2:$A$51</definedName>
    <definedName name="ExternalData_1" localSheetId="5" hidden="1">ACT!$A$1:$AE$121</definedName>
    <definedName name="ExternalData_1" localSheetId="4" hidden="1">Курс!$A$5:$D$31</definedName>
    <definedName name="ExternalData_1" localSheetId="0" hidden="1">Лист1!$A$2:$AA$124</definedName>
    <definedName name="ExternalData_1" localSheetId="3" hidden="1">Путь!$A$7:$A$8</definedName>
    <definedName name="Mode">[1]LISTS!$A$2:$A$5</definedName>
    <definedName name="Rate">Путь!$B$5</definedName>
    <definedName name="Region">[1]LISTS!$D$2:$D$5</definedName>
    <definedName name="ServiceType">[1]LISTS!$B$2:$B$8</definedName>
    <definedName name="SRC">Путь!$B$2</definedName>
    <definedName name="_xlnm.Print_Titles" localSheetId="2">Appendix!$5:$6</definedName>
    <definedName name="_xlnm.Print_Titles" localSheetId="1">АКТ!$4:$5</definedName>
    <definedName name="_xlnm.Print_Area" localSheetId="2">Appendix!$A$1:$N$134</definedName>
    <definedName name="_xlnm.Print_Area" localSheetId="1">АКТ!$A$1:$W$141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8" l="1"/>
  <c r="V114" i="8"/>
  <c r="V113" i="8"/>
  <c r="Y126" i="9" l="1"/>
  <c r="X126" i="9"/>
  <c r="I126" i="9"/>
  <c r="H126" i="9"/>
  <c r="Y125" i="9"/>
  <c r="L125" i="9"/>
  <c r="J125" i="9"/>
  <c r="K125" i="9" s="1"/>
  <c r="Y124" i="9"/>
  <c r="L124" i="9"/>
  <c r="J124" i="9"/>
  <c r="K124" i="9" s="1"/>
  <c r="N124" i="9" s="1"/>
  <c r="Y123" i="9"/>
  <c r="L123" i="9"/>
  <c r="J123" i="9"/>
  <c r="K123" i="9" s="1"/>
  <c r="Y122" i="9"/>
  <c r="L122" i="9"/>
  <c r="J122" i="9"/>
  <c r="K122" i="9" s="1"/>
  <c r="N122" i="9" s="1"/>
  <c r="Y121" i="9"/>
  <c r="L121" i="9"/>
  <c r="K121" i="9"/>
  <c r="N121" i="9" s="1"/>
  <c r="J121" i="9"/>
  <c r="Y120" i="9"/>
  <c r="L120" i="9"/>
  <c r="K120" i="9"/>
  <c r="N120" i="9" s="1"/>
  <c r="J120" i="9"/>
  <c r="Y119" i="9"/>
  <c r="L119" i="9"/>
  <c r="K119" i="9"/>
  <c r="N119" i="9" s="1"/>
  <c r="J119" i="9"/>
  <c r="Y118" i="9"/>
  <c r="L118" i="9"/>
  <c r="K118" i="9"/>
  <c r="N118" i="9" s="1"/>
  <c r="J118" i="9"/>
  <c r="Y117" i="9"/>
  <c r="L117" i="9"/>
  <c r="J117" i="9"/>
  <c r="K117" i="9" s="1"/>
  <c r="Y116" i="9"/>
  <c r="L116" i="9"/>
  <c r="J116" i="9"/>
  <c r="K116" i="9" s="1"/>
  <c r="N116" i="9" s="1"/>
  <c r="Y115" i="9"/>
  <c r="L115" i="9"/>
  <c r="J115" i="9"/>
  <c r="K115" i="9" s="1"/>
  <c r="Y114" i="9"/>
  <c r="U114" i="9"/>
  <c r="Q114" i="9"/>
  <c r="L114" i="9"/>
  <c r="K114" i="9"/>
  <c r="N114" i="9" s="1"/>
  <c r="Y113" i="9"/>
  <c r="L113" i="9"/>
  <c r="K113" i="9"/>
  <c r="N113" i="9" s="1"/>
  <c r="J113" i="9"/>
  <c r="Y112" i="9"/>
  <c r="L112" i="9"/>
  <c r="K112" i="9"/>
  <c r="N112" i="9" s="1"/>
  <c r="J112" i="9"/>
  <c r="Y111" i="9"/>
  <c r="L111" i="9"/>
  <c r="J111" i="9"/>
  <c r="K111" i="9" s="1"/>
  <c r="Y110" i="9"/>
  <c r="L110" i="9"/>
  <c r="J110" i="9"/>
  <c r="K110" i="9" s="1"/>
  <c r="N110" i="9" s="1"/>
  <c r="Y109" i="9"/>
  <c r="L109" i="9"/>
  <c r="K109" i="9"/>
  <c r="N109" i="9" s="1"/>
  <c r="J109" i="9"/>
  <c r="Y108" i="9"/>
  <c r="L108" i="9"/>
  <c r="K108" i="9"/>
  <c r="N108" i="9" s="1"/>
  <c r="J108" i="9"/>
  <c r="Y107" i="9"/>
  <c r="L107" i="9"/>
  <c r="J107" i="9"/>
  <c r="K107" i="9" s="1"/>
  <c r="Y106" i="9"/>
  <c r="L106" i="9"/>
  <c r="J106" i="9"/>
  <c r="K106" i="9" s="1"/>
  <c r="N106" i="9" s="1"/>
  <c r="Y105" i="9"/>
  <c r="L105" i="9"/>
  <c r="J105" i="9"/>
  <c r="K105" i="9" s="1"/>
  <c r="Y104" i="9"/>
  <c r="L104" i="9"/>
  <c r="J104" i="9"/>
  <c r="K104" i="9" s="1"/>
  <c r="N104" i="9" s="1"/>
  <c r="Y103" i="9"/>
  <c r="L103" i="9"/>
  <c r="J103" i="9"/>
  <c r="K103" i="9" s="1"/>
  <c r="Y102" i="9"/>
  <c r="L102" i="9"/>
  <c r="J102" i="9"/>
  <c r="K102" i="9" s="1"/>
  <c r="N102" i="9" s="1"/>
  <c r="Y101" i="9"/>
  <c r="L101" i="9"/>
  <c r="J101" i="9"/>
  <c r="K101" i="9" s="1"/>
  <c r="Y100" i="9"/>
  <c r="L100" i="9"/>
  <c r="J100" i="9"/>
  <c r="K100" i="9" s="1"/>
  <c r="N100" i="9" s="1"/>
  <c r="Y99" i="9"/>
  <c r="O99" i="9"/>
  <c r="L99" i="9"/>
  <c r="K99" i="9"/>
  <c r="N99" i="9" s="1"/>
  <c r="J99" i="9"/>
  <c r="Y98" i="9"/>
  <c r="L98" i="9"/>
  <c r="K98" i="9"/>
  <c r="N98" i="9" s="1"/>
  <c r="J98" i="9"/>
  <c r="Y97" i="9"/>
  <c r="L97" i="9"/>
  <c r="J97" i="9"/>
  <c r="K97" i="9" s="1"/>
  <c r="Y96" i="9"/>
  <c r="L96" i="9"/>
  <c r="J96" i="9"/>
  <c r="K96" i="9" s="1"/>
  <c r="N96" i="9" s="1"/>
  <c r="Y95" i="9"/>
  <c r="L95" i="9"/>
  <c r="K95" i="9"/>
  <c r="N95" i="9" s="1"/>
  <c r="J95" i="9"/>
  <c r="Y94" i="9"/>
  <c r="L94" i="9"/>
  <c r="K94" i="9"/>
  <c r="N94" i="9" s="1"/>
  <c r="J94" i="9"/>
  <c r="Y93" i="9"/>
  <c r="L93" i="9"/>
  <c r="J93" i="9"/>
  <c r="K93" i="9" s="1"/>
  <c r="Y92" i="9"/>
  <c r="L92" i="9"/>
  <c r="J92" i="9"/>
  <c r="K92" i="9" s="1"/>
  <c r="N92" i="9" s="1"/>
  <c r="Y91" i="9"/>
  <c r="L91" i="9"/>
  <c r="K91" i="9"/>
  <c r="N91" i="9" s="1"/>
  <c r="J91" i="9"/>
  <c r="Y90" i="9"/>
  <c r="L90" i="9"/>
  <c r="K90" i="9"/>
  <c r="N90" i="9" s="1"/>
  <c r="J90" i="9"/>
  <c r="Y89" i="9"/>
  <c r="L89" i="9"/>
  <c r="J89" i="9"/>
  <c r="K89" i="9" s="1"/>
  <c r="Y88" i="9"/>
  <c r="L88" i="9"/>
  <c r="J88" i="9"/>
  <c r="K88" i="9" s="1"/>
  <c r="N88" i="9" s="1"/>
  <c r="Y87" i="9"/>
  <c r="L87" i="9"/>
  <c r="K87" i="9"/>
  <c r="N87" i="9" s="1"/>
  <c r="J87" i="9"/>
  <c r="Y86" i="9"/>
  <c r="L86" i="9"/>
  <c r="K86" i="9"/>
  <c r="N86" i="9" s="1"/>
  <c r="J86" i="9"/>
  <c r="Y85" i="9"/>
  <c r="L85" i="9"/>
  <c r="J85" i="9"/>
  <c r="K85" i="9" s="1"/>
  <c r="Y84" i="9"/>
  <c r="L84" i="9"/>
  <c r="J84" i="9"/>
  <c r="K84" i="9" s="1"/>
  <c r="N84" i="9" s="1"/>
  <c r="Y83" i="9"/>
  <c r="L83" i="9"/>
  <c r="K83" i="9"/>
  <c r="N83" i="9" s="1"/>
  <c r="J83" i="9"/>
  <c r="Y82" i="9"/>
  <c r="L82" i="9"/>
  <c r="K82" i="9"/>
  <c r="N82" i="9" s="1"/>
  <c r="J82" i="9"/>
  <c r="Y81" i="9"/>
  <c r="L81" i="9"/>
  <c r="J81" i="9"/>
  <c r="K81" i="9" s="1"/>
  <c r="Y80" i="9"/>
  <c r="L80" i="9"/>
  <c r="J80" i="9"/>
  <c r="K80" i="9" s="1"/>
  <c r="N80" i="9" s="1"/>
  <c r="Y79" i="9"/>
  <c r="L79" i="9"/>
  <c r="K79" i="9"/>
  <c r="N79" i="9" s="1"/>
  <c r="J79" i="9"/>
  <c r="Y78" i="9"/>
  <c r="L78" i="9"/>
  <c r="K78" i="9"/>
  <c r="N78" i="9" s="1"/>
  <c r="J78" i="9"/>
  <c r="Y77" i="9"/>
  <c r="L77" i="9"/>
  <c r="J77" i="9"/>
  <c r="K77" i="9" s="1"/>
  <c r="Y76" i="9"/>
  <c r="L76" i="9"/>
  <c r="J76" i="9"/>
  <c r="K76" i="9" s="1"/>
  <c r="N76" i="9" s="1"/>
  <c r="Y75" i="9"/>
  <c r="L75" i="9"/>
  <c r="K75" i="9"/>
  <c r="N75" i="9" s="1"/>
  <c r="J75" i="9"/>
  <c r="Y74" i="9"/>
  <c r="L74" i="9"/>
  <c r="K74" i="9"/>
  <c r="N74" i="9" s="1"/>
  <c r="J74" i="9"/>
  <c r="Y73" i="9"/>
  <c r="L73" i="9"/>
  <c r="J73" i="9"/>
  <c r="K73" i="9" s="1"/>
  <c r="Y72" i="9"/>
  <c r="L72" i="9"/>
  <c r="J72" i="9"/>
  <c r="K72" i="9" s="1"/>
  <c r="N72" i="9" s="1"/>
  <c r="Y71" i="9"/>
  <c r="L71" i="9"/>
  <c r="K71" i="9"/>
  <c r="N71" i="9" s="1"/>
  <c r="J71" i="9"/>
  <c r="Y70" i="9"/>
  <c r="L70" i="9"/>
  <c r="K70" i="9"/>
  <c r="N70" i="9" s="1"/>
  <c r="J70" i="9"/>
  <c r="Y69" i="9"/>
  <c r="L69" i="9"/>
  <c r="J69" i="9"/>
  <c r="K69" i="9" s="1"/>
  <c r="Y68" i="9"/>
  <c r="L68" i="9"/>
  <c r="J68" i="9"/>
  <c r="K68" i="9" s="1"/>
  <c r="N68" i="9" s="1"/>
  <c r="Y67" i="9"/>
  <c r="L67" i="9"/>
  <c r="K67" i="9"/>
  <c r="N67" i="9" s="1"/>
  <c r="J67" i="9"/>
  <c r="Y66" i="9"/>
  <c r="L66" i="9"/>
  <c r="K66" i="9"/>
  <c r="N66" i="9" s="1"/>
  <c r="J66" i="9"/>
  <c r="Y65" i="9"/>
  <c r="L65" i="9"/>
  <c r="J65" i="9"/>
  <c r="K65" i="9" s="1"/>
  <c r="Y64" i="9"/>
  <c r="L64" i="9"/>
  <c r="J64" i="9"/>
  <c r="K64" i="9" s="1"/>
  <c r="R64" i="9" s="1"/>
  <c r="Y63" i="9"/>
  <c r="L63" i="9"/>
  <c r="J63" i="9"/>
  <c r="K63" i="9" s="1"/>
  <c r="Q63" i="9" s="1"/>
  <c r="Y62" i="9"/>
  <c r="L62" i="9"/>
  <c r="J62" i="9"/>
  <c r="K62" i="9" s="1"/>
  <c r="N62" i="9" s="1"/>
  <c r="Y61" i="9"/>
  <c r="L61" i="9"/>
  <c r="J61" i="9"/>
  <c r="K61" i="9" s="1"/>
  <c r="Y60" i="9"/>
  <c r="N60" i="9"/>
  <c r="L60" i="9"/>
  <c r="J60" i="9"/>
  <c r="K60" i="9" s="1"/>
  <c r="R60" i="9" s="1"/>
  <c r="Y59" i="9"/>
  <c r="L59" i="9"/>
  <c r="J59" i="9"/>
  <c r="K59" i="9" s="1"/>
  <c r="Q59" i="9" s="1"/>
  <c r="Y58" i="9"/>
  <c r="L58" i="9"/>
  <c r="K58" i="9"/>
  <c r="N58" i="9" s="1"/>
  <c r="J58" i="9"/>
  <c r="Y57" i="9"/>
  <c r="L57" i="9"/>
  <c r="K57" i="9"/>
  <c r="N57" i="9" s="1"/>
  <c r="J57" i="9"/>
  <c r="Y56" i="9"/>
  <c r="L56" i="9"/>
  <c r="J56" i="9"/>
  <c r="K56" i="9" s="1"/>
  <c r="R56" i="9" s="1"/>
  <c r="Y55" i="9"/>
  <c r="L55" i="9"/>
  <c r="J55" i="9"/>
  <c r="K55" i="9" s="1"/>
  <c r="Q55" i="9" s="1"/>
  <c r="Y54" i="9"/>
  <c r="L54" i="9"/>
  <c r="K54" i="9"/>
  <c r="N54" i="9" s="1"/>
  <c r="J54" i="9"/>
  <c r="Y53" i="9"/>
  <c r="L53" i="9"/>
  <c r="K53" i="9"/>
  <c r="N53" i="9" s="1"/>
  <c r="J53" i="9"/>
  <c r="Y52" i="9"/>
  <c r="L52" i="9"/>
  <c r="J52" i="9"/>
  <c r="K52" i="9" s="1"/>
  <c r="R52" i="9" s="1"/>
  <c r="Y51" i="9"/>
  <c r="L51" i="9"/>
  <c r="J51" i="9"/>
  <c r="K51" i="9" s="1"/>
  <c r="Q51" i="9" s="1"/>
  <c r="Y50" i="9"/>
  <c r="L50" i="9"/>
  <c r="J50" i="9"/>
  <c r="K50" i="9" s="1"/>
  <c r="N50" i="9" s="1"/>
  <c r="Y49" i="9"/>
  <c r="L49" i="9"/>
  <c r="J49" i="9"/>
  <c r="K49" i="9" s="1"/>
  <c r="N49" i="9" s="1"/>
  <c r="Y48" i="9"/>
  <c r="L48" i="9"/>
  <c r="J48" i="9"/>
  <c r="K48" i="9" s="1"/>
  <c r="R48" i="9" s="1"/>
  <c r="Y47" i="9"/>
  <c r="L47" i="9"/>
  <c r="J47" i="9"/>
  <c r="K47" i="9" s="1"/>
  <c r="Q47" i="9" s="1"/>
  <c r="Y46" i="9"/>
  <c r="L46" i="9"/>
  <c r="J46" i="9"/>
  <c r="K46" i="9" s="1"/>
  <c r="N46" i="9" s="1"/>
  <c r="Y45" i="9"/>
  <c r="L45" i="9"/>
  <c r="J45" i="9"/>
  <c r="K45" i="9" s="1"/>
  <c r="Y44" i="9"/>
  <c r="R44" i="9"/>
  <c r="L44" i="9"/>
  <c r="J44" i="9"/>
  <c r="K44" i="9" s="1"/>
  <c r="N44" i="9" s="1"/>
  <c r="Y43" i="9"/>
  <c r="L43" i="9"/>
  <c r="J43" i="9"/>
  <c r="K43" i="9" s="1"/>
  <c r="Y42" i="9"/>
  <c r="L42" i="9"/>
  <c r="J42" i="9"/>
  <c r="K42" i="9" s="1"/>
  <c r="Y41" i="9"/>
  <c r="L41" i="9"/>
  <c r="J41" i="9"/>
  <c r="K41" i="9" s="1"/>
  <c r="N41" i="9" s="1"/>
  <c r="Y40" i="9"/>
  <c r="L40" i="9"/>
  <c r="J40" i="9"/>
  <c r="K40" i="9" s="1"/>
  <c r="R40" i="9" s="1"/>
  <c r="Y39" i="9"/>
  <c r="L39" i="9"/>
  <c r="J39" i="9"/>
  <c r="K39" i="9" s="1"/>
  <c r="Q39" i="9" s="1"/>
  <c r="Y38" i="9"/>
  <c r="L38" i="9"/>
  <c r="J38" i="9"/>
  <c r="K38" i="9" s="1"/>
  <c r="Y37" i="9"/>
  <c r="L37" i="9"/>
  <c r="J37" i="9"/>
  <c r="K37" i="9" s="1"/>
  <c r="Y36" i="9"/>
  <c r="L36" i="9"/>
  <c r="J36" i="9"/>
  <c r="K36" i="9" s="1"/>
  <c r="Y35" i="9"/>
  <c r="L35" i="9"/>
  <c r="J35" i="9"/>
  <c r="K35" i="9" s="1"/>
  <c r="N35" i="9" s="1"/>
  <c r="Y34" i="9"/>
  <c r="L34" i="9"/>
  <c r="J34" i="9"/>
  <c r="K34" i="9" s="1"/>
  <c r="N34" i="9" s="1"/>
  <c r="Y33" i="9"/>
  <c r="L33" i="9"/>
  <c r="J33" i="9"/>
  <c r="K33" i="9" s="1"/>
  <c r="Y32" i="9"/>
  <c r="L32" i="9"/>
  <c r="J32" i="9"/>
  <c r="K32" i="9" s="1"/>
  <c r="Y31" i="9"/>
  <c r="L31" i="9"/>
  <c r="J31" i="9"/>
  <c r="K31" i="9" s="1"/>
  <c r="Q31" i="9" s="1"/>
  <c r="Y30" i="9"/>
  <c r="L30" i="9"/>
  <c r="J30" i="9"/>
  <c r="K30" i="9" s="1"/>
  <c r="Y29" i="9"/>
  <c r="L29" i="9"/>
  <c r="K29" i="9"/>
  <c r="N29" i="9" s="1"/>
  <c r="J29" i="9"/>
  <c r="Y28" i="9"/>
  <c r="L28" i="9"/>
  <c r="K28" i="9"/>
  <c r="Q28" i="9" s="1"/>
  <c r="J28" i="9"/>
  <c r="Y27" i="9"/>
  <c r="N27" i="9"/>
  <c r="L27" i="9"/>
  <c r="J27" i="9"/>
  <c r="K27" i="9" s="1"/>
  <c r="Q27" i="9" s="1"/>
  <c r="Y26" i="9"/>
  <c r="L26" i="9"/>
  <c r="J26" i="9"/>
  <c r="K26" i="9" s="1"/>
  <c r="Y25" i="9"/>
  <c r="L25" i="9"/>
  <c r="J25" i="9"/>
  <c r="K25" i="9" s="1"/>
  <c r="N25" i="9" s="1"/>
  <c r="Y24" i="9"/>
  <c r="L24" i="9"/>
  <c r="J24" i="9"/>
  <c r="K24" i="9" s="1"/>
  <c r="Q24" i="9" s="1"/>
  <c r="Y23" i="9"/>
  <c r="L23" i="9"/>
  <c r="J23" i="9"/>
  <c r="K23" i="9" s="1"/>
  <c r="R23" i="9" s="1"/>
  <c r="Y22" i="9"/>
  <c r="L22" i="9"/>
  <c r="J22" i="9"/>
  <c r="K22" i="9" s="1"/>
  <c r="Y21" i="9"/>
  <c r="L21" i="9"/>
  <c r="J21" i="9"/>
  <c r="K21" i="9" s="1"/>
  <c r="N21" i="9" s="1"/>
  <c r="Y20" i="9"/>
  <c r="L20" i="9"/>
  <c r="J20" i="9"/>
  <c r="K20" i="9" s="1"/>
  <c r="Y19" i="9"/>
  <c r="L19" i="9"/>
  <c r="J19" i="9"/>
  <c r="K19" i="9" s="1"/>
  <c r="N19" i="9" s="1"/>
  <c r="Y18" i="9"/>
  <c r="L18" i="9"/>
  <c r="J18" i="9"/>
  <c r="K18" i="9" s="1"/>
  <c r="N18" i="9" s="1"/>
  <c r="Y17" i="9"/>
  <c r="L17" i="9"/>
  <c r="J17" i="9"/>
  <c r="K17" i="9" s="1"/>
  <c r="N17" i="9" s="1"/>
  <c r="Y16" i="9"/>
  <c r="L16" i="9"/>
  <c r="J16" i="9"/>
  <c r="K16" i="9" s="1"/>
  <c r="P16" i="9" s="1"/>
  <c r="Y15" i="9"/>
  <c r="L15" i="9"/>
  <c r="J15" i="9"/>
  <c r="K15" i="9" s="1"/>
  <c r="T15" i="9" s="1"/>
  <c r="Y14" i="9"/>
  <c r="L14" i="9"/>
  <c r="J14" i="9"/>
  <c r="K14" i="9" s="1"/>
  <c r="N14" i="9" s="1"/>
  <c r="Y13" i="9"/>
  <c r="L13" i="9"/>
  <c r="J13" i="9"/>
  <c r="K13" i="9" s="1"/>
  <c r="Y12" i="9"/>
  <c r="L12" i="9"/>
  <c r="J12" i="9"/>
  <c r="K12" i="9" s="1"/>
  <c r="N12" i="9" s="1"/>
  <c r="Y11" i="9"/>
  <c r="L11" i="9"/>
  <c r="J11" i="9"/>
  <c r="K11" i="9" s="1"/>
  <c r="N11" i="9" s="1"/>
  <c r="Y10" i="9"/>
  <c r="L10" i="9"/>
  <c r="J10" i="9"/>
  <c r="K10" i="9" s="1"/>
  <c r="Y9" i="9"/>
  <c r="L9" i="9"/>
  <c r="J9" i="9"/>
  <c r="K9" i="9" s="1"/>
  <c r="Y8" i="9"/>
  <c r="L8" i="9"/>
  <c r="J8" i="9"/>
  <c r="K8" i="9" s="1"/>
  <c r="N8" i="9" s="1"/>
  <c r="Y7" i="9"/>
  <c r="L7" i="9"/>
  <c r="J7" i="9"/>
  <c r="K7" i="9" s="1"/>
  <c r="N7" i="9" s="1"/>
  <c r="Y6" i="9"/>
  <c r="L6" i="9"/>
  <c r="Q6" i="9" s="1"/>
  <c r="J6" i="9"/>
  <c r="K6" i="9" s="1"/>
  <c r="N1" i="9"/>
  <c r="N103" i="9" l="1"/>
  <c r="O103" i="9"/>
  <c r="N23" i="9"/>
  <c r="N48" i="9"/>
  <c r="R102" i="9"/>
  <c r="R103" i="9"/>
  <c r="P13" i="9"/>
  <c r="R53" i="9"/>
  <c r="P60" i="9"/>
  <c r="R67" i="9"/>
  <c r="R75" i="9"/>
  <c r="R82" i="9"/>
  <c r="R83" i="9"/>
  <c r="R90" i="9"/>
  <c r="R91" i="9"/>
  <c r="R98" i="9"/>
  <c r="R99" i="9"/>
  <c r="R27" i="9"/>
  <c r="P48" i="9"/>
  <c r="R71" i="9"/>
  <c r="R79" i="9"/>
  <c r="R86" i="9"/>
  <c r="R87" i="9"/>
  <c r="R94" i="9"/>
  <c r="R95" i="9"/>
  <c r="N61" i="9"/>
  <c r="T61" i="9"/>
  <c r="N73" i="9"/>
  <c r="T73" i="9"/>
  <c r="O73" i="9"/>
  <c r="N89" i="9"/>
  <c r="T89" i="9"/>
  <c r="O89" i="9"/>
  <c r="N33" i="9"/>
  <c r="P33" i="9"/>
  <c r="O33" i="9"/>
  <c r="N22" i="9"/>
  <c r="Q22" i="9"/>
  <c r="N45" i="9"/>
  <c r="T45" i="9"/>
  <c r="N101" i="9"/>
  <c r="T101" i="9"/>
  <c r="O101" i="9"/>
  <c r="N107" i="9"/>
  <c r="T107" i="9"/>
  <c r="O107" i="9"/>
  <c r="N117" i="9"/>
  <c r="P117" i="9"/>
  <c r="N125" i="9"/>
  <c r="R125" i="9"/>
  <c r="N65" i="9"/>
  <c r="O65" i="9"/>
  <c r="N81" i="9"/>
  <c r="T81" i="9"/>
  <c r="O81" i="9"/>
  <c r="N97" i="9"/>
  <c r="T97" i="9"/>
  <c r="O97" i="9"/>
  <c r="N26" i="9"/>
  <c r="Q26" i="9"/>
  <c r="P26" i="9"/>
  <c r="N30" i="9"/>
  <c r="P30" i="9"/>
  <c r="N38" i="9"/>
  <c r="P38" i="9"/>
  <c r="N42" i="9"/>
  <c r="P42" i="9"/>
  <c r="N37" i="9"/>
  <c r="O37" i="9"/>
  <c r="N69" i="9"/>
  <c r="T69" i="9"/>
  <c r="O69" i="9"/>
  <c r="N77" i="9"/>
  <c r="T77" i="9"/>
  <c r="O77" i="9"/>
  <c r="N85" i="9"/>
  <c r="T85" i="9"/>
  <c r="O85" i="9"/>
  <c r="N93" i="9"/>
  <c r="T93" i="9"/>
  <c r="O93" i="9"/>
  <c r="N105" i="9"/>
  <c r="O105" i="9"/>
  <c r="N111" i="9"/>
  <c r="P111" i="9"/>
  <c r="N115" i="9"/>
  <c r="P115" i="9"/>
  <c r="N123" i="9"/>
  <c r="P123" i="9"/>
  <c r="P24" i="9"/>
  <c r="P9" i="9"/>
  <c r="P29" i="9"/>
  <c r="Q30" i="9"/>
  <c r="P31" i="9"/>
  <c r="R37" i="9"/>
  <c r="O49" i="9"/>
  <c r="O53" i="9"/>
  <c r="P55" i="9"/>
  <c r="O14" i="9"/>
  <c r="P27" i="9"/>
  <c r="R31" i="9"/>
  <c r="P39" i="9"/>
  <c r="P54" i="9"/>
  <c r="P58" i="9"/>
  <c r="P64" i="9"/>
  <c r="T67" i="9"/>
  <c r="R69" i="9"/>
  <c r="T71" i="9"/>
  <c r="R73" i="9"/>
  <c r="T75" i="9"/>
  <c r="R77" i="9"/>
  <c r="T79" i="9"/>
  <c r="R80" i="9"/>
  <c r="R81" i="9"/>
  <c r="T83" i="9"/>
  <c r="R84" i="9"/>
  <c r="R85" i="9"/>
  <c r="T87" i="9"/>
  <c r="R88" i="9"/>
  <c r="R89" i="9"/>
  <c r="T91" i="9"/>
  <c r="R92" i="9"/>
  <c r="R93" i="9"/>
  <c r="T95" i="9"/>
  <c r="R96" i="9"/>
  <c r="R97" i="9"/>
  <c r="T99" i="9"/>
  <c r="R100" i="9"/>
  <c r="R101" i="9"/>
  <c r="T103" i="9"/>
  <c r="R104" i="9"/>
  <c r="R105" i="9"/>
  <c r="O109" i="9"/>
  <c r="P121" i="9"/>
  <c r="R7" i="9"/>
  <c r="P62" i="9"/>
  <c r="N64" i="9"/>
  <c r="R65" i="9"/>
  <c r="R106" i="9"/>
  <c r="R107" i="9"/>
  <c r="T109" i="9"/>
  <c r="P21" i="9"/>
  <c r="R11" i="9"/>
  <c r="O12" i="9"/>
  <c r="P46" i="9"/>
  <c r="P51" i="9"/>
  <c r="R49" i="9"/>
  <c r="N24" i="9"/>
  <c r="O25" i="9"/>
  <c r="P44" i="9"/>
  <c r="O67" i="9"/>
  <c r="O71" i="9"/>
  <c r="O75" i="9"/>
  <c r="O79" i="9"/>
  <c r="O83" i="9"/>
  <c r="O87" i="9"/>
  <c r="O91" i="9"/>
  <c r="O95" i="9"/>
  <c r="R108" i="9"/>
  <c r="R109" i="9"/>
  <c r="P113" i="9"/>
  <c r="P119" i="9"/>
  <c r="T6" i="9"/>
  <c r="O6" i="9"/>
  <c r="R6" i="9"/>
  <c r="N6" i="9"/>
  <c r="T8" i="9"/>
  <c r="N13" i="9"/>
  <c r="R13" i="9"/>
  <c r="Q13" i="9"/>
  <c r="T20" i="9"/>
  <c r="R20" i="9"/>
  <c r="O20" i="9"/>
  <c r="N20" i="9"/>
  <c r="O10" i="9"/>
  <c r="N10" i="9"/>
  <c r="R10" i="9"/>
  <c r="R9" i="9"/>
  <c r="N9" i="9"/>
  <c r="Q9" i="9"/>
  <c r="Q10" i="9"/>
  <c r="Q32" i="9"/>
  <c r="N32" i="9"/>
  <c r="O32" i="9"/>
  <c r="R32" i="9"/>
  <c r="Q36" i="9"/>
  <c r="O36" i="9"/>
  <c r="R36" i="9"/>
  <c r="N36" i="9"/>
  <c r="P12" i="9"/>
  <c r="O15" i="9"/>
  <c r="P17" i="9"/>
  <c r="Q19" i="9"/>
  <c r="R28" i="9"/>
  <c r="P19" i="9"/>
  <c r="R19" i="9"/>
  <c r="O21" i="9"/>
  <c r="Q23" i="9"/>
  <c r="P28" i="9"/>
  <c r="T29" i="9"/>
  <c r="P35" i="9"/>
  <c r="R35" i="9"/>
  <c r="Q40" i="9"/>
  <c r="O40" i="9"/>
  <c r="R41" i="9"/>
  <c r="P43" i="9"/>
  <c r="R47" i="9"/>
  <c r="N47" i="9"/>
  <c r="P52" i="9"/>
  <c r="Q56" i="9"/>
  <c r="O56" i="9"/>
  <c r="P59" i="9"/>
  <c r="R66" i="9"/>
  <c r="R68" i="9"/>
  <c r="R70" i="9"/>
  <c r="R74" i="9"/>
  <c r="R76" i="9"/>
  <c r="R78" i="9"/>
  <c r="T59" i="9"/>
  <c r="O18" i="9"/>
  <c r="R18" i="9"/>
  <c r="T34" i="9"/>
  <c r="O34" i="9"/>
  <c r="R34" i="9"/>
  <c r="Q35" i="9"/>
  <c r="P11" i="9"/>
  <c r="Q12" i="9"/>
  <c r="Q16" i="9"/>
  <c r="R16" i="9"/>
  <c r="T22" i="9"/>
  <c r="O22" i="9"/>
  <c r="R22" i="9"/>
  <c r="T50" i="9"/>
  <c r="O50" i="9"/>
  <c r="R50" i="9"/>
  <c r="Q50" i="9"/>
  <c r="R63" i="9"/>
  <c r="N63" i="9"/>
  <c r="P6" i="9"/>
  <c r="Q7" i="9"/>
  <c r="R8" i="9"/>
  <c r="O9" i="9"/>
  <c r="P10" i="9"/>
  <c r="Q11" i="9"/>
  <c r="R12" i="9"/>
  <c r="O13" i="9"/>
  <c r="R15" i="9"/>
  <c r="N16" i="9"/>
  <c r="T16" i="9"/>
  <c r="P18" i="9"/>
  <c r="P23" i="9"/>
  <c r="O24" i="9"/>
  <c r="T26" i="9"/>
  <c r="O26" i="9"/>
  <c r="R26" i="9"/>
  <c r="N28" i="9"/>
  <c r="R29" i="9"/>
  <c r="Q29" i="9"/>
  <c r="N31" i="9"/>
  <c r="P32" i="9"/>
  <c r="P34" i="9"/>
  <c r="T37" i="9"/>
  <c r="T38" i="9"/>
  <c r="O38" i="9"/>
  <c r="R38" i="9"/>
  <c r="Q38" i="9"/>
  <c r="P40" i="9"/>
  <c r="O41" i="9"/>
  <c r="Q44" i="9"/>
  <c r="O44" i="9"/>
  <c r="R45" i="9"/>
  <c r="P47" i="9"/>
  <c r="P50" i="9"/>
  <c r="R51" i="9"/>
  <c r="N51" i="9"/>
  <c r="N52" i="9"/>
  <c r="T53" i="9"/>
  <c r="T54" i="9"/>
  <c r="O54" i="9"/>
  <c r="R54" i="9"/>
  <c r="Q54" i="9"/>
  <c r="P56" i="9"/>
  <c r="O57" i="9"/>
  <c r="Q60" i="9"/>
  <c r="T60" i="9"/>
  <c r="O60" i="9"/>
  <c r="R61" i="9"/>
  <c r="P63" i="9"/>
  <c r="O66" i="9"/>
  <c r="O68" i="9"/>
  <c r="O70" i="9"/>
  <c r="O72" i="9"/>
  <c r="O74" i="9"/>
  <c r="O76" i="9"/>
  <c r="O78" i="9"/>
  <c r="O80" i="9"/>
  <c r="O82" i="9"/>
  <c r="O84" i="9"/>
  <c r="O86" i="9"/>
  <c r="O88" i="9"/>
  <c r="O90" i="9"/>
  <c r="O92" i="9"/>
  <c r="O94" i="9"/>
  <c r="O96" i="9"/>
  <c r="O98" i="9"/>
  <c r="O100" i="9"/>
  <c r="O102" i="9"/>
  <c r="O104" i="9"/>
  <c r="O106" i="9"/>
  <c r="O108" i="9"/>
  <c r="P110" i="9"/>
  <c r="P112" i="9"/>
  <c r="P116" i="9"/>
  <c r="P118" i="9"/>
  <c r="P120" i="9"/>
  <c r="P122" i="9"/>
  <c r="P124" i="9"/>
  <c r="O7" i="9"/>
  <c r="T7" i="9"/>
  <c r="P8" i="9"/>
  <c r="O11" i="9"/>
  <c r="Q14" i="9"/>
  <c r="R21" i="9"/>
  <c r="Q21" i="9"/>
  <c r="R43" i="9"/>
  <c r="N43" i="9"/>
  <c r="P7" i="9"/>
  <c r="Q8" i="9"/>
  <c r="R14" i="9"/>
  <c r="P15" i="9"/>
  <c r="Q15" i="9"/>
  <c r="R17" i="9"/>
  <c r="Q17" i="9"/>
  <c r="R25" i="9"/>
  <c r="Q25" i="9"/>
  <c r="R57" i="9"/>
  <c r="R72" i="9"/>
  <c r="O8" i="9"/>
  <c r="P14" i="9"/>
  <c r="N15" i="9"/>
  <c r="O16" i="9"/>
  <c r="O17" i="9"/>
  <c r="Q18" i="9"/>
  <c r="Q20" i="9"/>
  <c r="P22" i="9"/>
  <c r="R24" i="9"/>
  <c r="P25" i="9"/>
  <c r="O28" i="9"/>
  <c r="O29" i="9"/>
  <c r="T30" i="9"/>
  <c r="O30" i="9"/>
  <c r="R30" i="9"/>
  <c r="R33" i="9"/>
  <c r="Q33" i="9"/>
  <c r="Q34" i="9"/>
  <c r="P36" i="9"/>
  <c r="R39" i="9"/>
  <c r="N39" i="9"/>
  <c r="N40" i="9"/>
  <c r="T42" i="9"/>
  <c r="O42" i="9"/>
  <c r="R42" i="9"/>
  <c r="Q42" i="9"/>
  <c r="Q43" i="9"/>
  <c r="O45" i="9"/>
  <c r="Q48" i="9"/>
  <c r="O48" i="9"/>
  <c r="R55" i="9"/>
  <c r="N55" i="9"/>
  <c r="N56" i="9"/>
  <c r="T58" i="9"/>
  <c r="O58" i="9"/>
  <c r="R58" i="9"/>
  <c r="Q58" i="9"/>
  <c r="O61" i="9"/>
  <c r="Q64" i="9"/>
  <c r="O64" i="9"/>
  <c r="T66" i="9"/>
  <c r="T68" i="9"/>
  <c r="T70" i="9"/>
  <c r="T72" i="9"/>
  <c r="T76" i="9"/>
  <c r="T78" i="9"/>
  <c r="T80" i="9"/>
  <c r="T82" i="9"/>
  <c r="T86" i="9"/>
  <c r="T88" i="9"/>
  <c r="T90" i="9"/>
  <c r="T94" i="9"/>
  <c r="T96" i="9"/>
  <c r="T98" i="9"/>
  <c r="T102" i="9"/>
  <c r="T46" i="9"/>
  <c r="O46" i="9"/>
  <c r="R46" i="9"/>
  <c r="Q46" i="9"/>
  <c r="Q52" i="9"/>
  <c r="O52" i="9"/>
  <c r="R59" i="9"/>
  <c r="N59" i="9"/>
  <c r="O62" i="9"/>
  <c r="R62" i="9"/>
  <c r="Q62" i="9"/>
  <c r="R114" i="9"/>
  <c r="P114" i="9"/>
  <c r="O114" i="9"/>
  <c r="T114" i="9"/>
  <c r="M114" i="9"/>
  <c r="V114" i="9" s="1"/>
  <c r="W114" i="9" s="1"/>
  <c r="P37" i="9"/>
  <c r="P41" i="9"/>
  <c r="P45" i="9"/>
  <c r="P49" i="9"/>
  <c r="P53" i="9"/>
  <c r="P57" i="9"/>
  <c r="P61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Q110" i="9"/>
  <c r="R110" i="9"/>
  <c r="Q111" i="9"/>
  <c r="R111" i="9"/>
  <c r="Q112" i="9"/>
  <c r="R112" i="9"/>
  <c r="Q113" i="9"/>
  <c r="R113" i="9"/>
  <c r="Q115" i="9"/>
  <c r="R115" i="9"/>
  <c r="Q116" i="9"/>
  <c r="R116" i="9"/>
  <c r="Q117" i="9"/>
  <c r="R117" i="9"/>
  <c r="Q118" i="9"/>
  <c r="R118" i="9"/>
  <c r="Q119" i="9"/>
  <c r="R119" i="9"/>
  <c r="Q120" i="9"/>
  <c r="R120" i="9"/>
  <c r="Q121" i="9"/>
  <c r="R121" i="9"/>
  <c r="Q122" i="9"/>
  <c r="R122" i="9"/>
  <c r="Q123" i="9"/>
  <c r="R123" i="9"/>
  <c r="Q124" i="9"/>
  <c r="R124" i="9"/>
  <c r="Q125" i="9"/>
  <c r="T10" i="9"/>
  <c r="T11" i="9"/>
  <c r="T27" i="9"/>
  <c r="T36" i="9"/>
  <c r="T43" i="9"/>
  <c r="O19" i="9"/>
  <c r="P20" i="9"/>
  <c r="O23" i="9"/>
  <c r="O27" i="9"/>
  <c r="O31" i="9"/>
  <c r="O35" i="9"/>
  <c r="Q37" i="9"/>
  <c r="O39" i="9"/>
  <c r="Q41" i="9"/>
  <c r="O43" i="9"/>
  <c r="Q45" i="9"/>
  <c r="O47" i="9"/>
  <c r="Q49" i="9"/>
  <c r="O51" i="9"/>
  <c r="Q53" i="9"/>
  <c r="O55" i="9"/>
  <c r="T55" i="9"/>
  <c r="Q57" i="9"/>
  <c r="O59" i="9"/>
  <c r="Q61" i="9"/>
  <c r="O63" i="9"/>
  <c r="T63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T110" i="9"/>
  <c r="T111" i="9"/>
  <c r="T112" i="9"/>
  <c r="T115" i="9"/>
  <c r="T116" i="9"/>
  <c r="T117" i="9"/>
  <c r="T118" i="9"/>
  <c r="T119" i="9"/>
  <c r="T120" i="9"/>
  <c r="T121" i="9"/>
  <c r="T122" i="9"/>
  <c r="T123" i="9"/>
  <c r="O125" i="9"/>
  <c r="T9" i="9"/>
  <c r="T14" i="9"/>
  <c r="T18" i="9"/>
  <c r="T19" i="9"/>
  <c r="O110" i="9"/>
  <c r="O111" i="9"/>
  <c r="O112" i="9"/>
  <c r="O113" i="9"/>
  <c r="O115" i="9"/>
  <c r="O116" i="9"/>
  <c r="O117" i="9"/>
  <c r="O118" i="9"/>
  <c r="O119" i="9"/>
  <c r="O120" i="9"/>
  <c r="O121" i="9"/>
  <c r="O122" i="9"/>
  <c r="O123" i="9"/>
  <c r="O124" i="9"/>
  <c r="P125" i="9"/>
  <c r="T12" i="9"/>
  <c r="T13" i="9"/>
  <c r="T17" i="9"/>
  <c r="T21" i="9"/>
  <c r="T28" i="9"/>
  <c r="T35" i="9"/>
  <c r="T44" i="9"/>
  <c r="T57" i="9"/>
  <c r="T23" i="9"/>
  <c r="T24" i="9"/>
  <c r="T25" i="9"/>
  <c r="T31" i="9"/>
  <c r="T32" i="9"/>
  <c r="T33" i="9"/>
  <c r="T39" i="9"/>
  <c r="T40" i="9"/>
  <c r="T41" i="9"/>
  <c r="T47" i="9"/>
  <c r="T48" i="9"/>
  <c r="T49" i="9"/>
  <c r="T51" i="9"/>
  <c r="T52" i="9"/>
  <c r="T65" i="9"/>
  <c r="T62" i="9"/>
  <c r="T74" i="9"/>
  <c r="T100" i="9"/>
  <c r="T113" i="9"/>
  <c r="T84" i="9"/>
  <c r="M88" i="9"/>
  <c r="T92" i="9"/>
  <c r="T108" i="9"/>
  <c r="T105" i="9"/>
  <c r="T106" i="9"/>
  <c r="T124" i="9"/>
  <c r="T125" i="9"/>
  <c r="V88" i="9" l="1"/>
  <c r="W88" i="9" s="1"/>
  <c r="M54" i="9"/>
  <c r="V54" i="9" s="1"/>
  <c r="W54" i="9" s="1"/>
  <c r="M83" i="9"/>
  <c r="V83" i="9" s="1"/>
  <c r="W83" i="9" s="1"/>
  <c r="AE83" i="9" s="1"/>
  <c r="M16" i="9"/>
  <c r="V16" i="9" s="1"/>
  <c r="W16" i="9" s="1"/>
  <c r="AE88" i="9"/>
  <c r="M107" i="9"/>
  <c r="V107" i="9" s="1"/>
  <c r="W107" i="9" s="1"/>
  <c r="AE107" i="9" s="1"/>
  <c r="M122" i="9"/>
  <c r="V122" i="9" s="1"/>
  <c r="W122" i="9" s="1"/>
  <c r="AE122" i="9" s="1"/>
  <c r="M91" i="9"/>
  <c r="V91" i="9" s="1"/>
  <c r="W91" i="9" s="1"/>
  <c r="AE91" i="9" s="1"/>
  <c r="M61" i="9"/>
  <c r="V61" i="9" s="1"/>
  <c r="W61" i="9" s="1"/>
  <c r="M36" i="9"/>
  <c r="V36" i="9" s="1"/>
  <c r="W36" i="9" s="1"/>
  <c r="AE114" i="9"/>
  <c r="M111" i="9"/>
  <c r="V111" i="9" s="1"/>
  <c r="W111" i="9" s="1"/>
  <c r="AE111" i="9" s="1"/>
  <c r="T104" i="9"/>
  <c r="M106" i="9"/>
  <c r="V106" i="9" s="1"/>
  <c r="W106" i="9" s="1"/>
  <c r="AE106" i="9" s="1"/>
  <c r="M112" i="9"/>
  <c r="V112" i="9" s="1"/>
  <c r="W112" i="9" s="1"/>
  <c r="M33" i="9"/>
  <c r="V33" i="9" s="1"/>
  <c r="W33" i="9" s="1"/>
  <c r="M81" i="9"/>
  <c r="V81" i="9" s="1"/>
  <c r="W81" i="9" s="1"/>
  <c r="AE81" i="9" s="1"/>
  <c r="M97" i="9"/>
  <c r="V97" i="9" s="1"/>
  <c r="W97" i="9" s="1"/>
  <c r="AE97" i="9" s="1"/>
  <c r="M89" i="9"/>
  <c r="V89" i="9" s="1"/>
  <c r="W89" i="9" s="1"/>
  <c r="AE89" i="9" s="1"/>
  <c r="M72" i="9"/>
  <c r="V72" i="9" s="1"/>
  <c r="W72" i="9" s="1"/>
  <c r="AE72" i="9" s="1"/>
  <c r="M96" i="9"/>
  <c r="V96" i="9" s="1"/>
  <c r="W96" i="9" s="1"/>
  <c r="M73" i="9"/>
  <c r="V73" i="9" s="1"/>
  <c r="W73" i="9" s="1"/>
  <c r="M21" i="9"/>
  <c r="V21" i="9" s="1"/>
  <c r="W21" i="9" s="1"/>
  <c r="M71" i="9"/>
  <c r="V71" i="9" s="1"/>
  <c r="W71" i="9" s="1"/>
  <c r="AE71" i="9" s="1"/>
  <c r="M9" i="9"/>
  <c r="V9" i="9" s="1"/>
  <c r="W9" i="9" s="1"/>
  <c r="M69" i="9"/>
  <c r="V69" i="9" s="1"/>
  <c r="W69" i="9" s="1"/>
  <c r="M15" i="9"/>
  <c r="V15" i="9" s="1"/>
  <c r="W15" i="9" s="1"/>
  <c r="M55" i="9"/>
  <c r="V55" i="9" s="1"/>
  <c r="W55" i="9" s="1"/>
  <c r="M80" i="9"/>
  <c r="V80" i="9" s="1"/>
  <c r="W80" i="9" s="1"/>
  <c r="AE80" i="9" s="1"/>
  <c r="M68" i="9"/>
  <c r="V68" i="9" s="1"/>
  <c r="W68" i="9" s="1"/>
  <c r="AE68" i="9" s="1"/>
  <c r="T64" i="9"/>
  <c r="M121" i="9"/>
  <c r="V121" i="9" s="1"/>
  <c r="W121" i="9" s="1"/>
  <c r="AE121" i="9" s="1"/>
  <c r="M120" i="9"/>
  <c r="V120" i="9" s="1"/>
  <c r="W120" i="9" s="1"/>
  <c r="AE120" i="9" s="1"/>
  <c r="M116" i="9"/>
  <c r="V116" i="9" s="1"/>
  <c r="W116" i="9" s="1"/>
  <c r="M104" i="9"/>
  <c r="M84" i="9"/>
  <c r="V84" i="9" s="1"/>
  <c r="W84" i="9" s="1"/>
  <c r="AE84" i="9" s="1"/>
  <c r="T56" i="9"/>
  <c r="M53" i="9"/>
  <c r="V53" i="9" s="1"/>
  <c r="W53" i="9" s="1"/>
  <c r="M37" i="9"/>
  <c r="V37" i="9" s="1"/>
  <c r="W37" i="9" s="1"/>
  <c r="M64" i="9"/>
  <c r="V64" i="9" s="1"/>
  <c r="W64" i="9" s="1"/>
  <c r="M58" i="9"/>
  <c r="V58" i="9" s="1"/>
  <c r="W58" i="9" s="1"/>
  <c r="M28" i="9"/>
  <c r="V28" i="9" s="1"/>
  <c r="W28" i="9" s="1"/>
  <c r="M70" i="9"/>
  <c r="V70" i="9" s="1"/>
  <c r="W70" i="9" s="1"/>
  <c r="AE70" i="9" s="1"/>
  <c r="M60" i="9"/>
  <c r="V60" i="9" s="1"/>
  <c r="W60" i="9" s="1"/>
  <c r="M14" i="9"/>
  <c r="V14" i="9" s="1"/>
  <c r="W14" i="9" s="1"/>
  <c r="M10" i="9"/>
  <c r="V10" i="9" s="1"/>
  <c r="W10" i="9" s="1"/>
  <c r="V104" i="9" l="1"/>
  <c r="W104" i="9" s="1"/>
  <c r="AE112" i="9"/>
  <c r="AE73" i="9"/>
  <c r="M29" i="9"/>
  <c r="V29" i="9" s="1"/>
  <c r="W29" i="9" s="1"/>
  <c r="M119" i="9"/>
  <c r="V119" i="9" s="1"/>
  <c r="W119" i="9" s="1"/>
  <c r="M117" i="9"/>
  <c r="V117" i="9" s="1"/>
  <c r="W117" i="9" s="1"/>
  <c r="AE117" i="9" s="1"/>
  <c r="M87" i="9"/>
  <c r="V87" i="9" s="1"/>
  <c r="W87" i="9" s="1"/>
  <c r="AE87" i="9" s="1"/>
  <c r="M99" i="9"/>
  <c r="V99" i="9" s="1"/>
  <c r="W99" i="9" s="1"/>
  <c r="M26" i="9"/>
  <c r="V26" i="9" s="1"/>
  <c r="W26" i="9" s="1"/>
  <c r="M66" i="9"/>
  <c r="V66" i="9" s="1"/>
  <c r="W66" i="9" s="1"/>
  <c r="AE66" i="9" s="1"/>
  <c r="M98" i="9"/>
  <c r="V98" i="9" s="1"/>
  <c r="W98" i="9" s="1"/>
  <c r="AE98" i="9" s="1"/>
  <c r="AE104" i="9"/>
  <c r="M19" i="9"/>
  <c r="V19" i="9" s="1"/>
  <c r="W19" i="9" s="1"/>
  <c r="M44" i="9"/>
  <c r="V44" i="9" s="1"/>
  <c r="W44" i="9" s="1"/>
  <c r="X72" i="9"/>
  <c r="Z72" i="9" s="1"/>
  <c r="X71" i="9"/>
  <c r="Z71" i="9" s="1"/>
  <c r="X70" i="9"/>
  <c r="Z70" i="9" s="1"/>
  <c r="X69" i="9"/>
  <c r="Z69" i="9" s="1"/>
  <c r="AE69" i="9"/>
  <c r="M92" i="9"/>
  <c r="V92" i="9" s="1"/>
  <c r="W92" i="9" s="1"/>
  <c r="M74" i="9"/>
  <c r="V74" i="9" s="1"/>
  <c r="W74" i="9" s="1"/>
  <c r="AE74" i="9" s="1"/>
  <c r="M57" i="9"/>
  <c r="V57" i="9" s="1"/>
  <c r="W57" i="9" s="1"/>
  <c r="M23" i="9"/>
  <c r="V23" i="9" s="1"/>
  <c r="W23" i="9" s="1"/>
  <c r="M32" i="9"/>
  <c r="V32" i="9" s="1"/>
  <c r="W32" i="9" s="1"/>
  <c r="M39" i="9"/>
  <c r="V39" i="9" s="1"/>
  <c r="W39" i="9" s="1"/>
  <c r="M48" i="9"/>
  <c r="V48" i="9" s="1"/>
  <c r="W48" i="9" s="1"/>
  <c r="M45" i="9"/>
  <c r="V45" i="9" s="1"/>
  <c r="W45" i="9" s="1"/>
  <c r="M63" i="9"/>
  <c r="V63" i="9" s="1"/>
  <c r="W63" i="9" s="1"/>
  <c r="M86" i="9"/>
  <c r="V86" i="9" s="1"/>
  <c r="W86" i="9" s="1"/>
  <c r="AE86" i="9" s="1"/>
  <c r="M105" i="9"/>
  <c r="V105" i="9" s="1"/>
  <c r="W105" i="9" s="1"/>
  <c r="AE105" i="9" s="1"/>
  <c r="M108" i="9"/>
  <c r="V108" i="9" s="1"/>
  <c r="W108" i="9" s="1"/>
  <c r="AE108" i="9" s="1"/>
  <c r="M35" i="9"/>
  <c r="V35" i="9" s="1"/>
  <c r="W35" i="9" s="1"/>
  <c r="M47" i="9"/>
  <c r="V47" i="9" s="1"/>
  <c r="W47" i="9" s="1"/>
  <c r="M123" i="9"/>
  <c r="V123" i="9" s="1"/>
  <c r="W123" i="9" s="1"/>
  <c r="AE123" i="9" s="1"/>
  <c r="M30" i="9"/>
  <c r="V30" i="9" s="1"/>
  <c r="W30" i="9" s="1"/>
  <c r="X54" i="9"/>
  <c r="Z54" i="9" s="1"/>
  <c r="X55" i="9"/>
  <c r="Z55" i="9" s="1"/>
  <c r="M79" i="9"/>
  <c r="V79" i="9" s="1"/>
  <c r="W79" i="9" s="1"/>
  <c r="AE79" i="9" s="1"/>
  <c r="M102" i="9"/>
  <c r="V102" i="9" s="1"/>
  <c r="W102" i="9" s="1"/>
  <c r="M77" i="9"/>
  <c r="V77" i="9" s="1"/>
  <c r="W77" i="9" s="1"/>
  <c r="M76" i="9"/>
  <c r="V76" i="9" s="1"/>
  <c r="W76" i="9" s="1"/>
  <c r="AE76" i="9" s="1"/>
  <c r="M125" i="9"/>
  <c r="V125" i="9" s="1"/>
  <c r="W125" i="9" s="1"/>
  <c r="AE125" i="9" s="1"/>
  <c r="M62" i="9"/>
  <c r="V62" i="9" s="1"/>
  <c r="W62" i="9" s="1"/>
  <c r="M25" i="9"/>
  <c r="V25" i="9" s="1"/>
  <c r="W25" i="9" s="1"/>
  <c r="M41" i="9"/>
  <c r="V41" i="9" s="1"/>
  <c r="W41" i="9" s="1"/>
  <c r="M67" i="9"/>
  <c r="V67" i="9" s="1"/>
  <c r="W67" i="9" s="1"/>
  <c r="AE67" i="9" s="1"/>
  <c r="M103" i="9"/>
  <c r="V103" i="9" s="1"/>
  <c r="W103" i="9" s="1"/>
  <c r="AE103" i="9" s="1"/>
  <c r="AE116" i="9"/>
  <c r="M59" i="9"/>
  <c r="V59" i="9" s="1"/>
  <c r="W59" i="9" s="1"/>
  <c r="M17" i="9"/>
  <c r="V17" i="9" s="1"/>
  <c r="W17" i="9" s="1"/>
  <c r="M24" i="9"/>
  <c r="V24" i="9" s="1"/>
  <c r="W24" i="9" s="1"/>
  <c r="M31" i="9"/>
  <c r="V31" i="9" s="1"/>
  <c r="W31" i="9" s="1"/>
  <c r="M65" i="9"/>
  <c r="V65" i="9" s="1"/>
  <c r="W65" i="9" s="1"/>
  <c r="M11" i="9"/>
  <c r="V11" i="9" s="1"/>
  <c r="W11" i="9" s="1"/>
  <c r="X98" i="9"/>
  <c r="Z98" i="9" s="1"/>
  <c r="X97" i="9"/>
  <c r="Z97" i="9" s="1"/>
  <c r="X96" i="9"/>
  <c r="Z96" i="9" s="1"/>
  <c r="AE96" i="9"/>
  <c r="M56" i="9"/>
  <c r="V56" i="9" s="1"/>
  <c r="W56" i="9" s="1"/>
  <c r="M113" i="9"/>
  <c r="V113" i="9" s="1"/>
  <c r="W113" i="9" s="1"/>
  <c r="AE113" i="9" s="1"/>
  <c r="M43" i="9"/>
  <c r="V43" i="9" s="1"/>
  <c r="W43" i="9" s="1"/>
  <c r="X43" i="9" s="1"/>
  <c r="Z43" i="9" s="1"/>
  <c r="M27" i="9"/>
  <c r="V27" i="9" s="1"/>
  <c r="W27" i="9" s="1"/>
  <c r="M46" i="9"/>
  <c r="V46" i="9" s="1"/>
  <c r="W46" i="9" s="1"/>
  <c r="M8" i="9"/>
  <c r="V8" i="9" s="1"/>
  <c r="W8" i="9" s="1"/>
  <c r="M22" i="9"/>
  <c r="V22" i="9" s="1"/>
  <c r="W22" i="9" s="1"/>
  <c r="M118" i="9"/>
  <c r="V118" i="9" s="1"/>
  <c r="W118" i="9" s="1"/>
  <c r="AE118" i="9" s="1"/>
  <c r="M13" i="9"/>
  <c r="V13" i="9" s="1"/>
  <c r="W13" i="9" s="1"/>
  <c r="M49" i="9"/>
  <c r="V49" i="9" s="1"/>
  <c r="W49" i="9" s="1"/>
  <c r="M18" i="9"/>
  <c r="V18" i="9" s="1"/>
  <c r="W18" i="9" s="1"/>
  <c r="M40" i="9"/>
  <c r="V40" i="9" s="1"/>
  <c r="W40" i="9" s="1"/>
  <c r="M100" i="9"/>
  <c r="V100" i="9" s="1"/>
  <c r="W100" i="9" s="1"/>
  <c r="M38" i="9"/>
  <c r="V38" i="9" s="1"/>
  <c r="W38" i="9" s="1"/>
  <c r="X39" i="9" s="1"/>
  <c r="Z39" i="9" s="1"/>
  <c r="X62" i="9" l="1"/>
  <c r="Z62" i="9" s="1"/>
  <c r="X58" i="9"/>
  <c r="Z58" i="9" s="1"/>
  <c r="X64" i="9"/>
  <c r="Z64" i="9" s="1"/>
  <c r="X61" i="9"/>
  <c r="Z61" i="9" s="1"/>
  <c r="X17" i="9"/>
  <c r="Z17" i="9" s="1"/>
  <c r="X18" i="9"/>
  <c r="Z18" i="9" s="1"/>
  <c r="X16" i="9"/>
  <c r="Z16" i="9" s="1"/>
  <c r="X19" i="9"/>
  <c r="Z19" i="9" s="1"/>
  <c r="X57" i="9"/>
  <c r="Z57" i="9" s="1"/>
  <c r="X56" i="9"/>
  <c r="Z56" i="9" s="1"/>
  <c r="X38" i="9"/>
  <c r="Z38" i="9" s="1"/>
  <c r="M7" i="9"/>
  <c r="V7" i="9" s="1"/>
  <c r="W7" i="9" s="1"/>
  <c r="X59" i="9"/>
  <c r="Z59" i="9" s="1"/>
  <c r="X104" i="9"/>
  <c r="Z104" i="9" s="1"/>
  <c r="X108" i="9"/>
  <c r="Z108" i="9" s="1"/>
  <c r="X37" i="9"/>
  <c r="Z37" i="9" s="1"/>
  <c r="X113" i="9"/>
  <c r="Z113" i="9" s="1"/>
  <c r="X103" i="9"/>
  <c r="Z103" i="9" s="1"/>
  <c r="X102" i="9"/>
  <c r="Z102" i="9" s="1"/>
  <c r="AE102" i="9"/>
  <c r="X107" i="9"/>
  <c r="Z107" i="9" s="1"/>
  <c r="AE77" i="9"/>
  <c r="AE100" i="9"/>
  <c r="M52" i="9"/>
  <c r="V52" i="9" s="1"/>
  <c r="W52" i="9" s="1"/>
  <c r="M20" i="9"/>
  <c r="V20" i="9" s="1"/>
  <c r="W20" i="9" s="1"/>
  <c r="X116" i="9"/>
  <c r="Z116" i="9" s="1"/>
  <c r="X63" i="9"/>
  <c r="Z63" i="9" s="1"/>
  <c r="M78" i="9"/>
  <c r="V78" i="9" s="1"/>
  <c r="W78" i="9" s="1"/>
  <c r="AE78" i="9" s="1"/>
  <c r="X45" i="9"/>
  <c r="Z45" i="9" s="1"/>
  <c r="X46" i="9"/>
  <c r="Z46" i="9" s="1"/>
  <c r="X47" i="9"/>
  <c r="Z47" i="9" s="1"/>
  <c r="X48" i="9"/>
  <c r="Z48" i="9" s="1"/>
  <c r="X44" i="9"/>
  <c r="Z44" i="9" s="1"/>
  <c r="X105" i="9"/>
  <c r="Z105" i="9" s="1"/>
  <c r="M50" i="9"/>
  <c r="V50" i="9" s="1"/>
  <c r="W50" i="9" s="1"/>
  <c r="X49" i="9" s="1"/>
  <c r="Z49" i="9" s="1"/>
  <c r="X36" i="9"/>
  <c r="Z36" i="9" s="1"/>
  <c r="X112" i="9"/>
  <c r="Z112" i="9" s="1"/>
  <c r="M124" i="9"/>
  <c r="V124" i="9" s="1"/>
  <c r="W124" i="9" s="1"/>
  <c r="AE124" i="9" s="1"/>
  <c r="X99" i="9"/>
  <c r="Z99" i="9" s="1"/>
  <c r="AE99" i="9"/>
  <c r="X68" i="9"/>
  <c r="Z68" i="9" s="1"/>
  <c r="X67" i="9"/>
  <c r="Z67" i="9" s="1"/>
  <c r="X66" i="9"/>
  <c r="Z66" i="9" s="1"/>
  <c r="X65" i="9"/>
  <c r="Z65" i="9" s="1"/>
  <c r="AE65" i="9"/>
  <c r="X117" i="9"/>
  <c r="Z117" i="9" s="1"/>
  <c r="M51" i="9"/>
  <c r="V51" i="9" s="1"/>
  <c r="W51" i="9" s="1"/>
  <c r="X41" i="9"/>
  <c r="Z41" i="9" s="1"/>
  <c r="X40" i="9"/>
  <c r="Z40" i="9" s="1"/>
  <c r="M82" i="9"/>
  <c r="V82" i="9" s="1"/>
  <c r="W82" i="9" s="1"/>
  <c r="M12" i="9"/>
  <c r="V12" i="9" s="1"/>
  <c r="W12" i="9" s="1"/>
  <c r="X10" i="9" s="1"/>
  <c r="Z10" i="9" s="1"/>
  <c r="X118" i="9"/>
  <c r="Z118" i="9" s="1"/>
  <c r="X60" i="9"/>
  <c r="Z60" i="9" s="1"/>
  <c r="X25" i="9"/>
  <c r="Z25" i="9" s="1"/>
  <c r="X26" i="9"/>
  <c r="Z26" i="9" s="1"/>
  <c r="X28" i="9"/>
  <c r="Z28" i="9" s="1"/>
  <c r="X27" i="9"/>
  <c r="Z27" i="9" s="1"/>
  <c r="M110" i="9"/>
  <c r="V110" i="9" s="1"/>
  <c r="W110" i="9" s="1"/>
  <c r="AE110" i="9" s="1"/>
  <c r="M95" i="9"/>
  <c r="V95" i="9" s="1"/>
  <c r="W95" i="9" s="1"/>
  <c r="AE95" i="9" s="1"/>
  <c r="M75" i="9"/>
  <c r="V75" i="9" s="1"/>
  <c r="W75" i="9" s="1"/>
  <c r="AE75" i="9" s="1"/>
  <c r="X24" i="9"/>
  <c r="Z24" i="9" s="1"/>
  <c r="X23" i="9"/>
  <c r="Z23" i="9" s="1"/>
  <c r="X92" i="9"/>
  <c r="Z92" i="9" s="1"/>
  <c r="AE92" i="9"/>
  <c r="X106" i="9"/>
  <c r="Z106" i="9" s="1"/>
  <c r="M42" i="9"/>
  <c r="V42" i="9" s="1"/>
  <c r="W42" i="9" s="1"/>
  <c r="X42" i="9" s="1"/>
  <c r="Z42" i="9" s="1"/>
  <c r="AE119" i="9"/>
  <c r="X124" i="9"/>
  <c r="Z124" i="9" s="1"/>
  <c r="X121" i="9"/>
  <c r="Z121" i="9" s="1"/>
  <c r="X29" i="9"/>
  <c r="Z29" i="9" s="1"/>
  <c r="X30" i="9"/>
  <c r="Z30" i="9" s="1"/>
  <c r="X32" i="9"/>
  <c r="Z32" i="9" s="1"/>
  <c r="X31" i="9"/>
  <c r="Z31" i="9" s="1"/>
  <c r="X75" i="9" l="1"/>
  <c r="Z75" i="9" s="1"/>
  <c r="X76" i="9"/>
  <c r="Z76" i="9" s="1"/>
  <c r="X14" i="9"/>
  <c r="Z14" i="9" s="1"/>
  <c r="X50" i="9"/>
  <c r="Z50" i="9" s="1"/>
  <c r="X21" i="9"/>
  <c r="Z21" i="9" s="1"/>
  <c r="X22" i="9"/>
  <c r="Z22" i="9" s="1"/>
  <c r="X20" i="9"/>
  <c r="Z20" i="9" s="1"/>
  <c r="X123" i="9"/>
  <c r="Z123" i="9" s="1"/>
  <c r="X125" i="9"/>
  <c r="Z125" i="9" s="1"/>
  <c r="M90" i="9"/>
  <c r="V90" i="9" s="1"/>
  <c r="W90" i="9" s="1"/>
  <c r="X53" i="9"/>
  <c r="Z53" i="9" s="1"/>
  <c r="X51" i="9"/>
  <c r="Z51" i="9" s="1"/>
  <c r="X52" i="9"/>
  <c r="Z52" i="9" s="1"/>
  <c r="M34" i="9"/>
  <c r="V34" i="9" s="1"/>
  <c r="W34" i="9" s="1"/>
  <c r="M94" i="9"/>
  <c r="V94" i="9" s="1"/>
  <c r="W94" i="9" s="1"/>
  <c r="AE94" i="9" s="1"/>
  <c r="X79" i="9"/>
  <c r="Z79" i="9" s="1"/>
  <c r="X73" i="9"/>
  <c r="Z73" i="9" s="1"/>
  <c r="M115" i="9"/>
  <c r="V115" i="9" s="1"/>
  <c r="W115" i="9" s="1"/>
  <c r="X12" i="9"/>
  <c r="Z12" i="9" s="1"/>
  <c r="X78" i="9"/>
  <c r="Z78" i="9" s="1"/>
  <c r="X74" i="9"/>
  <c r="Z74" i="9" s="1"/>
  <c r="X80" i="9"/>
  <c r="Z80" i="9" s="1"/>
  <c r="M85" i="9"/>
  <c r="V85" i="9" s="1"/>
  <c r="W85" i="9" s="1"/>
  <c r="X15" i="9"/>
  <c r="Z15" i="9" s="1"/>
  <c r="X11" i="9"/>
  <c r="Z11" i="9" s="1"/>
  <c r="X120" i="9"/>
  <c r="Z120" i="9" s="1"/>
  <c r="X84" i="9"/>
  <c r="Z84" i="9" s="1"/>
  <c r="X83" i="9"/>
  <c r="Z83" i="9" s="1"/>
  <c r="X82" i="9"/>
  <c r="Z82" i="9" s="1"/>
  <c r="AE82" i="9"/>
  <c r="X119" i="9"/>
  <c r="Z119" i="9" s="1"/>
  <c r="X122" i="9"/>
  <c r="Z122" i="9" s="1"/>
  <c r="M93" i="9"/>
  <c r="V93" i="9" s="1"/>
  <c r="W93" i="9" s="1"/>
  <c r="M101" i="9"/>
  <c r="V101" i="9" s="1"/>
  <c r="W101" i="9" s="1"/>
  <c r="M6" i="9"/>
  <c r="X77" i="9"/>
  <c r="Z77" i="9" s="1"/>
  <c r="X81" i="9"/>
  <c r="Z81" i="9" s="1"/>
  <c r="M109" i="9"/>
  <c r="V109" i="9" s="1"/>
  <c r="W109" i="9" s="1"/>
  <c r="X13" i="9"/>
  <c r="Z13" i="9" s="1"/>
  <c r="M126" i="9" l="1"/>
  <c r="V6" i="9"/>
  <c r="X109" i="9"/>
  <c r="Z109" i="9" s="1"/>
  <c r="AE109" i="9"/>
  <c r="X110" i="9"/>
  <c r="Z110" i="9" s="1"/>
  <c r="X111" i="9"/>
  <c r="Z111" i="9" s="1"/>
  <c r="AE101" i="9"/>
  <c r="X100" i="9"/>
  <c r="Z100" i="9" s="1"/>
  <c r="X101" i="9"/>
  <c r="Z101" i="9" s="1"/>
  <c r="AE115" i="9"/>
  <c r="X114" i="9"/>
  <c r="Z114" i="9" s="1"/>
  <c r="X115" i="9"/>
  <c r="Z115" i="9" s="1"/>
  <c r="X33" i="9"/>
  <c r="Z33" i="9" s="1"/>
  <c r="X35" i="9"/>
  <c r="Z35" i="9" s="1"/>
  <c r="X34" i="9"/>
  <c r="Z34" i="9" s="1"/>
  <c r="AE90" i="9"/>
  <c r="X91" i="9"/>
  <c r="Z91" i="9" s="1"/>
  <c r="X88" i="9"/>
  <c r="Z88" i="9" s="1"/>
  <c r="X89" i="9"/>
  <c r="Z89" i="9" s="1"/>
  <c r="X90" i="9"/>
  <c r="Z90" i="9" s="1"/>
  <c r="X87" i="9"/>
  <c r="Z87" i="9" s="1"/>
  <c r="X86" i="9"/>
  <c r="Z86" i="9" s="1"/>
  <c r="X85" i="9"/>
  <c r="Z85" i="9" s="1"/>
  <c r="AE85" i="9"/>
  <c r="X95" i="9"/>
  <c r="Z95" i="9" s="1"/>
  <c r="X94" i="9"/>
  <c r="Z94" i="9" s="1"/>
  <c r="X93" i="9"/>
  <c r="Z93" i="9" s="1"/>
  <c r="AE93" i="9"/>
  <c r="V126" i="9" l="1"/>
  <c r="W6" i="9"/>
  <c r="X7" i="9" l="1"/>
  <c r="Z7" i="9" s="1"/>
  <c r="X9" i="9"/>
  <c r="Z9" i="9" s="1"/>
  <c r="X6" i="9"/>
  <c r="Z6" i="9" s="1"/>
  <c r="X8" i="9"/>
  <c r="Z8" i="9" s="1"/>
  <c r="Z126" i="9" l="1"/>
  <c r="W126" i="9" s="1"/>
  <c r="D129" i="9" s="1"/>
  <c r="W4" i="8" l="1"/>
  <c r="G24" i="5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 s="1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 s="1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B1" i="3" a="1"/>
  <c r="B1" i="3" s="1"/>
  <c r="B2" i="7"/>
  <c r="A2" i="7"/>
  <c r="C2" i="7" s="1"/>
  <c r="A4" i="7"/>
  <c r="F5" i="5" l="1" a="1"/>
  <c r="F5" i="5" s="1"/>
  <c r="B5" i="3" l="1"/>
  <c r="D1" i="8"/>
  <c r="AA6" i="5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B2" i="3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<sst xmlns="http://schemas.openxmlformats.org/spreadsheetml/2006/main" count="3274" uniqueCount="464">
  <si>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</si>
  <si>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</si>
  <si>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</si>
  <si>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</si>
  <si>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</si>
  <si>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</si>
  <si>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</si>
  <si>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</si>
  <si>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</si>
  <si>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</si>
  <si>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</si>
  <si>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</si>
  <si>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</si>
  <si>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</si>
  <si>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</si>
  <si>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</si>
  <si>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</si>
  <si>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</si>
  <si>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</si>
  <si>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</si>
  <si>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</si>
  <si>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</si>
  <si>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Путь к файлу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</si>
  <si>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</si>
  <si>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</si>
  <si>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</si>
  <si>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</si>
  <si>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</si>
  <si>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</si>
  <si>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</si>
  <si>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</si>
  <si>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</si>
  <si>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</si>
  <si>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</si>
  <si>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</si>
  <si>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</si>
  <si>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</si>
  <si>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</si>
  <si>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</si>
  <si>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</si>
  <si>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</si>
  <si>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</si>
  <si>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</si>
  <si>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</si>
  <si>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</si>
  <si>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</si>
  <si>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</si>
  <si>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</si>
  <si>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</si>
  <si>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</si>
  <si>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</si>
  <si>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</si>
  <si>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</si>
  <si>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</si>
  <si>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</si>
  <si>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</si>
  <si>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</si>
  <si>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</si>
  <si>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</si>
  <si>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</si>
  <si>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</si>
  <si>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</si>
  <si>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</si>
  <si>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</si>
  <si>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</si>
  <si>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</si>
  <si>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</si>
  <si>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</si>
  <si>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</si>
  <si>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</si>
  <si>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</si>
  <si>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</si>
  <si>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</si>
  <si>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</si>
  <si>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</si>
  <si>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</si>
  <si>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</si>
  <si>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</si>
  <si>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</si>
  <si>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</si>
  <si>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</si>
  <si>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</si>
  <si>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</si>
  <si>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</si>
  <si>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</si>
  <si>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</si>
  <si>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</si>
  <si>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Hwaseung R&amp;A</t>
  </si>
  <si>
    <t>Humax Automotive</t>
  </si>
  <si>
    <t>ALPS</t>
  </si>
  <si>
    <t>Daedong System</t>
  </si>
  <si>
    <t>Namyang NEXMO</t>
  </si>
  <si>
    <t>Central</t>
  </si>
  <si>
    <t>FOB</t>
  </si>
  <si>
    <t>Samsong</t>
  </si>
  <si>
    <t>Cosmo Eng</t>
  </si>
  <si>
    <t>Daewonkangup (DWKU)</t>
  </si>
  <si>
    <t>Mando Wonju</t>
  </si>
  <si>
    <t>CheongHa (GEM Project)</t>
  </si>
  <si>
    <t>Samshin(GEM Project)</t>
  </si>
  <si>
    <t>SNT Motiv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</si>
  <si>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</si>
  <si>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</si>
  <si>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</si>
  <si>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</si>
  <si>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</si>
  <si>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</si>
  <si>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</si>
  <si>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</si>
  <si>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</si>
  <si>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</si>
  <si>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</si>
  <si>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</si>
  <si>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</si>
  <si>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</si>
  <si>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</si>
  <si>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</si>
  <si>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</si>
  <si>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</si>
  <si>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</si>
  <si>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</si>
  <si>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</si>
  <si>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</si>
  <si>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</si>
  <si>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</si>
  <si>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№ исходящего акта</t>
  </si>
  <si>
    <t>UzAutoKorea</t>
  </si>
  <si>
    <t>Вс</t>
  </si>
  <si>
    <t>Путь к Справочнику курсов</t>
  </si>
  <si>
    <t>Наиболее ранняя дата прибытия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</si>
  <si>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</si>
  <si>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Валюта</t>
  </si>
  <si>
    <t>Курс</t>
  </si>
  <si>
    <t>Пн</t>
  </si>
  <si>
    <t>Вт</t>
  </si>
  <si>
    <t>Ср</t>
  </si>
  <si>
    <t>Чт</t>
  </si>
  <si>
    <t>Пт</t>
  </si>
  <si>
    <t>Сб</t>
  </si>
  <si>
    <t>МАКС</t>
  </si>
  <si>
    <t>Name of goods/ 
Наименование              товара</t>
  </si>
  <si>
    <t>Supplier Invoice No/                          № Инвойса Поставщика</t>
  </si>
  <si>
    <t>Schaeffler Ansan</t>
  </si>
  <si>
    <t>UniTech</t>
  </si>
  <si>
    <t>Youngshin (GEM Project)</t>
  </si>
  <si>
    <t>DMC (GEM Project)</t>
  </si>
  <si>
    <t>AWC - 468 (LCL)_JULY_3.xlsx</t>
  </si>
  <si>
    <t>468 LCL</t>
  </si>
  <si>
    <t>Column30</t>
  </si>
  <si>
    <t>Column31</t>
  </si>
  <si>
    <t>BMOU4662590</t>
  </si>
  <si>
    <t>DM237SA02</t>
  </si>
  <si>
    <t>Erae AMS</t>
  </si>
  <si>
    <t>DA237MD02</t>
  </si>
  <si>
    <t>DWU230702</t>
  </si>
  <si>
    <t>UZA230713</t>
  </si>
  <si>
    <t>FFAU4514021</t>
  </si>
  <si>
    <t>DS237HF02(1)</t>
  </si>
  <si>
    <t>DM237AU02-1(1)</t>
  </si>
  <si>
    <t>UZA23026</t>
  </si>
  <si>
    <t>GM-UZ-237023</t>
  </si>
  <si>
    <t>J23071213</t>
  </si>
  <si>
    <t>J23071214</t>
  </si>
  <si>
    <t>MOTU6713111</t>
  </si>
  <si>
    <t>DS237HF02(2)</t>
  </si>
  <si>
    <t>DS237HF02(3)</t>
  </si>
  <si>
    <t>DS237HF02(4)</t>
  </si>
  <si>
    <t>DS237HF02(5)</t>
  </si>
  <si>
    <t>BMOU4143090</t>
  </si>
  <si>
    <t>DM237AU02-1(2)</t>
  </si>
  <si>
    <t>DM237AU02-1(3)</t>
  </si>
  <si>
    <t>230712-2</t>
  </si>
  <si>
    <t>GW Intennational</t>
  </si>
  <si>
    <t>BMOU4147434</t>
  </si>
  <si>
    <t>DM237AU02-1(4)</t>
  </si>
  <si>
    <t>DM237CS02</t>
  </si>
  <si>
    <t>HDMU6648374</t>
  </si>
  <si>
    <t>DM237AU02-1(5)</t>
  </si>
  <si>
    <t>DM237AU02-1(6)</t>
  </si>
  <si>
    <t>DM237AU02-1(7)</t>
  </si>
  <si>
    <t>DM237AU02-1(8)</t>
  </si>
  <si>
    <t>KKFU7492786</t>
  </si>
  <si>
    <t>DM237AU02-1(9)</t>
  </si>
  <si>
    <t>DM237AU02-1(10)</t>
  </si>
  <si>
    <t>DM237AU02-1(11)</t>
  </si>
  <si>
    <t>DM237WO02(1)</t>
  </si>
  <si>
    <t>CAXU8181001</t>
  </si>
  <si>
    <t>DM237AU02-1(12)</t>
  </si>
  <si>
    <t>DM237AU02-1(13)</t>
  </si>
  <si>
    <t>DM237WO02(2)</t>
  </si>
  <si>
    <t>BMOU4661377</t>
  </si>
  <si>
    <t>DM237AU02-1(14)</t>
  </si>
  <si>
    <t>DM237AU02-1(15)</t>
  </si>
  <si>
    <t>DM237WO02(3)</t>
  </si>
  <si>
    <t>DM237WO02(4)</t>
  </si>
  <si>
    <t>BMOU4601887</t>
  </si>
  <si>
    <t>DM237WO02(5)</t>
  </si>
  <si>
    <t>DM237WO02(6)</t>
  </si>
  <si>
    <t>FFAU4758115</t>
  </si>
  <si>
    <t>DM237WO02(7)</t>
  </si>
  <si>
    <t>BMOU4145766</t>
  </si>
  <si>
    <t>GUZ230702(1)</t>
  </si>
  <si>
    <t>MOTU0795283</t>
  </si>
  <si>
    <t>HY230710U(1)</t>
  </si>
  <si>
    <t>GUZ230702(2)</t>
  </si>
  <si>
    <t>CKWJ2307020</t>
  </si>
  <si>
    <t>GMUZ23-017</t>
  </si>
  <si>
    <t>DMC</t>
  </si>
  <si>
    <t>61960098</t>
  </si>
  <si>
    <t>BMOU4148894</t>
  </si>
  <si>
    <t>HY230710U(2)</t>
  </si>
  <si>
    <t>IN80473478</t>
  </si>
  <si>
    <t>BMOU4600284</t>
  </si>
  <si>
    <t>HY230710U(3)</t>
  </si>
  <si>
    <t>UZ230701</t>
  </si>
  <si>
    <t>CU230702</t>
  </si>
  <si>
    <t>BMOU4128347</t>
  </si>
  <si>
    <t>HY230710U(4)</t>
  </si>
  <si>
    <t>GMUZ452</t>
  </si>
  <si>
    <t>HDMU6579566</t>
  </si>
  <si>
    <t>230715UZ-001 (SEA,2305)</t>
  </si>
  <si>
    <t>SN230712210</t>
  </si>
  <si>
    <t>HDC HYUNDAI ENGINEERING PLASTICS for UZKR</t>
  </si>
  <si>
    <t>BMOU4590118</t>
  </si>
  <si>
    <t>CUZ230713</t>
  </si>
  <si>
    <t>KMJ-20230712UZSW</t>
  </si>
  <si>
    <t>KYUNG-IN MJ SYSTEM</t>
  </si>
  <si>
    <t>UZATK0059(1)</t>
  </si>
  <si>
    <t>Chungwoo (GEM Project)</t>
  </si>
  <si>
    <t>UZATK0059(2)</t>
  </si>
  <si>
    <t>UZATK0059(3)</t>
  </si>
  <si>
    <t>UZATK0059(4)</t>
  </si>
  <si>
    <t>UZATK0059(5)</t>
  </si>
  <si>
    <t>FFAU4656725</t>
  </si>
  <si>
    <t>DM237SA03</t>
  </si>
  <si>
    <t>DM237AU03-1(1)</t>
  </si>
  <si>
    <t>DM237AU03-1(2)</t>
  </si>
  <si>
    <t>HY230717U(1)</t>
  </si>
  <si>
    <t>SEGU6462772</t>
  </si>
  <si>
    <t>DM237AU03-1(3)</t>
  </si>
  <si>
    <t>DM237AU03-1(4)</t>
  </si>
  <si>
    <t>DM237AU03-1(5)</t>
  </si>
  <si>
    <t>DM237AU03-1(6)</t>
  </si>
  <si>
    <t>FFAU4516024</t>
  </si>
  <si>
    <t>DM237AU03-1(7)</t>
  </si>
  <si>
    <t>DM237AU03-1(8)</t>
  </si>
  <si>
    <t>DM237AU03-1(9)</t>
  </si>
  <si>
    <t>CUZ230720</t>
  </si>
  <si>
    <t>FFAU4510242</t>
  </si>
  <si>
    <t>DM237AU03-1(10)</t>
  </si>
  <si>
    <t>DM237AU03-1(11)</t>
  </si>
  <si>
    <t>DM237AU03-2</t>
  </si>
  <si>
    <t>DA237MD03(1)</t>
  </si>
  <si>
    <t>DA237MD03(2)</t>
  </si>
  <si>
    <t>SEGU6300508</t>
  </si>
  <si>
    <t>DM237AU03-1(12)</t>
  </si>
  <si>
    <t>DM237AU03-1(13)</t>
  </si>
  <si>
    <t>61986929Inv</t>
  </si>
  <si>
    <t>SEGU4020426</t>
  </si>
  <si>
    <t>DM237AU03-1(14)</t>
  </si>
  <si>
    <t>DM237AU03-1(15)</t>
  </si>
  <si>
    <t>DS237HF03(1)</t>
  </si>
  <si>
    <t>FFAU4760489</t>
  </si>
  <si>
    <t>DS237HF03(2)</t>
  </si>
  <si>
    <t>DS237HF03(3)</t>
  </si>
  <si>
    <t>DS237HF03(4)</t>
  </si>
  <si>
    <t>DS237HF03(5)</t>
  </si>
  <si>
    <t>SEGU4774200</t>
  </si>
  <si>
    <t>DM237WO03(1)</t>
  </si>
  <si>
    <t>SEGU6463275</t>
  </si>
  <si>
    <t>DM237WO03(2)</t>
  </si>
  <si>
    <t>DM237WO03(3)</t>
  </si>
  <si>
    <t>DM237AU03-1(16)</t>
  </si>
  <si>
    <t>SEGU4683917</t>
  </si>
  <si>
    <t>DM237WO03(4)</t>
  </si>
  <si>
    <t>DM237WO03(5)</t>
  </si>
  <si>
    <t>DM237WO03(6)</t>
  </si>
  <si>
    <t>AKLU6510221</t>
  </si>
  <si>
    <t>GUZ230703-1</t>
  </si>
  <si>
    <t>TGHU9108415</t>
  </si>
  <si>
    <t>GUZ230703-2</t>
  </si>
  <si>
    <t>CKWJ2307037</t>
  </si>
  <si>
    <t>FFAU4762413</t>
  </si>
  <si>
    <t>HY230717U(2)</t>
  </si>
  <si>
    <t>UZ230702</t>
  </si>
  <si>
    <t>SEGU5293636</t>
  </si>
  <si>
    <t>HY230717U(3)</t>
  </si>
  <si>
    <t>GMUZ23-018</t>
  </si>
  <si>
    <t>U23072001</t>
  </si>
  <si>
    <t>Daeshin</t>
  </si>
  <si>
    <t>J23071913</t>
  </si>
  <si>
    <t>J23071914</t>
  </si>
  <si>
    <t>SEGU4226490</t>
  </si>
  <si>
    <t>HY230717U(4)</t>
  </si>
  <si>
    <t>UZA23027</t>
  </si>
  <si>
    <t>IN80473491</t>
  </si>
  <si>
    <t>SEGU5853514</t>
  </si>
  <si>
    <t>HY230717U(5)</t>
  </si>
  <si>
    <t>GMUZ454</t>
  </si>
  <si>
    <t>TEMU6604370</t>
  </si>
  <si>
    <t>UZSEM-INTECH-02-KR-20230626</t>
  </si>
  <si>
    <t>INTECH GROUP for UZSM</t>
  </si>
  <si>
    <t>JS230629-1</t>
  </si>
  <si>
    <t>JINSOL INDUSTRY for UZTH</t>
  </si>
  <si>
    <t>SEGU4824086</t>
  </si>
  <si>
    <t>198533846</t>
  </si>
  <si>
    <t>230722UZ-001 (SEA,2305)</t>
  </si>
  <si>
    <t>230712-1</t>
  </si>
  <si>
    <t>GW International for UzKoram Asaka</t>
  </si>
  <si>
    <t>TEMU6656985</t>
  </si>
  <si>
    <t>TY230720-S</t>
  </si>
  <si>
    <t>Taeyang Metal</t>
  </si>
  <si>
    <t>UZA230720</t>
  </si>
  <si>
    <t>UEA 20230719-C1</t>
  </si>
  <si>
    <t>Erae CS</t>
  </si>
  <si>
    <t>UZATK0060(1)</t>
  </si>
  <si>
    <t>UZATK0060(2)</t>
  </si>
  <si>
    <t>UZATK0060(3)</t>
  </si>
  <si>
    <t>UZATK0060(4)</t>
  </si>
  <si>
    <t xml:space="preserve">ACT OF EXECUTED WORKS / АКТ ВЫПОЛНЕННЫХ РАБОТ </t>
    <phoneticPr fontId="5" type="noConversion"/>
  </si>
  <si>
    <t>according to the Contract /согласно Контракту No. UZL-UzautoK-001 dated / от 01.05.2020 between LLC «Uzlogistic» and Uzauto Korea Co., Ltd</t>
    <phoneticPr fontId="5" type="noConversion"/>
  </si>
  <si>
    <t>Date of Dispatch/ 
Дата отгрузки</t>
    <phoneticPr fontId="0" type="noConversion"/>
  </si>
  <si>
    <t>Name of goods/ 
Наименование товара</t>
  </si>
  <si>
    <r>
      <t xml:space="preserve">Supplier Invoice No/                           </t>
    </r>
    <r>
      <rPr>
        <b/>
        <sz val="11"/>
        <color theme="1"/>
        <rFont val="돋움"/>
        <family val="3"/>
        <charset val="129"/>
      </rPr>
      <t>№</t>
    </r>
    <r>
      <rPr>
        <b/>
        <sz val="11"/>
        <color theme="1"/>
        <rFont val="Arial"/>
        <family val="2"/>
        <charset val="204"/>
      </rPr>
      <t xml:space="preserve"> Инвойса Поставщика</t>
    </r>
  </si>
  <si>
    <t>TRUCKING CHARGE</t>
    <phoneticPr fontId="5" type="noConversion"/>
  </si>
  <si>
    <t>INVOICE SUMM</t>
    <phoneticPr fontId="5" type="noConversion"/>
  </si>
  <si>
    <t>ADD</t>
    <phoneticPr fontId="5" type="noConversion"/>
  </si>
  <si>
    <t>BMOU4662590</t>
    <phoneticPr fontId="0" type="noConversion"/>
  </si>
  <si>
    <t>Erae AMS</t>
    <phoneticPr fontId="0" type="noConversion"/>
  </si>
  <si>
    <t>Daewonkangup (DWKU)</t>
    <phoneticPr fontId="0" type="noConversion"/>
  </si>
  <si>
    <t>Central</t>
    <phoneticPr fontId="0" type="noConversion"/>
  </si>
  <si>
    <t>FFAU4514021</t>
    <phoneticPr fontId="0" type="noConversion"/>
  </si>
  <si>
    <t>MOTU6713111</t>
    <phoneticPr fontId="0" type="noConversion"/>
  </si>
  <si>
    <t>BMOU4143090</t>
    <phoneticPr fontId="0" type="noConversion"/>
  </si>
  <si>
    <t>GW Intennational</t>
    <phoneticPr fontId="5" type="noConversion"/>
  </si>
  <si>
    <t>BMOU4147434</t>
    <phoneticPr fontId="0" type="noConversion"/>
  </si>
  <si>
    <t>HDMU6648374</t>
    <phoneticPr fontId="0" type="noConversion"/>
  </si>
  <si>
    <t>KKFU7492786</t>
    <phoneticPr fontId="0" type="noConversion"/>
  </si>
  <si>
    <t>CAXU8181001</t>
    <phoneticPr fontId="0" type="noConversion"/>
  </si>
  <si>
    <t>BMOU4661377</t>
    <phoneticPr fontId="0" type="noConversion"/>
  </si>
  <si>
    <t>BMOU4601887</t>
    <phoneticPr fontId="0" type="noConversion"/>
  </si>
  <si>
    <t>FFAU4758115</t>
    <phoneticPr fontId="0" type="noConversion"/>
  </si>
  <si>
    <t>BMOU4145766</t>
    <phoneticPr fontId="0" type="noConversion"/>
  </si>
  <si>
    <t>MOTU0795283</t>
    <phoneticPr fontId="0" type="noConversion"/>
  </si>
  <si>
    <t>ALPS</t>
    <phoneticPr fontId="0" type="noConversion"/>
  </si>
  <si>
    <t>BMOU4148894</t>
    <phoneticPr fontId="0" type="noConversion"/>
  </si>
  <si>
    <t>IN80473478</t>
    <phoneticPr fontId="0" type="noConversion"/>
  </si>
  <si>
    <t>Humax Automotive</t>
    <phoneticPr fontId="0" type="noConversion"/>
  </si>
  <si>
    <t>BMOU4600284</t>
    <phoneticPr fontId="0" type="noConversion"/>
  </si>
  <si>
    <t>BMOU4128347</t>
    <phoneticPr fontId="0" type="noConversion"/>
  </si>
  <si>
    <t>Namyang NEXMO</t>
    <phoneticPr fontId="0" type="noConversion"/>
  </si>
  <si>
    <t>HDMU6579566</t>
    <phoneticPr fontId="0" type="noConversion"/>
  </si>
  <si>
    <t>SN230712210</t>
    <phoneticPr fontId="0" type="noConversion"/>
  </si>
  <si>
    <t>HDC HYUNDAI ENGINEERING PLASTICS for UZKR</t>
    <phoneticPr fontId="0" type="noConversion"/>
  </si>
  <si>
    <t>BMOU4590118</t>
    <phoneticPr fontId="0" type="noConversion"/>
  </si>
  <si>
    <t>KYUNG-IN MJ SYSTEM</t>
    <phoneticPr fontId="0" type="noConversion"/>
  </si>
  <si>
    <t>UZATK0059(1)</t>
    <phoneticPr fontId="0" type="noConversion"/>
  </si>
  <si>
    <t>Chungwoo (GEM Project)</t>
    <phoneticPr fontId="5" type="noConversion"/>
  </si>
  <si>
    <t>UZATK0059(2)</t>
    <phoneticPr fontId="0" type="noConversion"/>
  </si>
  <si>
    <t>UZATK0059(3)</t>
    <phoneticPr fontId="0" type="noConversion"/>
  </si>
  <si>
    <t>UZATK0059(4)</t>
    <phoneticPr fontId="0" type="noConversion"/>
  </si>
  <si>
    <t>UZATK0059(5)</t>
    <phoneticPr fontId="0" type="noConversion"/>
  </si>
  <si>
    <t>Samshin(GEM Project)</t>
    <phoneticPr fontId="5" type="noConversion"/>
  </si>
  <si>
    <t>FFAU4656725</t>
    <phoneticPr fontId="0" type="noConversion"/>
  </si>
  <si>
    <t>HY230717U(1)</t>
    <phoneticPr fontId="0" type="noConversion"/>
  </si>
  <si>
    <t>SEGU6462772</t>
    <phoneticPr fontId="0" type="noConversion"/>
  </si>
  <si>
    <t>FFAU4516024</t>
    <phoneticPr fontId="0" type="noConversion"/>
  </si>
  <si>
    <t>FFAU4510242</t>
    <phoneticPr fontId="0" type="noConversion"/>
  </si>
  <si>
    <t>SEGU6300508</t>
    <phoneticPr fontId="0" type="noConversion"/>
  </si>
  <si>
    <t>SEGU4020426</t>
    <phoneticPr fontId="0" type="noConversion"/>
  </si>
  <si>
    <t>FFAU4760489</t>
    <phoneticPr fontId="0" type="noConversion"/>
  </si>
  <si>
    <t>SEGU4774200</t>
    <phoneticPr fontId="0" type="noConversion"/>
  </si>
  <si>
    <t>SEGU6463275</t>
    <phoneticPr fontId="0" type="noConversion"/>
  </si>
  <si>
    <t>SEGU4683917</t>
    <phoneticPr fontId="0" type="noConversion"/>
  </si>
  <si>
    <t>AKLU6510221</t>
    <phoneticPr fontId="0" type="noConversion"/>
  </si>
  <si>
    <t>TGHU9108415</t>
    <phoneticPr fontId="0" type="noConversion"/>
  </si>
  <si>
    <t>FFAU4762413</t>
    <phoneticPr fontId="0" type="noConversion"/>
  </si>
  <si>
    <t>HY230717U(2)</t>
    <phoneticPr fontId="0" type="noConversion"/>
  </si>
  <si>
    <t>SEGU5293636</t>
    <phoneticPr fontId="0" type="noConversion"/>
  </si>
  <si>
    <t>HY230717U(3)</t>
    <phoneticPr fontId="0" type="noConversion"/>
  </si>
  <si>
    <t>Daeshin</t>
    <phoneticPr fontId="0" type="noConversion"/>
  </si>
  <si>
    <t>SEGU4226490</t>
    <phoneticPr fontId="0" type="noConversion"/>
  </si>
  <si>
    <t>HY230717U(4)</t>
    <phoneticPr fontId="0" type="noConversion"/>
  </si>
  <si>
    <t>Daedong System</t>
    <phoneticPr fontId="0" type="noConversion"/>
  </si>
  <si>
    <t>IN80473491</t>
    <phoneticPr fontId="0" type="noConversion"/>
  </si>
  <si>
    <t>SEGU5853514</t>
    <phoneticPr fontId="0" type="noConversion"/>
  </si>
  <si>
    <t>HY230717U(5)</t>
    <phoneticPr fontId="0" type="noConversion"/>
  </si>
  <si>
    <t>TEMU6604370</t>
    <phoneticPr fontId="0" type="noConversion"/>
  </si>
  <si>
    <t>UZSEM-INTECH-02-KR-20230626</t>
    <phoneticPr fontId="0" type="noConversion"/>
  </si>
  <si>
    <t>INTECH GROUP for UZSM</t>
    <phoneticPr fontId="0" type="noConversion"/>
  </si>
  <si>
    <t>FOB</t>
    <phoneticPr fontId="0" type="noConversion"/>
  </si>
  <si>
    <t>JINSOL INDUSTRY for UZTH</t>
    <phoneticPr fontId="0" type="noConversion"/>
  </si>
  <si>
    <t>SEGU4824086</t>
    <phoneticPr fontId="0" type="noConversion"/>
  </si>
  <si>
    <t>198533846</t>
    <phoneticPr fontId="0" type="noConversion"/>
  </si>
  <si>
    <t>Schaeffler Ansan</t>
    <phoneticPr fontId="0" type="noConversion"/>
  </si>
  <si>
    <t>GW International for UzKoram Asaka</t>
    <phoneticPr fontId="0" type="noConversion"/>
  </si>
  <si>
    <t>TEMU6656985</t>
    <phoneticPr fontId="0" type="noConversion"/>
  </si>
  <si>
    <t>Taeyang Metal</t>
    <phoneticPr fontId="0" type="noConversion"/>
  </si>
  <si>
    <t>Erae CS</t>
    <phoneticPr fontId="0" type="noConversion"/>
  </si>
  <si>
    <t>UZATK0060(1)</t>
    <phoneticPr fontId="0" type="noConversion"/>
  </si>
  <si>
    <t>UZATK0060(2)</t>
    <phoneticPr fontId="0" type="noConversion"/>
  </si>
  <si>
    <t>UZATK0060(3)</t>
    <phoneticPr fontId="0" type="noConversion"/>
  </si>
  <si>
    <t>UZATK0060(4)</t>
    <phoneticPr fontId="0" type="noConversion"/>
  </si>
  <si>
    <t>GRAND TOTAL/ИТОГО:</t>
  </si>
  <si>
    <t xml:space="preserve">Note/Примечание: GM exchange rate KRW/USD according to the date of dispatch/обменный курс ДжиЭм KRW/USD согласно дате отгрузки: </t>
    <phoneticPr fontId="6" type="noConversion"/>
  </si>
  <si>
    <t xml:space="preserve">July / Июль: </t>
    <phoneticPr fontId="5" type="noConversion"/>
  </si>
  <si>
    <r>
      <rPr>
        <b/>
        <sz val="11"/>
        <rFont val="Arial"/>
        <family val="2"/>
        <charset val="204"/>
      </rPr>
      <t>Total amount:</t>
    </r>
    <r>
      <rPr>
        <sz val="11"/>
        <rFont val="Arial"/>
        <family val="2"/>
        <charset val="204"/>
      </rPr>
      <t xml:space="preserve"> </t>
    </r>
  </si>
  <si>
    <t>Seventy nine thousand five hundred forteen US dollars and 23 cents</t>
    <phoneticPr fontId="0" type="noConversion"/>
  </si>
  <si>
    <t xml:space="preserve">Итого: </t>
  </si>
  <si>
    <t xml:space="preserve">Семьдесят девять тысяч пятьсот четырнадцать долларов США и 23 цента </t>
    <phoneticPr fontId="0" type="noConversion"/>
  </si>
  <si>
    <t>On behalf of the «UzLogistic»/ От имени «УзЛогистик»</t>
    <phoneticPr fontId="7" type="noConversion"/>
  </si>
  <si>
    <t>On behalf of the Logistics provider/От имени Поставщика логистических услуг</t>
    <phoneticPr fontId="7" type="noConversion"/>
  </si>
  <si>
    <t>Name/Имя: ___________________________________________________________</t>
    <phoneticPr fontId="7" type="noConversion"/>
  </si>
  <si>
    <t>Name/Имя: Eshanov B.G./ Эшанов Б.Г.</t>
    <phoneticPr fontId="7" type="noConversion"/>
  </si>
  <si>
    <t>Title/Должность: ____________________________________________________________________________</t>
    <phoneticPr fontId="7" type="noConversion"/>
  </si>
  <si>
    <t>Title/Должность:  CEO/ Генеральный директор</t>
    <phoneticPr fontId="7" type="noConversion"/>
  </si>
  <si>
    <t>According to the Power of Attorney No. / Согласно Доверенности №: ___________________________________</t>
  </si>
  <si>
    <t>Date of Act of Executed Works signing / Дата подписания Акта Выполненных Работ: "_____" _____________, 2023</t>
    <phoneticPr fontId="5" type="noConversion"/>
  </si>
  <si>
    <t>Appendix to the Act of Executed Works</t>
    <phoneticPr fontId="5" type="noConversion"/>
  </si>
  <si>
    <t>CHW</t>
  </si>
  <si>
    <t>Invoice No.</t>
  </si>
  <si>
    <t>Origin city/ Город происхождения</t>
  </si>
  <si>
    <t>Destination city/ Город назначения</t>
  </si>
  <si>
    <t>Service level/ Уровень услуги</t>
    <phoneticPr fontId="5" type="noConversion"/>
  </si>
  <si>
    <t>Rate/ Тариф, KRW</t>
  </si>
  <si>
    <t>Total amount/ Общая стоимость 
KRW</t>
  </si>
  <si>
    <t>Транспортировка по маршруту Incheon CFS→Busan CFS</t>
  </si>
  <si>
    <t>FTL inland freight cost per Invoice/ Стоимость внутренней наземной перевозки за инвойс KRW</t>
  </si>
  <si>
    <t>Chargeable Weight</t>
  </si>
  <si>
    <t>Service level/ Уровень услуги</t>
  </si>
  <si>
    <t>Total amount/ Общая стоимость</t>
  </si>
  <si>
    <t>On behalf of the «UzLogistic»/ От имени «УзЛогистик»</t>
    <phoneticPr fontId="5" type="noConversion"/>
  </si>
  <si>
    <t>On behalf of the Logistics Provider/ От имени Поставщика логистических услуг</t>
    <phoneticPr fontId="5" type="noConversion"/>
  </si>
  <si>
    <t>Name/Имя: ________________________________________________</t>
  </si>
  <si>
    <t>Name/Имя: Eshanov B.G./ Эшанов Б.Г.</t>
  </si>
  <si>
    <t>Title/Должность: _______________________________________________________</t>
  </si>
  <si>
    <t>Title/Должность: CEO/Генеральный директор</t>
    <phoneticPr fontId="5" type="noConversion"/>
  </si>
  <si>
    <t>According to the Power of Attorney No. / Согласно Доверенности №: ________________________</t>
  </si>
  <si>
    <t>No. 468 LCL</t>
  </si>
  <si>
    <t>Daegu</t>
  </si>
  <si>
    <t>Busan</t>
  </si>
  <si>
    <t>10T+8T TRUCK</t>
  </si>
  <si>
    <t>1T TRUCK</t>
  </si>
  <si>
    <t>Chunan</t>
  </si>
  <si>
    <t>2.5T TRUCK</t>
  </si>
  <si>
    <t>Changwon</t>
  </si>
  <si>
    <t>5T TRUCK</t>
  </si>
  <si>
    <t>Incheon</t>
  </si>
  <si>
    <t>10T TRUCK</t>
  </si>
  <si>
    <t>Yangsan</t>
  </si>
  <si>
    <t>8T TRUCK</t>
  </si>
  <si>
    <t>10T+10T TRUCK</t>
  </si>
  <si>
    <t>10T+5T TRUCK</t>
  </si>
  <si>
    <t>10T+1T TRUCK</t>
  </si>
  <si>
    <t>10T+10T+1T TRUCK</t>
  </si>
  <si>
    <t>Gimpo</t>
  </si>
  <si>
    <t>Jecheon</t>
  </si>
  <si>
    <t>Waeguan</t>
  </si>
  <si>
    <t>GungSan / Gunsan</t>
  </si>
  <si>
    <t>Kyungkido Yongin</t>
  </si>
  <si>
    <t>Ansan</t>
  </si>
  <si>
    <t>10T+2.5T TRUCK</t>
  </si>
  <si>
    <t>Pyeongtaek</t>
  </si>
  <si>
    <t>Hwasung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</si>
</sst>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  <numFmt numFmtId="167" formatCode="_-* #,##0.000_-;\-* #,##0.000_-;_-* &quot;-&quot;_-;_-@_-"/>
    <numFmt numFmtId="168" formatCode="_-* #,##0.00_-;\-* #,##0.00_-;_-* &quot;-&quot;_-;_-@_-"/>
    <numFmt numFmtId="169" formatCode="_-[$$-409]* #,##0.00_ ;_-[$$-409]* \-#,##0.00\ ;_-[$$-409]* &quot;-&quot;??_ ;_-@_ "/>
    <numFmt numFmtId="170" formatCode="#,##0.00_ "/>
    <numFmt numFmtId="171" formatCode="_-&quot;₩&quot;* #,##0_-;\-&quot;₩&quot;* #,##0_-;_-&quot;₩&quot;* &quot;-&quot;_-;_-@_-"/>
    <numFmt numFmtId="172" formatCode="_-&quot;₩&quot;* #,##0.00_-;\-&quot;₩&quot;* #,##0.00_-;_-&quot;₩&quot;* &quot;-&quot;_-;_-@_-"/>
    <numFmt numFmtId="173" formatCode="0.000000000"/>
    <numFmt numFmtId="174" formatCode="_-&quot;₩&quot;* #,##0.00_-;\-&quot;₩&quot;* #,##0.00_-;_-&quot;₩&quot;* &quot;-&quot;??_-;_-@_-"/>
  </numFmts>
  <fonts count="49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1"/>
      <color theme="1"/>
      <name val="Calibri"/>
      <family val="2"/>
      <charset val="129"/>
      <scheme val="minor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돋움"/>
      <family val="3"/>
      <charset val="129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</font>
    <font>
      <sz val="1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name val="Arial"/>
      <family val="2"/>
    </font>
    <font>
      <sz val="11"/>
      <color indexed="8"/>
      <name val="맑은 고딕"/>
      <family val="3"/>
      <charset val="129"/>
    </font>
    <font>
      <sz val="11"/>
      <name val="Tahoma"/>
      <family val="2"/>
    </font>
    <font>
      <sz val="11"/>
      <color rgb="FFFF0000"/>
      <name val="Arial"/>
      <family val="2"/>
      <charset val="204"/>
    </font>
    <font>
      <b/>
      <sz val="12"/>
      <name val="Arial"/>
      <family val="2"/>
    </font>
    <font>
      <b/>
      <i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name val="돋움"/>
      <family val="3"/>
      <charset val="129"/>
    </font>
    <font>
      <b/>
      <i/>
      <sz val="11"/>
      <name val="Arial"/>
      <family val="2"/>
      <charset val="204"/>
    </font>
    <font>
      <b/>
      <sz val="14"/>
      <name val="Calibri"/>
      <family val="3"/>
      <charset val="129"/>
      <scheme val="minor"/>
    </font>
    <font>
      <b/>
      <sz val="14"/>
      <color theme="1"/>
      <name val="Arial"/>
      <family val="2"/>
      <charset val="204"/>
    </font>
    <font>
      <b/>
      <sz val="1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sz val="14"/>
      <name val="Calibri"/>
      <family val="3"/>
      <charset val="129"/>
      <scheme val="minor"/>
    </font>
    <font>
      <sz val="12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u/>
      <sz val="14"/>
      <name val="Calibri"/>
      <family val="3"/>
      <charset val="129"/>
      <scheme val="minor"/>
    </font>
    <font>
      <sz val="14"/>
      <color theme="1"/>
      <name val="Calibri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43" fontId="4" fillId="0" borderId="0" applyFont="0" applyFill="0" applyBorder="0" applyAlignment="0" applyProtection="0"/>
    <xf numFmtId="0" fontId="18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5" fillId="0" borderId="0"/>
    <xf numFmtId="41" fontId="18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5" fillId="0" borderId="0"/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171" fontId="18" fillId="0" borderId="0" applyFont="0" applyFill="0" applyBorder="0" applyAlignment="0" applyProtection="0">
      <alignment vertical="center"/>
    </xf>
    <xf numFmtId="0" fontId="35" fillId="0" borderId="0"/>
    <xf numFmtId="0" fontId="35" fillId="0" borderId="0"/>
  </cellStyleXfs>
  <cellXfs count="3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14" fontId="8" fillId="0" borderId="0" xfId="0" applyNumberFormat="1" applyFont="1"/>
    <xf numFmtId="14" fontId="8" fillId="3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4" borderId="0" xfId="0" applyFont="1" applyFill="1"/>
    <xf numFmtId="0" fontId="1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6" fillId="0" borderId="0" xfId="1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15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0" fontId="9" fillId="0" borderId="0" xfId="0" applyNumberFormat="1" applyFont="1"/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3" fontId="0" fillId="0" borderId="0" xfId="1" applyFont="1"/>
    <xf numFmtId="0" fontId="19" fillId="0" borderId="0" xfId="2" applyFont="1">
      <alignment vertical="center"/>
    </xf>
    <xf numFmtId="0" fontId="20" fillId="0" borderId="0" xfId="2" applyFont="1">
      <alignment vertical="center"/>
    </xf>
    <xf numFmtId="0" fontId="20" fillId="0" borderId="0" xfId="2" applyFont="1" applyAlignment="1">
      <alignment horizontal="center" vertical="center"/>
    </xf>
    <xf numFmtId="0" fontId="21" fillId="0" borderId="0" xfId="2" applyFont="1">
      <alignment vertical="center"/>
    </xf>
    <xf numFmtId="0" fontId="21" fillId="0" borderId="0" xfId="2" applyFont="1" applyAlignment="1">
      <alignment horizontal="center" vertical="center"/>
    </xf>
    <xf numFmtId="0" fontId="21" fillId="0" borderId="0" xfId="2" applyFont="1" applyAlignment="1"/>
    <xf numFmtId="167" fontId="21" fillId="0" borderId="0" xfId="3" applyNumberFormat="1" applyFont="1" applyAlignment="1"/>
    <xf numFmtId="168" fontId="21" fillId="0" borderId="0" xfId="3" applyNumberFormat="1" applyFont="1" applyAlignment="1"/>
    <xf numFmtId="0" fontId="20" fillId="5" borderId="8" xfId="2" applyFont="1" applyFill="1" applyBorder="1" applyAlignment="1">
      <alignment horizontal="center" vertical="center" wrapText="1"/>
    </xf>
    <xf numFmtId="0" fontId="20" fillId="5" borderId="9" xfId="2" applyFont="1" applyFill="1" applyBorder="1" applyAlignment="1">
      <alignment horizontal="center" vertical="center" wrapText="1"/>
    </xf>
    <xf numFmtId="167" fontId="20" fillId="5" borderId="9" xfId="3" applyNumberFormat="1" applyFont="1" applyFill="1" applyBorder="1" applyAlignment="1">
      <alignment horizontal="center" vertical="center"/>
    </xf>
    <xf numFmtId="168" fontId="20" fillId="5" borderId="9" xfId="3" applyNumberFormat="1" applyFont="1" applyFill="1" applyBorder="1" applyAlignment="1">
      <alignment horizontal="center" vertical="center" wrapText="1"/>
    </xf>
    <xf numFmtId="168" fontId="20" fillId="5" borderId="11" xfId="3" applyNumberFormat="1" applyFont="1" applyFill="1" applyBorder="1" applyAlignment="1">
      <alignment horizontal="center" vertical="center" wrapText="1"/>
    </xf>
    <xf numFmtId="0" fontId="23" fillId="5" borderId="9" xfId="2" applyFont="1" applyFill="1" applyBorder="1" applyAlignment="1">
      <alignment horizontal="center" vertical="center" wrapText="1"/>
    </xf>
    <xf numFmtId="0" fontId="20" fillId="0" borderId="9" xfId="2" applyFont="1" applyBorder="1" applyAlignment="1">
      <alignment horizontal="center" vertical="center" wrapText="1"/>
    </xf>
    <xf numFmtId="0" fontId="23" fillId="0" borderId="9" xfId="2" applyFont="1" applyBorder="1" applyAlignment="1">
      <alignment horizontal="center" vertical="center" wrapText="1"/>
    </xf>
    <xf numFmtId="0" fontId="23" fillId="0" borderId="12" xfId="2" applyFont="1" applyBorder="1" applyAlignment="1">
      <alignment horizontal="center" vertical="center" wrapText="1"/>
    </xf>
    <xf numFmtId="0" fontId="23" fillId="0" borderId="0" xfId="2" applyFont="1" applyAlignment="1">
      <alignment horizontal="center" vertical="center" wrapText="1"/>
    </xf>
    <xf numFmtId="0" fontId="20" fillId="0" borderId="13" xfId="2" applyFont="1" applyBorder="1" applyAlignment="1">
      <alignment horizontal="center" vertical="center"/>
    </xf>
    <xf numFmtId="0" fontId="20" fillId="0" borderId="14" xfId="2" applyFont="1" applyBorder="1" applyAlignment="1">
      <alignment horizontal="center" vertical="center"/>
    </xf>
    <xf numFmtId="0" fontId="20" fillId="0" borderId="14" xfId="3" applyNumberFormat="1" applyFont="1" applyFill="1" applyBorder="1" applyAlignment="1">
      <alignment horizontal="center" vertical="center"/>
    </xf>
    <xf numFmtId="0" fontId="23" fillId="0" borderId="14" xfId="2" applyFont="1" applyBorder="1" applyAlignment="1">
      <alignment horizontal="center" vertical="center"/>
    </xf>
    <xf numFmtId="0" fontId="20" fillId="0" borderId="15" xfId="2" applyFont="1" applyBorder="1" applyAlignment="1">
      <alignment horizontal="center" vertical="center"/>
    </xf>
    <xf numFmtId="0" fontId="26" fillId="5" borderId="2" xfId="5" applyFont="1" applyFill="1" applyBorder="1" applyAlignment="1">
      <alignment horizontal="center" vertical="center" wrapText="1"/>
    </xf>
    <xf numFmtId="0" fontId="24" fillId="5" borderId="2" xfId="2" applyFont="1" applyFill="1" applyBorder="1" applyAlignment="1">
      <alignment horizontal="center" vertical="center"/>
    </xf>
    <xf numFmtId="14" fontId="24" fillId="5" borderId="2" xfId="2" applyNumberFormat="1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/>
    </xf>
    <xf numFmtId="167" fontId="26" fillId="5" borderId="2" xfId="6" applyNumberFormat="1" applyFont="1" applyFill="1" applyBorder="1" applyAlignment="1">
      <alignment horizontal="center" vertical="center"/>
    </xf>
    <xf numFmtId="168" fontId="26" fillId="5" borderId="2" xfId="7" applyNumberFormat="1" applyFont="1" applyFill="1" applyBorder="1" applyAlignment="1">
      <alignment horizontal="center" vertical="center"/>
    </xf>
    <xf numFmtId="167" fontId="24" fillId="5" borderId="2" xfId="3" applyNumberFormat="1" applyFont="1" applyFill="1" applyBorder="1" applyAlignment="1">
      <alignment horizontal="center" vertical="center"/>
    </xf>
    <xf numFmtId="4" fontId="24" fillId="5" borderId="2" xfId="2" applyNumberFormat="1" applyFont="1" applyFill="1" applyBorder="1" applyAlignment="1">
      <alignment horizontal="center" vertical="center"/>
    </xf>
    <xf numFmtId="4" fontId="24" fillId="5" borderId="17" xfId="2" applyNumberFormat="1" applyFont="1" applyFill="1" applyBorder="1" applyAlignment="1">
      <alignment horizontal="center" vertical="center"/>
    </xf>
    <xf numFmtId="4" fontId="24" fillId="5" borderId="0" xfId="2" applyNumberFormat="1" applyFont="1" applyFill="1" applyAlignment="1">
      <alignment horizontal="center" vertical="center"/>
    </xf>
    <xf numFmtId="0" fontId="24" fillId="5" borderId="0" xfId="2" applyFont="1" applyFill="1">
      <alignment vertical="center"/>
    </xf>
    <xf numFmtId="4" fontId="24" fillId="5" borderId="0" xfId="2" applyNumberFormat="1" applyFont="1" applyFill="1">
      <alignment vertical="center"/>
    </xf>
    <xf numFmtId="0" fontId="24" fillId="5" borderId="0" xfId="2" applyFont="1" applyFill="1" applyAlignment="1">
      <alignment horizontal="center" vertical="center"/>
    </xf>
    <xf numFmtId="169" fontId="26" fillId="5" borderId="1" xfId="8" applyNumberFormat="1" applyFont="1" applyFill="1" applyBorder="1" applyAlignment="1">
      <alignment horizontal="center" vertical="center" wrapText="1"/>
    </xf>
    <xf numFmtId="0" fontId="26" fillId="5" borderId="1" xfId="5" applyFont="1" applyFill="1" applyBorder="1" applyAlignment="1">
      <alignment horizontal="center" vertical="center" wrapText="1"/>
    </xf>
    <xf numFmtId="0" fontId="24" fillId="5" borderId="1" xfId="2" applyFont="1" applyFill="1" applyBorder="1" applyAlignment="1">
      <alignment horizontal="center" vertical="center"/>
    </xf>
    <xf numFmtId="14" fontId="24" fillId="5" borderId="1" xfId="2" applyNumberFormat="1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167" fontId="26" fillId="5" borderId="1" xfId="7" applyNumberFormat="1" applyFont="1" applyFill="1" applyBorder="1" applyAlignment="1">
      <alignment horizontal="center" vertical="center"/>
    </xf>
    <xf numFmtId="168" fontId="26" fillId="5" borderId="1" xfId="7" applyNumberFormat="1" applyFont="1" applyFill="1" applyBorder="1" applyAlignment="1">
      <alignment horizontal="center" vertical="center"/>
    </xf>
    <xf numFmtId="167" fontId="24" fillId="5" borderId="1" xfId="3" applyNumberFormat="1" applyFont="1" applyFill="1" applyBorder="1" applyAlignment="1">
      <alignment horizontal="center" vertical="center"/>
    </xf>
    <xf numFmtId="4" fontId="24" fillId="5" borderId="1" xfId="2" applyNumberFormat="1" applyFont="1" applyFill="1" applyBorder="1" applyAlignment="1">
      <alignment horizontal="center" vertical="center"/>
    </xf>
    <xf numFmtId="4" fontId="24" fillId="5" borderId="18" xfId="2" applyNumberFormat="1" applyFont="1" applyFill="1" applyBorder="1" applyAlignment="1">
      <alignment horizontal="center" vertical="center"/>
    </xf>
    <xf numFmtId="0" fontId="26" fillId="6" borderId="1" xfId="5" applyFont="1" applyFill="1" applyBorder="1" applyAlignment="1">
      <alignment horizontal="center" vertical="center" wrapText="1"/>
    </xf>
    <xf numFmtId="0" fontId="24" fillId="6" borderId="1" xfId="2" applyFont="1" applyFill="1" applyBorder="1" applyAlignment="1">
      <alignment horizontal="center" vertical="center"/>
    </xf>
    <xf numFmtId="14" fontId="24" fillId="6" borderId="1" xfId="2" applyNumberFormat="1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 vertical="center"/>
    </xf>
    <xf numFmtId="167" fontId="26" fillId="6" borderId="1" xfId="6" applyNumberFormat="1" applyFont="1" applyFill="1" applyBorder="1" applyAlignment="1">
      <alignment horizontal="center" vertical="center"/>
    </xf>
    <xf numFmtId="168" fontId="26" fillId="6" borderId="1" xfId="6" applyNumberFormat="1" applyFont="1" applyFill="1" applyBorder="1" applyAlignment="1">
      <alignment horizontal="center" vertical="center"/>
    </xf>
    <xf numFmtId="4" fontId="24" fillId="6" borderId="2" xfId="2" applyNumberFormat="1" applyFont="1" applyFill="1" applyBorder="1" applyAlignment="1">
      <alignment horizontal="center" vertical="center"/>
    </xf>
    <xf numFmtId="4" fontId="24" fillId="6" borderId="1" xfId="2" applyNumberFormat="1" applyFont="1" applyFill="1" applyBorder="1" applyAlignment="1">
      <alignment horizontal="center" vertical="center"/>
    </xf>
    <xf numFmtId="4" fontId="24" fillId="6" borderId="18" xfId="2" applyNumberFormat="1" applyFont="1" applyFill="1" applyBorder="1" applyAlignment="1">
      <alignment horizontal="center" vertical="center"/>
    </xf>
    <xf numFmtId="4" fontId="24" fillId="6" borderId="0" xfId="2" applyNumberFormat="1" applyFont="1" applyFill="1">
      <alignment vertical="center"/>
    </xf>
    <xf numFmtId="0" fontId="24" fillId="6" borderId="0" xfId="2" applyFont="1" applyFill="1">
      <alignment vertical="center"/>
    </xf>
    <xf numFmtId="169" fontId="26" fillId="6" borderId="1" xfId="8" applyNumberFormat="1" applyFont="1" applyFill="1" applyBorder="1" applyAlignment="1">
      <alignment horizontal="center" vertical="center" wrapText="1"/>
    </xf>
    <xf numFmtId="167" fontId="26" fillId="5" borderId="1" xfId="3" applyNumberFormat="1" applyFont="1" applyFill="1" applyBorder="1" applyAlignment="1">
      <alignment horizontal="center" vertical="center"/>
    </xf>
    <xf numFmtId="167" fontId="26" fillId="5" borderId="1" xfId="6" applyNumberFormat="1" applyFont="1" applyFill="1" applyBorder="1" applyAlignment="1">
      <alignment horizontal="center" vertical="center"/>
    </xf>
    <xf numFmtId="0" fontId="26" fillId="5" borderId="1" xfId="9" applyFont="1" applyFill="1" applyBorder="1" applyAlignment="1">
      <alignment horizontal="center" vertical="center" wrapText="1"/>
    </xf>
    <xf numFmtId="167" fontId="28" fillId="5" borderId="1" xfId="3" applyNumberFormat="1" applyFont="1" applyFill="1" applyBorder="1" applyAlignment="1">
      <alignment horizontal="center" vertical="center"/>
    </xf>
    <xf numFmtId="4" fontId="28" fillId="5" borderId="1" xfId="2" applyNumberFormat="1" applyFont="1" applyFill="1" applyBorder="1" applyAlignment="1">
      <alignment horizontal="center" vertical="center"/>
    </xf>
    <xf numFmtId="4" fontId="28" fillId="5" borderId="18" xfId="2" applyNumberFormat="1" applyFont="1" applyFill="1" applyBorder="1" applyAlignment="1">
      <alignment horizontal="center" vertical="center"/>
    </xf>
    <xf numFmtId="0" fontId="28" fillId="5" borderId="0" xfId="2" applyFont="1" applyFill="1">
      <alignment vertical="center"/>
    </xf>
    <xf numFmtId="167" fontId="26" fillId="5" borderId="1" xfId="10" applyNumberFormat="1" applyFont="1" applyFill="1" applyBorder="1" applyAlignment="1">
      <alignment horizontal="center" vertical="center"/>
    </xf>
    <xf numFmtId="167" fontId="26" fillId="5" borderId="1" xfId="11" applyNumberFormat="1" applyFont="1" applyFill="1" applyBorder="1" applyAlignment="1">
      <alignment horizontal="center" vertical="center"/>
    </xf>
    <xf numFmtId="168" fontId="26" fillId="5" borderId="1" xfId="11" applyNumberFormat="1" applyFont="1" applyFill="1" applyBorder="1" applyAlignment="1">
      <alignment horizontal="center" vertical="center"/>
    </xf>
    <xf numFmtId="168" fontId="26" fillId="5" borderId="1" xfId="3" applyNumberFormat="1" applyFont="1" applyFill="1" applyBorder="1" applyAlignment="1">
      <alignment horizontal="center" vertical="center"/>
    </xf>
    <xf numFmtId="169" fontId="26" fillId="5" borderId="1" xfId="8" applyNumberFormat="1" applyFont="1" applyFill="1" applyBorder="1" applyAlignment="1">
      <alignment horizontal="right" vertical="center" wrapText="1"/>
    </xf>
    <xf numFmtId="168" fontId="26" fillId="5" borderId="1" xfId="6" applyNumberFormat="1" applyFont="1" applyFill="1" applyBorder="1" applyAlignment="1">
      <alignment horizontal="center" vertical="center"/>
    </xf>
    <xf numFmtId="0" fontId="26" fillId="6" borderId="1" xfId="2" applyFont="1" applyFill="1" applyBorder="1" applyAlignment="1">
      <alignment horizontal="center" vertical="center"/>
    </xf>
    <xf numFmtId="169" fontId="26" fillId="5" borderId="1" xfId="8" applyNumberFormat="1" applyFont="1" applyFill="1" applyBorder="1" applyAlignment="1">
      <alignment vertical="center" wrapText="1"/>
    </xf>
    <xf numFmtId="0" fontId="28" fillId="5" borderId="1" xfId="2" applyFont="1" applyFill="1" applyBorder="1" applyAlignment="1">
      <alignment horizontal="center" vertical="center"/>
    </xf>
    <xf numFmtId="0" fontId="30" fillId="5" borderId="1" xfId="0" applyFont="1" applyFill="1" applyBorder="1" applyAlignment="1">
      <alignment horizontal="center" vertical="center"/>
    </xf>
    <xf numFmtId="169" fontId="30" fillId="5" borderId="1" xfId="0" applyNumberFormat="1" applyFont="1" applyFill="1" applyBorder="1" applyAlignment="1">
      <alignment vertical="center"/>
    </xf>
    <xf numFmtId="0" fontId="24" fillId="5" borderId="21" xfId="4" applyNumberFormat="1" applyFont="1" applyFill="1" applyBorder="1" applyAlignment="1">
      <alignment horizontal="center" vertical="center"/>
    </xf>
    <xf numFmtId="168" fontId="26" fillId="5" borderId="1" xfId="10" applyNumberFormat="1" applyFont="1" applyFill="1" applyBorder="1" applyAlignment="1">
      <alignment horizontal="center" vertical="center"/>
    </xf>
    <xf numFmtId="167" fontId="26" fillId="5" borderId="1" xfId="10" applyNumberFormat="1" applyFont="1" applyFill="1" applyBorder="1" applyAlignment="1">
      <alignment vertical="center"/>
    </xf>
    <xf numFmtId="168" fontId="26" fillId="5" borderId="1" xfId="7" applyNumberFormat="1" applyFont="1" applyFill="1" applyBorder="1" applyAlignment="1">
      <alignment vertical="center"/>
    </xf>
    <xf numFmtId="167" fontId="26" fillId="5" borderId="1" xfId="12" applyNumberFormat="1" applyFont="1" applyFill="1" applyBorder="1" applyAlignment="1">
      <alignment horizontal="center" vertical="center"/>
    </xf>
    <xf numFmtId="168" fontId="26" fillId="5" borderId="1" xfId="12" applyNumberFormat="1" applyFont="1" applyFill="1" applyBorder="1" applyAlignment="1">
      <alignment horizontal="center" vertical="center"/>
    </xf>
    <xf numFmtId="0" fontId="26" fillId="5" borderId="1" xfId="0" quotePrefix="1" applyFont="1" applyFill="1" applyBorder="1" applyAlignment="1">
      <alignment horizontal="center" vertical="center"/>
    </xf>
    <xf numFmtId="169" fontId="26" fillId="5" borderId="1" xfId="6" applyNumberFormat="1" applyFont="1" applyFill="1" applyBorder="1" applyAlignment="1">
      <alignment vertical="center" wrapText="1"/>
    </xf>
    <xf numFmtId="0" fontId="26" fillId="5" borderId="1" xfId="2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/>
    </xf>
    <xf numFmtId="167" fontId="26" fillId="6" borderId="1" xfId="7" applyNumberFormat="1" applyFont="1" applyFill="1" applyBorder="1" applyAlignment="1">
      <alignment horizontal="center" vertical="center"/>
    </xf>
    <xf numFmtId="168" fontId="26" fillId="6" borderId="1" xfId="7" applyNumberFormat="1" applyFont="1" applyFill="1" applyBorder="1" applyAlignment="1">
      <alignment horizontal="center" vertical="center"/>
    </xf>
    <xf numFmtId="167" fontId="26" fillId="6" borderId="1" xfId="3" applyNumberFormat="1" applyFont="1" applyFill="1" applyBorder="1" applyAlignment="1">
      <alignment horizontal="center" vertical="center"/>
    </xf>
    <xf numFmtId="168" fontId="26" fillId="6" borderId="1" xfId="3" applyNumberFormat="1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 shrinkToFit="1"/>
    </xf>
    <xf numFmtId="0" fontId="26" fillId="5" borderId="3" xfId="0" applyFont="1" applyFill="1" applyBorder="1" applyAlignment="1">
      <alignment horizontal="center" vertical="center" wrapText="1"/>
    </xf>
    <xf numFmtId="4" fontId="24" fillId="7" borderId="18" xfId="2" applyNumberFormat="1" applyFont="1" applyFill="1" applyBorder="1" applyAlignment="1">
      <alignment horizontal="center" vertical="center"/>
    </xf>
    <xf numFmtId="170" fontId="24" fillId="5" borderId="0" xfId="2" applyNumberFormat="1" applyFont="1" applyFill="1">
      <alignment vertical="center"/>
    </xf>
    <xf numFmtId="167" fontId="26" fillId="5" borderId="1" xfId="0" applyNumberFormat="1" applyFont="1" applyFill="1" applyBorder="1" applyAlignment="1">
      <alignment horizontal="right" vertical="center"/>
    </xf>
    <xf numFmtId="168" fontId="26" fillId="5" borderId="1" xfId="3" applyNumberFormat="1" applyFont="1" applyFill="1" applyBorder="1" applyAlignment="1">
      <alignment horizontal="right" vertical="center"/>
    </xf>
    <xf numFmtId="169" fontId="26" fillId="5" borderId="1" xfId="3" applyNumberFormat="1" applyFont="1" applyFill="1" applyBorder="1" applyAlignment="1">
      <alignment horizontal="center" vertical="center"/>
    </xf>
    <xf numFmtId="0" fontId="24" fillId="3" borderId="0" xfId="2" applyFont="1" applyFill="1">
      <alignment vertical="center"/>
    </xf>
    <xf numFmtId="0" fontId="31" fillId="3" borderId="0" xfId="2" applyFont="1" applyFill="1">
      <alignment vertical="center"/>
    </xf>
    <xf numFmtId="0" fontId="21" fillId="5" borderId="2" xfId="2" applyFont="1" applyFill="1" applyBorder="1" applyAlignment="1">
      <alignment horizontal="center" vertical="center"/>
    </xf>
    <xf numFmtId="0" fontId="21" fillId="5" borderId="0" xfId="2" applyFont="1" applyFill="1">
      <alignment vertical="center"/>
    </xf>
    <xf numFmtId="4" fontId="21" fillId="5" borderId="0" xfId="2" applyNumberFormat="1" applyFont="1" applyFill="1">
      <alignment vertical="center"/>
    </xf>
    <xf numFmtId="0" fontId="26" fillId="8" borderId="1" xfId="5" applyFont="1" applyFill="1" applyBorder="1" applyAlignment="1">
      <alignment horizontal="center" vertical="center" wrapText="1"/>
    </xf>
    <xf numFmtId="0" fontId="28" fillId="8" borderId="1" xfId="2" applyFont="1" applyFill="1" applyBorder="1" applyAlignment="1">
      <alignment horizontal="center" vertical="center"/>
    </xf>
    <xf numFmtId="14" fontId="24" fillId="8" borderId="1" xfId="2" applyNumberFormat="1" applyFont="1" applyFill="1" applyBorder="1" applyAlignment="1">
      <alignment horizontal="center" vertical="center"/>
    </xf>
    <xf numFmtId="0" fontId="24" fillId="8" borderId="1" xfId="2" applyFont="1" applyFill="1" applyBorder="1" applyAlignment="1">
      <alignment horizontal="center" vertical="center"/>
    </xf>
    <xf numFmtId="0" fontId="30" fillId="8" borderId="1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167" fontId="26" fillId="8" borderId="1" xfId="7" applyNumberFormat="1" applyFont="1" applyFill="1" applyBorder="1" applyAlignment="1">
      <alignment horizontal="center" vertical="center"/>
    </xf>
    <xf numFmtId="168" fontId="26" fillId="8" borderId="1" xfId="7" applyNumberFormat="1" applyFont="1" applyFill="1" applyBorder="1" applyAlignment="1">
      <alignment horizontal="center" vertical="center"/>
    </xf>
    <xf numFmtId="0" fontId="21" fillId="8" borderId="2" xfId="2" applyFont="1" applyFill="1" applyBorder="1" applyAlignment="1">
      <alignment horizontal="center" vertical="center"/>
    </xf>
    <xf numFmtId="0" fontId="24" fillId="8" borderId="2" xfId="2" applyFont="1" applyFill="1" applyBorder="1" applyAlignment="1">
      <alignment horizontal="center" vertical="center"/>
    </xf>
    <xf numFmtId="167" fontId="24" fillId="8" borderId="1" xfId="3" applyNumberFormat="1" applyFont="1" applyFill="1" applyBorder="1" applyAlignment="1">
      <alignment horizontal="center" vertical="center"/>
    </xf>
    <xf numFmtId="4" fontId="24" fillId="8" borderId="2" xfId="2" applyNumberFormat="1" applyFont="1" applyFill="1" applyBorder="1" applyAlignment="1">
      <alignment horizontal="center" vertical="center"/>
    </xf>
    <xf numFmtId="4" fontId="24" fillId="8" borderId="1" xfId="2" applyNumberFormat="1" applyFont="1" applyFill="1" applyBorder="1" applyAlignment="1">
      <alignment horizontal="center" vertical="center"/>
    </xf>
    <xf numFmtId="4" fontId="24" fillId="8" borderId="18" xfId="2" applyNumberFormat="1" applyFont="1" applyFill="1" applyBorder="1" applyAlignment="1">
      <alignment horizontal="center" vertical="center"/>
    </xf>
    <xf numFmtId="4" fontId="24" fillId="8" borderId="0" xfId="2" applyNumberFormat="1" applyFont="1" applyFill="1" applyAlignment="1">
      <alignment horizontal="center" vertical="center"/>
    </xf>
    <xf numFmtId="0" fontId="21" fillId="8" borderId="0" xfId="2" applyFont="1" applyFill="1">
      <alignment vertical="center"/>
    </xf>
    <xf numFmtId="4" fontId="21" fillId="8" borderId="0" xfId="2" applyNumberFormat="1" applyFont="1" applyFill="1">
      <alignment vertical="center"/>
    </xf>
    <xf numFmtId="169" fontId="30" fillId="8" borderId="1" xfId="0" applyNumberFormat="1" applyFont="1" applyFill="1" applyBorder="1" applyAlignment="1">
      <alignment vertical="center"/>
    </xf>
    <xf numFmtId="170" fontId="24" fillId="8" borderId="0" xfId="2" applyNumberFormat="1" applyFont="1" applyFill="1">
      <alignment vertical="center"/>
    </xf>
    <xf numFmtId="0" fontId="30" fillId="5" borderId="1" xfId="0" quotePrefix="1" applyFont="1" applyFill="1" applyBorder="1" applyAlignment="1">
      <alignment horizontal="center" vertical="center"/>
    </xf>
    <xf numFmtId="4" fontId="21" fillId="6" borderId="0" xfId="2" applyNumberFormat="1" applyFont="1" applyFill="1">
      <alignment vertical="center"/>
    </xf>
    <xf numFmtId="0" fontId="21" fillId="6" borderId="0" xfId="2" applyFont="1" applyFill="1">
      <alignment vertical="center"/>
    </xf>
    <xf numFmtId="170" fontId="24" fillId="6" borderId="0" xfId="2" applyNumberFormat="1" applyFont="1" applyFill="1">
      <alignment vertical="center"/>
    </xf>
    <xf numFmtId="169" fontId="26" fillId="6" borderId="1" xfId="3" applyNumberFormat="1" applyFont="1" applyFill="1" applyBorder="1" applyAlignment="1">
      <alignment vertical="center"/>
    </xf>
    <xf numFmtId="0" fontId="20" fillId="9" borderId="23" xfId="2" applyFont="1" applyFill="1" applyBorder="1" applyAlignment="1">
      <alignment horizontal="center" vertical="center"/>
    </xf>
    <xf numFmtId="0" fontId="20" fillId="9" borderId="24" xfId="2" applyFont="1" applyFill="1" applyBorder="1">
      <alignment vertical="center"/>
    </xf>
    <xf numFmtId="167" fontId="21" fillId="9" borderId="25" xfId="3" applyNumberFormat="1" applyFont="1" applyFill="1" applyBorder="1" applyAlignment="1">
      <alignment horizontal="center" vertical="center"/>
    </xf>
    <xf numFmtId="168" fontId="21" fillId="9" borderId="25" xfId="3" applyNumberFormat="1" applyFont="1" applyFill="1" applyBorder="1" applyAlignment="1">
      <alignment horizontal="center" vertical="center"/>
    </xf>
    <xf numFmtId="168" fontId="21" fillId="9" borderId="25" xfId="3" applyNumberFormat="1" applyFont="1" applyFill="1" applyBorder="1" applyAlignment="1">
      <alignment horizontal="center"/>
    </xf>
    <xf numFmtId="4" fontId="21" fillId="9" borderId="25" xfId="2" applyNumberFormat="1" applyFont="1" applyFill="1" applyBorder="1" applyAlignment="1">
      <alignment horizontal="center"/>
    </xf>
    <xf numFmtId="172" fontId="20" fillId="9" borderId="25" xfId="13" applyNumberFormat="1" applyFont="1" applyFill="1" applyBorder="1" applyAlignment="1">
      <alignment horizontal="center" vertical="center"/>
    </xf>
    <xf numFmtId="169" fontId="20" fillId="9" borderId="26" xfId="2" applyNumberFormat="1" applyFont="1" applyFill="1" applyBorder="1" applyAlignment="1">
      <alignment horizontal="center" vertical="center"/>
    </xf>
    <xf numFmtId="167" fontId="21" fillId="0" borderId="0" xfId="3" applyNumberFormat="1" applyFont="1" applyFill="1" applyAlignment="1">
      <alignment vertical="center"/>
    </xf>
    <xf numFmtId="168" fontId="21" fillId="0" borderId="0" xfId="3" applyNumberFormat="1" applyFont="1" applyFill="1" applyAlignment="1">
      <alignment vertical="center"/>
    </xf>
    <xf numFmtId="4" fontId="31" fillId="0" borderId="0" xfId="2" applyNumberFormat="1" applyFont="1">
      <alignment vertical="center"/>
    </xf>
    <xf numFmtId="0" fontId="21" fillId="0" borderId="0" xfId="2" applyFont="1" applyAlignment="1">
      <alignment horizontal="left" vertical="center"/>
    </xf>
    <xf numFmtId="4" fontId="21" fillId="0" borderId="0" xfId="2" applyNumberFormat="1" applyFont="1">
      <alignment vertical="center"/>
    </xf>
    <xf numFmtId="0" fontId="32" fillId="5" borderId="1" xfId="0" applyFont="1" applyFill="1" applyBorder="1" applyAlignment="1">
      <alignment horizontal="center" vertical="center" wrapText="1"/>
    </xf>
    <xf numFmtId="173" fontId="33" fillId="0" borderId="1" xfId="2" applyNumberFormat="1" applyFont="1" applyBorder="1">
      <alignment vertical="center"/>
    </xf>
    <xf numFmtId="169" fontId="21" fillId="0" borderId="1" xfId="2" applyNumberFormat="1" applyFont="1" applyBorder="1">
      <alignment vertical="center"/>
    </xf>
    <xf numFmtId="0" fontId="31" fillId="0" borderId="0" xfId="2" applyFont="1">
      <alignment vertical="center"/>
    </xf>
    <xf numFmtId="41" fontId="21" fillId="0" borderId="0" xfId="4" applyFont="1" applyFill="1" applyAlignment="1">
      <alignment vertical="center"/>
    </xf>
    <xf numFmtId="174" fontId="21" fillId="0" borderId="0" xfId="2" applyNumberFormat="1" applyFont="1">
      <alignment vertical="center"/>
    </xf>
    <xf numFmtId="169" fontId="21" fillId="0" borderId="0" xfId="2" applyNumberFormat="1" applyFont="1">
      <alignment vertical="center"/>
    </xf>
    <xf numFmtId="0" fontId="34" fillId="0" borderId="0" xfId="2" applyFont="1" applyAlignment="1">
      <alignment horizontal="center" vertical="center"/>
    </xf>
    <xf numFmtId="0" fontId="24" fillId="5" borderId="0" xfId="2" applyFont="1" applyFill="1" applyAlignment="1">
      <alignment horizontal="left" vertical="center"/>
    </xf>
    <xf numFmtId="0" fontId="21" fillId="5" borderId="0" xfId="2" applyFont="1" applyFill="1" applyAlignment="1">
      <alignment horizontal="center" vertical="center"/>
    </xf>
    <xf numFmtId="0" fontId="23" fillId="5" borderId="0" xfId="2" applyFont="1" applyFill="1" applyAlignment="1">
      <alignment horizontal="left" vertical="center"/>
    </xf>
    <xf numFmtId="43" fontId="21" fillId="0" borderId="0" xfId="2" applyNumberFormat="1" applyFont="1">
      <alignment vertical="center"/>
    </xf>
    <xf numFmtId="0" fontId="21" fillId="5" borderId="0" xfId="2" applyFont="1" applyFill="1" applyAlignment="1">
      <alignment horizontal="left" vertical="center"/>
    </xf>
    <xf numFmtId="0" fontId="24" fillId="0" borderId="0" xfId="2" applyFont="1" applyAlignment="1">
      <alignment horizontal="center" vertical="center"/>
    </xf>
    <xf numFmtId="0" fontId="24" fillId="0" borderId="0" xfId="2" applyFont="1">
      <alignment vertical="center"/>
    </xf>
    <xf numFmtId="167" fontId="24" fillId="0" borderId="0" xfId="3" applyNumberFormat="1" applyFont="1" applyFill="1" applyAlignment="1">
      <alignment vertical="center"/>
    </xf>
    <xf numFmtId="0" fontId="24" fillId="0" borderId="27" xfId="14" applyFont="1" applyBorder="1" applyAlignment="1">
      <alignment horizontal="left" vertical="center"/>
    </xf>
    <xf numFmtId="0" fontId="24" fillId="0" borderId="27" xfId="14" applyFont="1" applyBorder="1" applyAlignment="1">
      <alignment vertical="center" wrapText="1"/>
    </xf>
    <xf numFmtId="0" fontId="24" fillId="0" borderId="0" xfId="14" applyFont="1" applyAlignment="1">
      <alignment vertical="center" wrapText="1"/>
    </xf>
    <xf numFmtId="0" fontId="24" fillId="0" borderId="0" xfId="14" applyFont="1" applyAlignment="1">
      <alignment horizontal="center" vertical="center" wrapText="1"/>
    </xf>
    <xf numFmtId="167" fontId="24" fillId="0" borderId="0" xfId="3" applyNumberFormat="1" applyFont="1" applyFill="1" applyAlignment="1">
      <alignment vertical="center" wrapText="1"/>
    </xf>
    <xf numFmtId="0" fontId="21" fillId="0" borderId="27" xfId="2" applyFont="1" applyBorder="1">
      <alignment vertical="center"/>
    </xf>
    <xf numFmtId="0" fontId="24" fillId="0" borderId="27" xfId="14" applyFont="1" applyBorder="1" applyAlignment="1">
      <alignment vertical="center"/>
    </xf>
    <xf numFmtId="0" fontId="24" fillId="0" borderId="0" xfId="14" applyFont="1" applyAlignment="1">
      <alignment horizontal="left" vertical="center"/>
    </xf>
    <xf numFmtId="0" fontId="24" fillId="0" borderId="0" xfId="14" applyFont="1" applyAlignment="1">
      <alignment vertical="center"/>
    </xf>
    <xf numFmtId="0" fontId="24" fillId="0" borderId="0" xfId="15" applyFont="1" applyAlignment="1">
      <alignment horizontal="center" vertical="center"/>
    </xf>
    <xf numFmtId="0" fontId="24" fillId="0" borderId="0" xfId="14" applyFont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33" fillId="0" borderId="0" xfId="2" applyFont="1" applyAlignment="1">
      <alignment horizontal="left" vertical="center"/>
    </xf>
    <xf numFmtId="167" fontId="21" fillId="0" borderId="0" xfId="3" applyNumberFormat="1" applyFont="1">
      <alignment vertical="center"/>
    </xf>
    <xf numFmtId="168" fontId="21" fillId="0" borderId="0" xfId="3" applyNumberFormat="1" applyFont="1">
      <alignment vertical="center"/>
    </xf>
    <xf numFmtId="0" fontId="37" fillId="0" borderId="0" xfId="2" applyFont="1">
      <alignment vertical="center"/>
    </xf>
    <xf numFmtId="0" fontId="27" fillId="0" borderId="0" xfId="2" applyFont="1">
      <alignment vertical="center"/>
    </xf>
    <xf numFmtId="0" fontId="37" fillId="0" borderId="0" xfId="2" applyFont="1" applyAlignment="1">
      <alignment horizontal="center" vertical="center"/>
    </xf>
    <xf numFmtId="167" fontId="37" fillId="0" borderId="0" xfId="3" applyNumberFormat="1" applyFont="1" applyAlignment="1">
      <alignment horizontal="center" vertical="center"/>
    </xf>
    <xf numFmtId="168" fontId="37" fillId="0" borderId="0" xfId="3" applyNumberFormat="1" applyFont="1" applyAlignment="1">
      <alignment horizontal="center" vertical="center"/>
    </xf>
    <xf numFmtId="0" fontId="39" fillId="0" borderId="0" xfId="2" applyFont="1" applyAlignment="1">
      <alignment horizontal="center" vertical="center"/>
    </xf>
    <xf numFmtId="0" fontId="26" fillId="0" borderId="0" xfId="2" applyFont="1">
      <alignment vertical="center"/>
    </xf>
    <xf numFmtId="167" fontId="27" fillId="0" borderId="0" xfId="3" applyNumberFormat="1" applyFont="1" applyAlignment="1">
      <alignment vertical="center"/>
    </xf>
    <xf numFmtId="168" fontId="27" fillId="0" borderId="0" xfId="3" applyNumberFormat="1" applyFont="1" applyAlignment="1">
      <alignment vertical="center"/>
    </xf>
    <xf numFmtId="0" fontId="27" fillId="0" borderId="0" xfId="2" applyFont="1" applyAlignment="1">
      <alignment horizontal="center" vertical="center"/>
    </xf>
    <xf numFmtId="0" fontId="40" fillId="0" borderId="9" xfId="2" applyFont="1" applyBorder="1" applyAlignment="1">
      <alignment horizontal="center" vertical="center" wrapText="1"/>
    </xf>
    <xf numFmtId="0" fontId="40" fillId="0" borderId="14" xfId="2" applyFont="1" applyBorder="1" applyAlignment="1">
      <alignment horizontal="center" vertical="center" wrapText="1"/>
    </xf>
    <xf numFmtId="0" fontId="26" fillId="5" borderId="16" xfId="0" applyFont="1" applyFill="1" applyBorder="1" applyAlignment="1">
      <alignment horizontal="center" vertical="center"/>
    </xf>
    <xf numFmtId="168" fontId="27" fillId="5" borderId="2" xfId="3" applyNumberFormat="1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/>
    </xf>
    <xf numFmtId="0" fontId="26" fillId="5" borderId="4" xfId="2" applyFont="1" applyFill="1" applyBorder="1" applyAlignment="1">
      <alignment horizontal="center" vertical="center"/>
    </xf>
    <xf numFmtId="167" fontId="26" fillId="5" borderId="4" xfId="3" applyNumberFormat="1" applyFont="1" applyFill="1" applyBorder="1" applyAlignment="1">
      <alignment horizontal="center" vertical="center"/>
    </xf>
    <xf numFmtId="168" fontId="26" fillId="5" borderId="4" xfId="3" applyNumberFormat="1" applyFont="1" applyFill="1" applyBorder="1" applyAlignment="1">
      <alignment horizontal="center" vertical="center"/>
    </xf>
    <xf numFmtId="4" fontId="26" fillId="5" borderId="2" xfId="2" applyNumberFormat="1" applyFont="1" applyFill="1" applyBorder="1" applyAlignment="1">
      <alignment horizontal="center" vertical="center"/>
    </xf>
    <xf numFmtId="2" fontId="26" fillId="5" borderId="4" xfId="2" applyNumberFormat="1" applyFont="1" applyFill="1" applyBorder="1" applyAlignment="1">
      <alignment horizontal="center" vertical="center"/>
    </xf>
    <xf numFmtId="4" fontId="26" fillId="0" borderId="2" xfId="2" applyNumberFormat="1" applyFont="1" applyBorder="1" applyAlignment="1">
      <alignment horizontal="center" vertical="center"/>
    </xf>
    <xf numFmtId="4" fontId="26" fillId="0" borderId="17" xfId="2" applyNumberFormat="1" applyFont="1" applyBorder="1" applyAlignment="1">
      <alignment horizontal="center" vertical="center"/>
    </xf>
    <xf numFmtId="4" fontId="27" fillId="0" borderId="1" xfId="2" applyNumberFormat="1" applyFont="1" applyBorder="1">
      <alignment vertical="center"/>
    </xf>
    <xf numFmtId="4" fontId="42" fillId="0" borderId="1" xfId="2" applyNumberFormat="1" applyFont="1" applyBorder="1">
      <alignment vertical="center"/>
    </xf>
    <xf numFmtId="0" fontId="27" fillId="0" borderId="1" xfId="2" applyFont="1" applyBorder="1">
      <alignment vertical="center"/>
    </xf>
    <xf numFmtId="0" fontId="26" fillId="5" borderId="20" xfId="0" applyFont="1" applyFill="1" applyBorder="1" applyAlignment="1">
      <alignment horizontal="center" vertical="center"/>
    </xf>
    <xf numFmtId="168" fontId="27" fillId="5" borderId="1" xfId="3" applyNumberFormat="1" applyFont="1" applyFill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/>
    </xf>
    <xf numFmtId="0" fontId="26" fillId="5" borderId="3" xfId="2" applyFont="1" applyFill="1" applyBorder="1" applyAlignment="1">
      <alignment horizontal="center" vertical="center"/>
    </xf>
    <xf numFmtId="167" fontId="26" fillId="5" borderId="3" xfId="3" applyNumberFormat="1" applyFont="1" applyFill="1" applyBorder="1" applyAlignment="1">
      <alignment horizontal="center" vertical="center"/>
    </xf>
    <xf numFmtId="168" fontId="26" fillId="5" borderId="3" xfId="3" applyNumberFormat="1" applyFont="1" applyFill="1" applyBorder="1" applyAlignment="1">
      <alignment horizontal="center" vertical="center"/>
    </xf>
    <xf numFmtId="4" fontId="26" fillId="5" borderId="1" xfId="2" applyNumberFormat="1" applyFont="1" applyFill="1" applyBorder="1" applyAlignment="1">
      <alignment horizontal="center" vertical="center"/>
    </xf>
    <xf numFmtId="2" fontId="26" fillId="5" borderId="3" xfId="2" applyNumberFormat="1" applyFont="1" applyFill="1" applyBorder="1" applyAlignment="1">
      <alignment horizontal="center" vertical="center"/>
    </xf>
    <xf numFmtId="4" fontId="26" fillId="0" borderId="1" xfId="2" applyNumberFormat="1" applyFont="1" applyBorder="1" applyAlignment="1">
      <alignment horizontal="center" vertical="center"/>
    </xf>
    <xf numFmtId="4" fontId="26" fillId="0" borderId="18" xfId="2" applyNumberFormat="1" applyFont="1" applyBorder="1" applyAlignment="1">
      <alignment horizontal="center" vertical="center"/>
    </xf>
    <xf numFmtId="0" fontId="27" fillId="5" borderId="1" xfId="3" applyNumberFormat="1" applyFont="1" applyFill="1" applyBorder="1" applyAlignment="1">
      <alignment horizontal="center" vertical="center" wrapText="1"/>
    </xf>
    <xf numFmtId="4" fontId="26" fillId="0" borderId="4" xfId="2" applyNumberFormat="1" applyFont="1" applyBorder="1" applyAlignment="1">
      <alignment horizontal="center" vertical="center"/>
    </xf>
    <xf numFmtId="4" fontId="26" fillId="0" borderId="37" xfId="2" applyNumberFormat="1" applyFont="1" applyBorder="1" applyAlignment="1">
      <alignment horizontal="center" vertical="center"/>
    </xf>
    <xf numFmtId="4" fontId="26" fillId="0" borderId="31" xfId="2" applyNumberFormat="1" applyFont="1" applyBorder="1" applyAlignment="1">
      <alignment horizontal="center" vertical="center"/>
    </xf>
    <xf numFmtId="4" fontId="26" fillId="0" borderId="38" xfId="2" applyNumberFormat="1" applyFont="1" applyBorder="1" applyAlignment="1">
      <alignment horizontal="center" vertical="center"/>
    </xf>
    <xf numFmtId="4" fontId="26" fillId="5" borderId="18" xfId="2" applyNumberFormat="1" applyFont="1" applyFill="1" applyBorder="1" applyAlignment="1">
      <alignment horizontal="center" vertical="center"/>
    </xf>
    <xf numFmtId="0" fontId="27" fillId="5" borderId="0" xfId="2" applyFont="1" applyFill="1">
      <alignment vertical="center"/>
    </xf>
    <xf numFmtId="4" fontId="27" fillId="5" borderId="1" xfId="2" applyNumberFormat="1" applyFont="1" applyFill="1" applyBorder="1">
      <alignment vertical="center"/>
    </xf>
    <xf numFmtId="0" fontId="27" fillId="5" borderId="1" xfId="2" applyFont="1" applyFill="1" applyBorder="1">
      <alignment vertical="center"/>
    </xf>
    <xf numFmtId="4" fontId="26" fillId="7" borderId="2" xfId="2" applyNumberFormat="1" applyFont="1" applyFill="1" applyBorder="1" applyAlignment="1">
      <alignment horizontal="center" vertical="center"/>
    </xf>
    <xf numFmtId="4" fontId="26" fillId="7" borderId="1" xfId="2" applyNumberFormat="1" applyFont="1" applyFill="1" applyBorder="1" applyAlignment="1">
      <alignment horizontal="center" vertical="center"/>
    </xf>
    <xf numFmtId="4" fontId="26" fillId="7" borderId="18" xfId="2" applyNumberFormat="1" applyFont="1" applyFill="1" applyBorder="1" applyAlignment="1">
      <alignment horizontal="center" vertical="center"/>
    </xf>
    <xf numFmtId="168" fontId="27" fillId="5" borderId="3" xfId="3" applyNumberFormat="1" applyFont="1" applyFill="1" applyBorder="1" applyAlignment="1">
      <alignment horizontal="center" vertical="center" wrapText="1"/>
    </xf>
    <xf numFmtId="4" fontId="26" fillId="5" borderId="3" xfId="2" applyNumberFormat="1" applyFont="1" applyFill="1" applyBorder="1" applyAlignment="1">
      <alignment horizontal="center" vertical="center"/>
    </xf>
    <xf numFmtId="4" fontId="26" fillId="0" borderId="3" xfId="2" applyNumberFormat="1" applyFont="1" applyBorder="1" applyAlignment="1">
      <alignment horizontal="center" vertical="center"/>
    </xf>
    <xf numFmtId="0" fontId="39" fillId="0" borderId="22" xfId="2" applyFont="1" applyBorder="1">
      <alignment vertical="center"/>
    </xf>
    <xf numFmtId="0" fontId="39" fillId="0" borderId="23" xfId="2" applyFont="1" applyBorder="1">
      <alignment vertical="center"/>
    </xf>
    <xf numFmtId="0" fontId="39" fillId="0" borderId="24" xfId="2" applyFont="1" applyBorder="1">
      <alignment vertical="center"/>
    </xf>
    <xf numFmtId="167" fontId="40" fillId="0" borderId="25" xfId="3" applyNumberFormat="1" applyFont="1" applyFill="1" applyBorder="1" applyAlignment="1">
      <alignment horizontal="right" vertical="center"/>
    </xf>
    <xf numFmtId="2" fontId="40" fillId="0" borderId="25" xfId="2" applyNumberFormat="1" applyFont="1" applyBorder="1" applyAlignment="1">
      <alignment horizontal="right" vertical="center"/>
    </xf>
    <xf numFmtId="2" fontId="27" fillId="0" borderId="39" xfId="2" applyNumberFormat="1" applyFont="1" applyBorder="1">
      <alignment vertical="center"/>
    </xf>
    <xf numFmtId="4" fontId="26" fillId="0" borderId="25" xfId="2" applyNumberFormat="1" applyFont="1" applyBorder="1" applyAlignment="1">
      <alignment horizontal="center" vertical="center"/>
    </xf>
    <xf numFmtId="4" fontId="27" fillId="0" borderId="25" xfId="2" applyNumberFormat="1" applyFont="1" applyBorder="1" applyAlignment="1">
      <alignment horizontal="center" vertical="center"/>
    </xf>
    <xf numFmtId="4" fontId="40" fillId="0" borderId="26" xfId="2" applyNumberFormat="1" applyFont="1" applyBorder="1" applyAlignment="1">
      <alignment horizontal="center" vertical="center"/>
    </xf>
    <xf numFmtId="167" fontId="43" fillId="0" borderId="0" xfId="3" applyNumberFormat="1" applyFont="1" applyAlignment="1">
      <alignment vertical="center"/>
    </xf>
    <xf numFmtId="0" fontId="43" fillId="0" borderId="0" xfId="2" applyFont="1">
      <alignment vertical="center"/>
    </xf>
    <xf numFmtId="4" fontId="43" fillId="0" borderId="0" xfId="2" applyNumberFormat="1" applyFont="1">
      <alignment vertical="center"/>
    </xf>
    <xf numFmtId="168" fontId="43" fillId="0" borderId="0" xfId="3" applyNumberFormat="1" applyFont="1" applyAlignment="1">
      <alignment vertical="center"/>
    </xf>
    <xf numFmtId="170" fontId="43" fillId="0" borderId="0" xfId="2" applyNumberFormat="1" applyFont="1">
      <alignment vertical="center"/>
    </xf>
    <xf numFmtId="0" fontId="44" fillId="0" borderId="0" xfId="2" applyFont="1" applyAlignment="1">
      <alignment vertical="center" wrapText="1"/>
    </xf>
    <xf numFmtId="0" fontId="45" fillId="0" borderId="27" xfId="15" applyFont="1" applyBorder="1" applyAlignment="1">
      <alignment vertical="top"/>
    </xf>
    <xf numFmtId="0" fontId="45" fillId="0" borderId="27" xfId="15" applyFont="1" applyBorder="1" applyAlignment="1">
      <alignment vertical="top" wrapText="1"/>
    </xf>
    <xf numFmtId="0" fontId="45" fillId="0" borderId="0" xfId="2" applyFont="1">
      <alignment vertical="center"/>
    </xf>
    <xf numFmtId="0" fontId="46" fillId="0" borderId="0" xfId="2" applyFont="1">
      <alignment vertical="center"/>
    </xf>
    <xf numFmtId="0" fontId="45" fillId="0" borderId="27" xfId="15" applyFont="1" applyBorder="1" applyAlignment="1">
      <alignment horizontal="left" vertical="top"/>
    </xf>
    <xf numFmtId="0" fontId="46" fillId="0" borderId="27" xfId="2" applyFont="1" applyBorder="1" applyAlignment="1">
      <alignment horizontal="left" vertical="center"/>
    </xf>
    <xf numFmtId="0" fontId="46" fillId="0" borderId="0" xfId="2" applyFont="1" applyAlignment="1">
      <alignment horizontal="left" vertical="center"/>
    </xf>
    <xf numFmtId="0" fontId="27" fillId="0" borderId="0" xfId="2" applyFont="1" applyAlignment="1">
      <alignment horizontal="left" vertical="center"/>
    </xf>
    <xf numFmtId="170" fontId="27" fillId="0" borderId="0" xfId="2" applyNumberFormat="1" applyFont="1" applyAlignment="1">
      <alignment horizontal="left" vertical="center"/>
    </xf>
    <xf numFmtId="0" fontId="44" fillId="0" borderId="0" xfId="14" applyFont="1"/>
    <xf numFmtId="0" fontId="47" fillId="0" borderId="0" xfId="14" applyFont="1"/>
    <xf numFmtId="0" fontId="44" fillId="0" borderId="0" xfId="14" applyFont="1" applyAlignment="1">
      <alignment horizontal="left"/>
    </xf>
    <xf numFmtId="0" fontId="44" fillId="0" borderId="0" xfId="14" applyFont="1" applyAlignment="1">
      <alignment horizontal="left" vertical="center" wrapText="1"/>
    </xf>
    <xf numFmtId="0" fontId="45" fillId="0" borderId="0" xfId="14" applyFont="1" applyAlignment="1">
      <alignment horizontal="left" vertical="center" wrapText="1"/>
    </xf>
    <xf numFmtId="0" fontId="44" fillId="0" borderId="0" xfId="14" applyFont="1" applyAlignment="1">
      <alignment wrapText="1"/>
    </xf>
    <xf numFmtId="0" fontId="48" fillId="0" borderId="0" xfId="2" applyFont="1" applyAlignment="1"/>
    <xf numFmtId="0" fontId="48" fillId="0" borderId="0" xfId="2" applyFont="1" applyAlignment="1">
      <alignment horizontal="left" vertical="center"/>
    </xf>
    <xf numFmtId="167" fontId="48" fillId="0" borderId="0" xfId="3" applyNumberFormat="1" applyFont="1" applyAlignment="1">
      <alignment horizontal="left"/>
    </xf>
    <xf numFmtId="168" fontId="48" fillId="0" borderId="0" xfId="3" applyNumberFormat="1" applyFont="1" applyAlignment="1">
      <alignment horizontal="left"/>
    </xf>
    <xf numFmtId="0" fontId="48" fillId="0" borderId="0" xfId="2" applyFont="1" applyAlignment="1">
      <alignment horizontal="left"/>
    </xf>
    <xf numFmtId="0" fontId="27" fillId="0" borderId="0" xfId="2" applyFont="1" applyAlignment="1">
      <alignment horizontal="left"/>
    </xf>
    <xf numFmtId="167" fontId="27" fillId="0" borderId="0" xfId="3" applyNumberFormat="1" applyFont="1">
      <alignment vertical="center"/>
    </xf>
    <xf numFmtId="168" fontId="27" fillId="0" borderId="0" xfId="3" applyNumberFormat="1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4" fillId="5" borderId="20" xfId="4" applyNumberFormat="1" applyFont="1" applyFill="1" applyBorder="1" applyAlignment="1">
      <alignment horizontal="center" vertical="center"/>
    </xf>
    <xf numFmtId="0" fontId="24" fillId="6" borderId="16" xfId="4" applyNumberFormat="1" applyFont="1" applyFill="1" applyBorder="1" applyAlignment="1">
      <alignment horizontal="center" vertical="center"/>
    </xf>
    <xf numFmtId="0" fontId="24" fillId="5" borderId="16" xfId="4" applyNumberFormat="1" applyFont="1" applyFill="1" applyBorder="1" applyAlignment="1">
      <alignment horizontal="center" vertical="center"/>
    </xf>
    <xf numFmtId="0" fontId="24" fillId="5" borderId="19" xfId="4" applyNumberFormat="1" applyFont="1" applyFill="1" applyBorder="1" applyAlignment="1">
      <alignment horizontal="center" vertical="center"/>
    </xf>
    <xf numFmtId="169" fontId="26" fillId="5" borderId="3" xfId="3" applyNumberFormat="1" applyFont="1" applyFill="1" applyBorder="1" applyAlignment="1">
      <alignment horizontal="center" vertical="center"/>
    </xf>
    <xf numFmtId="169" fontId="26" fillId="5" borderId="4" xfId="3" applyNumberFormat="1" applyFont="1" applyFill="1" applyBorder="1" applyAlignment="1">
      <alignment horizontal="center" vertical="center"/>
    </xf>
    <xf numFmtId="169" fontId="26" fillId="5" borderId="2" xfId="3" applyNumberFormat="1" applyFont="1" applyFill="1" applyBorder="1" applyAlignment="1">
      <alignment horizontal="center" vertical="center"/>
    </xf>
    <xf numFmtId="0" fontId="20" fillId="9" borderId="22" xfId="2" applyFont="1" applyFill="1" applyBorder="1" applyAlignment="1">
      <alignment horizontal="center" vertical="center"/>
    </xf>
    <xf numFmtId="0" fontId="20" fillId="9" borderId="23" xfId="2" applyFont="1" applyFill="1" applyBorder="1" applyAlignment="1">
      <alignment horizontal="center" vertical="center"/>
    </xf>
    <xf numFmtId="0" fontId="24" fillId="8" borderId="20" xfId="4" applyNumberFormat="1" applyFont="1" applyFill="1" applyBorder="1" applyAlignment="1">
      <alignment horizontal="center" vertical="center"/>
    </xf>
    <xf numFmtId="0" fontId="24" fillId="8" borderId="19" xfId="4" applyNumberFormat="1" applyFont="1" applyFill="1" applyBorder="1" applyAlignment="1">
      <alignment horizontal="center" vertical="center"/>
    </xf>
    <xf numFmtId="0" fontId="24" fillId="6" borderId="19" xfId="4" applyNumberFormat="1" applyFont="1" applyFill="1" applyBorder="1" applyAlignment="1">
      <alignment horizontal="center" vertical="center"/>
    </xf>
    <xf numFmtId="0" fontId="19" fillId="0" borderId="0" xfId="2" applyFont="1" applyAlignment="1">
      <alignment horizontal="right" vertical="center"/>
    </xf>
    <xf numFmtId="0" fontId="19" fillId="0" borderId="0" xfId="2" applyFont="1" applyAlignment="1">
      <alignment horizontal="center" vertical="center"/>
    </xf>
    <xf numFmtId="168" fontId="20" fillId="5" borderId="10" xfId="3" applyNumberFormat="1" applyFont="1" applyFill="1" applyBorder="1" applyAlignment="1">
      <alignment horizontal="center" vertical="center" wrapText="1"/>
    </xf>
    <xf numFmtId="168" fontId="20" fillId="5" borderId="11" xfId="3" applyNumberFormat="1" applyFont="1" applyFill="1" applyBorder="1" applyAlignment="1">
      <alignment horizontal="center" vertical="center" wrapText="1"/>
    </xf>
    <xf numFmtId="0" fontId="40" fillId="0" borderId="3" xfId="2" applyFont="1" applyBorder="1" applyAlignment="1">
      <alignment horizontal="center" vertical="center" wrapText="1"/>
    </xf>
    <xf numFmtId="0" fontId="40" fillId="0" borderId="2" xfId="2" applyFont="1" applyBorder="1" applyAlignment="1">
      <alignment horizontal="center" vertical="center" wrapText="1"/>
    </xf>
    <xf numFmtId="0" fontId="41" fillId="0" borderId="3" xfId="2" applyFont="1" applyBorder="1" applyAlignment="1">
      <alignment horizontal="center" vertical="center" wrapText="1"/>
    </xf>
    <xf numFmtId="0" fontId="41" fillId="0" borderId="2" xfId="2" applyFont="1" applyBorder="1" applyAlignment="1">
      <alignment horizontal="center" vertical="center" wrapText="1"/>
    </xf>
    <xf numFmtId="0" fontId="40" fillId="0" borderId="6" xfId="2" applyFont="1" applyBorder="1" applyAlignment="1">
      <alignment horizontal="center" vertical="center" wrapText="1"/>
    </xf>
    <xf numFmtId="0" fontId="40" fillId="0" borderId="5" xfId="2" applyFont="1" applyBorder="1" applyAlignment="1">
      <alignment horizontal="center" vertical="center" wrapText="1"/>
    </xf>
    <xf numFmtId="0" fontId="40" fillId="0" borderId="7" xfId="2" applyFont="1" applyBorder="1" applyAlignment="1">
      <alignment horizontal="center" vertical="center" wrapText="1"/>
    </xf>
    <xf numFmtId="0" fontId="40" fillId="0" borderId="35" xfId="2" applyFont="1" applyBorder="1" applyAlignment="1">
      <alignment horizontal="center" vertical="center" wrapText="1"/>
    </xf>
    <xf numFmtId="0" fontId="40" fillId="0" borderId="27" xfId="2" applyFont="1" applyBorder="1" applyAlignment="1">
      <alignment horizontal="center" vertical="center" wrapText="1"/>
    </xf>
    <xf numFmtId="0" fontId="40" fillId="0" borderId="36" xfId="2" applyFont="1" applyBorder="1" applyAlignment="1">
      <alignment horizontal="center" vertical="center" wrapText="1"/>
    </xf>
    <xf numFmtId="0" fontId="44" fillId="0" borderId="0" xfId="2" applyFont="1" applyAlignment="1">
      <alignment horizontal="left" vertical="center" wrapText="1"/>
    </xf>
    <xf numFmtId="0" fontId="40" fillId="0" borderId="29" xfId="2" applyFont="1" applyBorder="1" applyAlignment="1">
      <alignment horizontal="center" vertical="center" wrapText="1"/>
    </xf>
    <xf numFmtId="0" fontId="40" fillId="0" borderId="33" xfId="2" applyFont="1" applyBorder="1" applyAlignment="1">
      <alignment horizontal="center" vertical="center" wrapText="1"/>
    </xf>
    <xf numFmtId="0" fontId="40" fillId="0" borderId="9" xfId="2" applyFont="1" applyBorder="1" applyAlignment="1">
      <alignment horizontal="center" vertical="center" wrapText="1"/>
    </xf>
    <xf numFmtId="0" fontId="40" fillId="0" borderId="30" xfId="2" applyFont="1" applyBorder="1" applyAlignment="1">
      <alignment horizontal="center" vertical="center" wrapText="1"/>
    </xf>
    <xf numFmtId="0" fontId="40" fillId="0" borderId="34" xfId="2" applyFont="1" applyBorder="1" applyAlignment="1">
      <alignment horizontal="center" vertical="center" wrapText="1"/>
    </xf>
    <xf numFmtId="0" fontId="27" fillId="0" borderId="31" xfId="2" applyFont="1" applyBorder="1" applyAlignment="1">
      <alignment horizontal="center" vertical="center" wrapText="1"/>
    </xf>
    <xf numFmtId="0" fontId="37" fillId="0" borderId="0" xfId="2" applyFont="1" applyAlignment="1">
      <alignment horizontal="right" vertical="center"/>
    </xf>
    <xf numFmtId="0" fontId="38" fillId="0" borderId="0" xfId="2" applyFont="1" applyAlignment="1">
      <alignment horizontal="center" vertical="center"/>
    </xf>
    <xf numFmtId="0" fontId="39" fillId="0" borderId="28" xfId="2" applyFont="1" applyBorder="1" applyAlignment="1">
      <alignment horizontal="center" vertical="center"/>
    </xf>
    <xf numFmtId="0" fontId="39" fillId="0" borderId="32" xfId="2" applyFont="1" applyBorder="1" applyAlignment="1">
      <alignment horizontal="center" vertical="center"/>
    </xf>
    <xf numFmtId="0" fontId="40" fillId="0" borderId="29" xfId="2" applyFont="1" applyBorder="1" applyAlignment="1">
      <alignment horizontal="center" vertical="center"/>
    </xf>
    <xf numFmtId="0" fontId="40" fillId="0" borderId="33" xfId="2" applyFont="1" applyBorder="1" applyAlignment="1">
      <alignment horizontal="center" vertical="center"/>
    </xf>
    <xf numFmtId="167" fontId="40" fillId="0" borderId="29" xfId="3" applyNumberFormat="1" applyFont="1" applyFill="1" applyBorder="1" applyAlignment="1">
      <alignment horizontal="center" vertical="center"/>
    </xf>
    <xf numFmtId="167" fontId="40" fillId="0" borderId="33" xfId="3" applyNumberFormat="1" applyFont="1" applyFill="1" applyBorder="1" applyAlignment="1">
      <alignment horizontal="center" vertical="center"/>
    </xf>
    <xf numFmtId="168" fontId="40" fillId="0" borderId="29" xfId="3" applyNumberFormat="1" applyFont="1" applyFill="1" applyBorder="1" applyAlignment="1">
      <alignment horizontal="center" vertical="center" wrapText="1"/>
    </xf>
    <xf numFmtId="168" fontId="40" fillId="0" borderId="33" xfId="3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16">
    <cellStyle name="Normal_(3) CEVA SRF V1.0" xfId="9" xr:uid="{9EB6DDCB-C875-4D56-BB5D-0D0C48BE3122}"/>
    <cellStyle name="Обычный" xfId="0" builtinId="0"/>
    <cellStyle name="Обычный 2" xfId="12" xr:uid="{DE6A5350-E713-4709-9B46-44A45C358B30}"/>
    <cellStyle name="Финансовый" xfId="1" builtinId="3"/>
    <cellStyle name="Финансовый [0] 101 2" xfId="8" xr:uid="{D3399F60-28F2-481B-938B-FFA1714D2612}"/>
    <cellStyle name="Финансовый [0] 124 2 2" xfId="6" xr:uid="{B6B16A11-8B06-4752-8045-46C8632A5432}"/>
    <cellStyle name="Финансовый [0] 13 10" xfId="7" xr:uid="{8226A097-CE43-408A-9970-BDBE5DE66F40}"/>
    <cellStyle name="Финансовый [0] 2" xfId="3" xr:uid="{74D449FF-D2A1-468B-8429-F3F614343D05}"/>
    <cellStyle name="쉼표 [0] 10 6 10" xfId="10" xr:uid="{1AEB89EF-D8F2-4CCE-868E-C8464D8B1B1F}"/>
    <cellStyle name="쉼표 [0] 11 13" xfId="11" xr:uid="{7EE00484-DD2C-45A3-9588-3AFF1E68A678}"/>
    <cellStyle name="쉼표 [0] 3" xfId="4" xr:uid="{0047B221-3BE0-4333-96E1-0E09A9D65A19}"/>
    <cellStyle name="통화 [0] 2" xfId="13" xr:uid="{759D4B26-7EF3-462F-930D-6AD74BFC35F0}"/>
    <cellStyle name="표준 2" xfId="2" xr:uid="{F8E622C3-73D8-46C8-B5F8-FD1C8B124F8C}"/>
    <cellStyle name="표준 4 2 15" xfId="5" xr:uid="{5DBA2395-75E8-4232-94E4-740E11CAB8F7}"/>
    <cellStyle name="표준_Sheet1_UZ AUG. 03" xfId="15" xr:uid="{7E203265-3280-4B5C-AD94-8EB74123AD92}"/>
    <cellStyle name="표준_Sheet1_UZAUG.04_UZ AUG. 03" xfId="14" xr:uid="{B28A90F9-4188-40B2-A875-0F2801E44D7A}"/>
  </cellStyles>
  <dxfs count="1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zp8nb\My%20Documents\LSC_BID_TEMPLATE%20ORIGIN%20AP%203-10-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WC%20-%20468%20(LCL)_JULY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"/>
      <sheetName val="BID PREPARER'S CONTACT INFO"/>
      <sheetName val="GLOSSARY"/>
      <sheetName val="FINANCE CONVERSION RATES"/>
      <sheetName val="CONSOLIDATION CENTER INFO"/>
      <sheetName val="OTHER CHARGES"/>
      <sheetName val="CURRENCY CODE"/>
      <sheetName val="LISTS"/>
      <sheetName val="AIRPORT CODES"/>
      <sheetName val="GB-IC Villingen GG"/>
      <sheetName val="AIR Airport Codes"/>
      <sheetName val="PLCL Port Names"/>
      <sheetName val="Curr_Code"/>
      <sheetName val="HOME"/>
      <sheetName val="Ryder References"/>
      <sheetName val="Reference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A2" t="str">
            <v>AED</v>
          </cell>
        </row>
        <row r="3">
          <cell r="A3" t="str">
            <v>ANG</v>
          </cell>
        </row>
        <row r="4">
          <cell r="A4" t="str">
            <v>ARS</v>
          </cell>
        </row>
        <row r="5">
          <cell r="A5" t="str">
            <v>AUD</v>
          </cell>
        </row>
        <row r="6">
          <cell r="A6" t="str">
            <v>AWG</v>
          </cell>
        </row>
        <row r="7">
          <cell r="A7" t="str">
            <v>BHD</v>
          </cell>
        </row>
        <row r="8">
          <cell r="A8" t="str">
            <v>BRL</v>
          </cell>
        </row>
        <row r="9">
          <cell r="A9" t="str">
            <v>BSD</v>
          </cell>
        </row>
        <row r="10">
          <cell r="A10" t="str">
            <v>CAD</v>
          </cell>
        </row>
        <row r="11">
          <cell r="A11" t="str">
            <v>CLP</v>
          </cell>
        </row>
        <row r="12">
          <cell r="A12" t="str">
            <v>CNY</v>
          </cell>
        </row>
        <row r="13">
          <cell r="A13" t="str">
            <v>COP</v>
          </cell>
        </row>
        <row r="14">
          <cell r="A14" t="str">
            <v>CZK</v>
          </cell>
        </row>
        <row r="15">
          <cell r="A15" t="str">
            <v>EGP</v>
          </cell>
        </row>
        <row r="16">
          <cell r="A16" t="str">
            <v>EUR</v>
          </cell>
        </row>
        <row r="17">
          <cell r="A17" t="str">
            <v>GBP</v>
          </cell>
        </row>
        <row r="18">
          <cell r="A18" t="str">
            <v>HKD</v>
          </cell>
        </row>
        <row r="19">
          <cell r="A19" t="str">
            <v>HUF</v>
          </cell>
        </row>
        <row r="20">
          <cell r="A20" t="str">
            <v>IDR</v>
          </cell>
        </row>
        <row r="21">
          <cell r="A21" t="str">
            <v>ILS</v>
          </cell>
        </row>
        <row r="22">
          <cell r="A22" t="str">
            <v>INR</v>
          </cell>
        </row>
        <row r="23">
          <cell r="A23" t="str">
            <v>JOD</v>
          </cell>
        </row>
        <row r="24">
          <cell r="A24" t="str">
            <v>JPY</v>
          </cell>
        </row>
        <row r="25">
          <cell r="A25" t="str">
            <v>KES</v>
          </cell>
        </row>
        <row r="26">
          <cell r="A26" t="str">
            <v>KRW</v>
          </cell>
        </row>
        <row r="27">
          <cell r="A27" t="str">
            <v>LBP</v>
          </cell>
        </row>
        <row r="28">
          <cell r="A28" t="str">
            <v>MXN</v>
          </cell>
        </row>
        <row r="29">
          <cell r="A29" t="str">
            <v>MYR</v>
          </cell>
        </row>
        <row r="30">
          <cell r="A30" t="str">
            <v>NZD</v>
          </cell>
        </row>
        <row r="31">
          <cell r="A31" t="str">
            <v>OMR</v>
          </cell>
        </row>
        <row r="32">
          <cell r="A32" t="str">
            <v>PAB</v>
          </cell>
        </row>
        <row r="33">
          <cell r="A33" t="str">
            <v>PEN</v>
          </cell>
        </row>
        <row r="34">
          <cell r="A34" t="str">
            <v>PHP</v>
          </cell>
        </row>
        <row r="35">
          <cell r="A35" t="str">
            <v>PLN</v>
          </cell>
        </row>
        <row r="36">
          <cell r="A36" t="str">
            <v>QAR</v>
          </cell>
        </row>
        <row r="37">
          <cell r="A37" t="str">
            <v>RON</v>
          </cell>
        </row>
        <row r="38">
          <cell r="A38" t="str">
            <v>SAR</v>
          </cell>
        </row>
        <row r="39">
          <cell r="A39" t="str">
            <v>SEK</v>
          </cell>
        </row>
        <row r="40">
          <cell r="A40" t="str">
            <v>SGD</v>
          </cell>
        </row>
        <row r="41">
          <cell r="A41" t="str">
            <v>SKK</v>
          </cell>
        </row>
        <row r="42">
          <cell r="A42" t="str">
            <v>SRD</v>
          </cell>
        </row>
        <row r="43">
          <cell r="A43" t="str">
            <v>SVC</v>
          </cell>
        </row>
        <row r="44">
          <cell r="A44" t="str">
            <v>SYP</v>
          </cell>
        </row>
        <row r="45">
          <cell r="A45" t="str">
            <v>THB</v>
          </cell>
        </row>
        <row r="46">
          <cell r="A46" t="str">
            <v>TND</v>
          </cell>
        </row>
        <row r="47">
          <cell r="A47" t="str">
            <v>TWD</v>
          </cell>
        </row>
        <row r="48">
          <cell r="A48" t="str">
            <v>USD</v>
          </cell>
        </row>
        <row r="49">
          <cell r="A49" t="str">
            <v>VEB</v>
          </cell>
        </row>
        <row r="50">
          <cell r="A50" t="str">
            <v>VND</v>
          </cell>
        </row>
        <row r="51">
          <cell r="A51" t="str">
            <v>ZAR</v>
          </cell>
        </row>
      </sheetData>
      <sheetData sheetId="7">
        <row r="2">
          <cell r="A2" t="str">
            <v>AIR</v>
          </cell>
          <cell r="B2" t="str">
            <v>D-D</v>
          </cell>
          <cell r="C2" t="str">
            <v>Afghanistan</v>
          </cell>
          <cell r="D2" t="str">
            <v>APO</v>
          </cell>
        </row>
        <row r="3">
          <cell r="A3" t="str">
            <v>OCEAN</v>
          </cell>
          <cell r="B3" t="str">
            <v>D-A</v>
          </cell>
          <cell r="C3" t="str">
            <v>Albania</v>
          </cell>
          <cell r="D3" t="str">
            <v>EU</v>
          </cell>
        </row>
        <row r="4">
          <cell r="A4" t="str">
            <v>PURELCL</v>
          </cell>
          <cell r="B4" t="str">
            <v>A-A</v>
          </cell>
          <cell r="C4" t="str">
            <v>Algeria</v>
          </cell>
          <cell r="D4" t="str">
            <v>LAAM</v>
          </cell>
        </row>
        <row r="5">
          <cell r="A5" t="str">
            <v>INLAND</v>
          </cell>
          <cell r="B5" t="str">
            <v>A-D</v>
          </cell>
          <cell r="C5" t="str">
            <v>American Samoa</v>
          </cell>
          <cell r="D5" t="str">
            <v>NA</v>
          </cell>
        </row>
        <row r="6">
          <cell r="B6" t="str">
            <v>D-P</v>
          </cell>
          <cell r="C6" t="str">
            <v>Andorra</v>
          </cell>
        </row>
        <row r="7">
          <cell r="B7" t="str">
            <v>P-P</v>
          </cell>
          <cell r="C7" t="str">
            <v>Angola</v>
          </cell>
        </row>
        <row r="8">
          <cell r="B8" t="str">
            <v>P-D</v>
          </cell>
          <cell r="C8" t="str">
            <v>Anguilla</v>
          </cell>
        </row>
        <row r="9">
          <cell r="C9" t="str">
            <v>Antigua And Barbuda</v>
          </cell>
        </row>
        <row r="10">
          <cell r="C10" t="str">
            <v>Argentina</v>
          </cell>
        </row>
        <row r="11">
          <cell r="C11" t="str">
            <v>Armenia</v>
          </cell>
        </row>
        <row r="12">
          <cell r="C12" t="str">
            <v>Aruba</v>
          </cell>
        </row>
        <row r="13">
          <cell r="C13" t="str">
            <v>Australia</v>
          </cell>
        </row>
        <row r="14">
          <cell r="C14" t="str">
            <v>Austria</v>
          </cell>
        </row>
        <row r="15">
          <cell r="C15" t="str">
            <v>Azerbaijan</v>
          </cell>
        </row>
        <row r="16">
          <cell r="C16" t="str">
            <v>Bahamas</v>
          </cell>
        </row>
        <row r="17">
          <cell r="C17" t="str">
            <v>Bahrain</v>
          </cell>
        </row>
        <row r="18">
          <cell r="C18" t="str">
            <v>Bangladesh</v>
          </cell>
        </row>
        <row r="19">
          <cell r="C19" t="str">
            <v>Barbados</v>
          </cell>
        </row>
        <row r="20">
          <cell r="C20" t="str">
            <v>Belarus</v>
          </cell>
        </row>
        <row r="21">
          <cell r="C21" t="str">
            <v>Belgium</v>
          </cell>
        </row>
        <row r="22">
          <cell r="C22" t="str">
            <v>Belize</v>
          </cell>
        </row>
        <row r="23">
          <cell r="C23" t="str">
            <v>Benin</v>
          </cell>
        </row>
        <row r="24">
          <cell r="C24" t="str">
            <v>Bermuda</v>
          </cell>
        </row>
        <row r="25">
          <cell r="C25" t="str">
            <v>Bhutan</v>
          </cell>
        </row>
        <row r="26">
          <cell r="C26" t="str">
            <v>Bolivia</v>
          </cell>
        </row>
        <row r="27">
          <cell r="C27" t="str">
            <v>Bosnia And Herzegovina</v>
          </cell>
        </row>
        <row r="28">
          <cell r="C28" t="str">
            <v>Botswana</v>
          </cell>
        </row>
        <row r="29">
          <cell r="C29" t="str">
            <v>Brazil</v>
          </cell>
        </row>
        <row r="30">
          <cell r="C30" t="str">
            <v>British Indian Ocean</v>
          </cell>
        </row>
        <row r="31">
          <cell r="C31" t="str">
            <v>Brunei Darussalam</v>
          </cell>
        </row>
        <row r="32">
          <cell r="C32" t="str">
            <v>Bulgaria</v>
          </cell>
        </row>
        <row r="33">
          <cell r="C33" t="str">
            <v>Burkina Faso</v>
          </cell>
        </row>
        <row r="34">
          <cell r="C34" t="str">
            <v>Burundi</v>
          </cell>
        </row>
        <row r="35">
          <cell r="C35" t="str">
            <v>Cambodia</v>
          </cell>
        </row>
        <row r="36">
          <cell r="C36" t="str">
            <v>Cameroon</v>
          </cell>
        </row>
        <row r="37">
          <cell r="C37" t="str">
            <v>Canada</v>
          </cell>
        </row>
        <row r="38">
          <cell r="C38" t="str">
            <v>Cape Verde</v>
          </cell>
        </row>
        <row r="39">
          <cell r="C39" t="str">
            <v>Cayman Islands</v>
          </cell>
        </row>
        <row r="40">
          <cell r="C40" t="str">
            <v>Central African Republic</v>
          </cell>
        </row>
        <row r="41">
          <cell r="C41" t="str">
            <v>Chad</v>
          </cell>
        </row>
        <row r="42">
          <cell r="C42" t="str">
            <v>Chile</v>
          </cell>
        </row>
        <row r="43">
          <cell r="C43" t="str">
            <v>China</v>
          </cell>
        </row>
        <row r="44">
          <cell r="C44" t="str">
            <v>Christmas Island</v>
          </cell>
        </row>
        <row r="45">
          <cell r="C45" t="str">
            <v>Cocos (Keeling) Islands</v>
          </cell>
        </row>
        <row r="46">
          <cell r="C46" t="str">
            <v>Colombia</v>
          </cell>
        </row>
        <row r="47">
          <cell r="C47" t="str">
            <v>Comoros</v>
          </cell>
        </row>
        <row r="48">
          <cell r="C48" t="str">
            <v>Congo</v>
          </cell>
        </row>
        <row r="49">
          <cell r="C49" t="str">
            <v>Congo, The Democratic Republic Of The</v>
          </cell>
        </row>
        <row r="50">
          <cell r="C50" t="str">
            <v>Cook Islands</v>
          </cell>
        </row>
        <row r="51">
          <cell r="C51" t="str">
            <v>Costa Rica</v>
          </cell>
        </row>
        <row r="52">
          <cell r="C52" t="str">
            <v>Cote D'Ivoire</v>
          </cell>
        </row>
        <row r="53">
          <cell r="C53" t="str">
            <v>Croatia</v>
          </cell>
        </row>
        <row r="54">
          <cell r="C54" t="str">
            <v>Cuba</v>
          </cell>
        </row>
        <row r="55">
          <cell r="C55" t="str">
            <v>Cyprus</v>
          </cell>
        </row>
        <row r="56">
          <cell r="C56" t="str">
            <v>Czech Republic</v>
          </cell>
        </row>
        <row r="57">
          <cell r="C57" t="str">
            <v>Denmark</v>
          </cell>
        </row>
        <row r="58">
          <cell r="C58" t="str">
            <v>Djibouti</v>
          </cell>
        </row>
        <row r="59">
          <cell r="C59" t="str">
            <v>Dominica</v>
          </cell>
        </row>
        <row r="60">
          <cell r="C60" t="str">
            <v>Dominican Republic</v>
          </cell>
        </row>
        <row r="61">
          <cell r="C61" t="str">
            <v>Ecuador</v>
          </cell>
        </row>
        <row r="62">
          <cell r="C62" t="str">
            <v>Egypt</v>
          </cell>
        </row>
        <row r="63">
          <cell r="C63" t="str">
            <v>El Salvador</v>
          </cell>
        </row>
        <row r="64">
          <cell r="C64" t="str">
            <v>Equatorial Guinea</v>
          </cell>
        </row>
        <row r="65">
          <cell r="C65" t="str">
            <v>Eritrea</v>
          </cell>
        </row>
        <row r="66">
          <cell r="C66" t="str">
            <v>Estonia</v>
          </cell>
        </row>
        <row r="67">
          <cell r="C67" t="str">
            <v>Ethiopia</v>
          </cell>
        </row>
        <row r="68">
          <cell r="C68" t="str">
            <v>Falkland Islands (Malvinas)</v>
          </cell>
        </row>
        <row r="69">
          <cell r="C69" t="str">
            <v>Faroe Islands</v>
          </cell>
        </row>
        <row r="70">
          <cell r="C70" t="str">
            <v>Fiji</v>
          </cell>
        </row>
        <row r="71">
          <cell r="C71" t="str">
            <v>Finland</v>
          </cell>
        </row>
        <row r="72">
          <cell r="C72" t="str">
            <v>France</v>
          </cell>
        </row>
        <row r="73">
          <cell r="C73" t="str">
            <v>French Guiana</v>
          </cell>
        </row>
        <row r="74">
          <cell r="C74" t="str">
            <v>French Polynesia</v>
          </cell>
        </row>
        <row r="75">
          <cell r="C75" t="str">
            <v>Gabon</v>
          </cell>
        </row>
        <row r="76">
          <cell r="C76" t="str">
            <v>Gambia</v>
          </cell>
        </row>
        <row r="77">
          <cell r="C77" t="str">
            <v>Georgia</v>
          </cell>
        </row>
        <row r="78">
          <cell r="C78" t="str">
            <v>Germany</v>
          </cell>
        </row>
        <row r="79">
          <cell r="C79" t="str">
            <v>Ghana</v>
          </cell>
        </row>
        <row r="80">
          <cell r="C80" t="str">
            <v>Gibraltar</v>
          </cell>
        </row>
        <row r="81">
          <cell r="C81" t="str">
            <v>Greece</v>
          </cell>
        </row>
        <row r="82">
          <cell r="C82" t="str">
            <v>Greenland</v>
          </cell>
        </row>
        <row r="83">
          <cell r="C83" t="str">
            <v>Grenada</v>
          </cell>
        </row>
        <row r="84">
          <cell r="C84" t="str">
            <v>Guadeloupe</v>
          </cell>
        </row>
        <row r="85">
          <cell r="C85" t="str">
            <v>Guam</v>
          </cell>
        </row>
        <row r="86">
          <cell r="C86" t="str">
            <v>Guatemala</v>
          </cell>
        </row>
        <row r="87">
          <cell r="C87" t="str">
            <v>Guinea</v>
          </cell>
        </row>
        <row r="88">
          <cell r="C88" t="str">
            <v>Guinea-Bissau</v>
          </cell>
        </row>
        <row r="89">
          <cell r="C89" t="str">
            <v>Guyana</v>
          </cell>
        </row>
        <row r="90">
          <cell r="C90" t="str">
            <v>Haiti</v>
          </cell>
        </row>
        <row r="91">
          <cell r="C91" t="str">
            <v>Heard Island And Mcdonald Islands</v>
          </cell>
        </row>
        <row r="92">
          <cell r="C92" t="str">
            <v>Holy See (Vatican City State)</v>
          </cell>
        </row>
        <row r="93">
          <cell r="C93" t="str">
            <v>Honduras</v>
          </cell>
        </row>
        <row r="94">
          <cell r="C94" t="str">
            <v>Hong Kong</v>
          </cell>
        </row>
        <row r="95">
          <cell r="C95" t="str">
            <v>Hungary</v>
          </cell>
        </row>
        <row r="96">
          <cell r="C96" t="str">
            <v>Iceland</v>
          </cell>
        </row>
        <row r="97">
          <cell r="C97" t="str">
            <v>India</v>
          </cell>
        </row>
        <row r="98">
          <cell r="C98" t="str">
            <v>Indonesia</v>
          </cell>
        </row>
        <row r="99">
          <cell r="C99" t="str">
            <v>Iran, Islamic Republic Of</v>
          </cell>
        </row>
        <row r="100">
          <cell r="C100" t="str">
            <v>Iraq</v>
          </cell>
        </row>
        <row r="101">
          <cell r="C101" t="str">
            <v>Ireland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 Of</v>
          </cell>
        </row>
        <row r="111">
          <cell r="C111" t="str">
            <v>Korea, Republic Of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>Macao</v>
          </cell>
        </row>
        <row r="124">
          <cell r="C124" t="str">
            <v>Macedonia, The Former Yugoslav Republic Of</v>
          </cell>
        </row>
        <row r="125">
          <cell r="C125" t="str">
            <v>Madagascar</v>
          </cell>
        </row>
        <row r="126">
          <cell r="C126" t="str">
            <v>Malawi</v>
          </cell>
        </row>
        <row r="127">
          <cell r="C127" t="str">
            <v>Malaysia</v>
          </cell>
        </row>
        <row r="128">
          <cell r="C128" t="str">
            <v>Maldives</v>
          </cell>
        </row>
        <row r="129">
          <cell r="C129" t="str">
            <v>Mali</v>
          </cell>
        </row>
        <row r="130">
          <cell r="C130" t="str">
            <v>Malta</v>
          </cell>
        </row>
        <row r="131">
          <cell r="C131" t="str">
            <v>Marshall Islands</v>
          </cell>
        </row>
        <row r="132">
          <cell r="C132" t="str">
            <v>Martinique</v>
          </cell>
        </row>
        <row r="133">
          <cell r="C133" t="str">
            <v>Mauritania</v>
          </cell>
        </row>
        <row r="134">
          <cell r="C134" t="str">
            <v>Mauritius</v>
          </cell>
        </row>
        <row r="135">
          <cell r="C135" t="str">
            <v>Mayotte</v>
          </cell>
        </row>
        <row r="136">
          <cell r="C136" t="str">
            <v>Mexico</v>
          </cell>
        </row>
        <row r="137">
          <cell r="C137" t="str">
            <v>Micronesia, Federated States Of</v>
          </cell>
        </row>
        <row r="138">
          <cell r="C138" t="str">
            <v>Moldova, Republic Of</v>
          </cell>
        </row>
        <row r="139">
          <cell r="C139" t="str">
            <v>Monaco</v>
          </cell>
        </row>
        <row r="140">
          <cell r="C140" t="str">
            <v>Mongolia</v>
          </cell>
        </row>
        <row r="141">
          <cell r="C141" t="str">
            <v>Montserrat</v>
          </cell>
        </row>
        <row r="142">
          <cell r="C142" t="str">
            <v>Morocco</v>
          </cell>
        </row>
        <row r="143">
          <cell r="C143" t="str">
            <v>Mozambique</v>
          </cell>
        </row>
        <row r="144">
          <cell r="C144" t="str">
            <v>Myanmar</v>
          </cell>
        </row>
        <row r="145">
          <cell r="C145" t="str">
            <v>Namibia</v>
          </cell>
        </row>
        <row r="146">
          <cell r="C146" t="str">
            <v>Nauru</v>
          </cell>
        </row>
        <row r="147">
          <cell r="C147" t="str">
            <v>Nepal</v>
          </cell>
        </row>
        <row r="148">
          <cell r="C148" t="str">
            <v>Netherlands</v>
          </cell>
        </row>
        <row r="149">
          <cell r="C149" t="str">
            <v>Netherlands Antilles</v>
          </cell>
        </row>
        <row r="150">
          <cell r="C150" t="str">
            <v>New Caledonia</v>
          </cell>
        </row>
        <row r="151">
          <cell r="C151" t="str">
            <v>New Zealand</v>
          </cell>
        </row>
        <row r="152">
          <cell r="C152" t="str">
            <v>Nicaragua</v>
          </cell>
        </row>
        <row r="153">
          <cell r="C153" t="str">
            <v>Niger</v>
          </cell>
        </row>
        <row r="154">
          <cell r="C154" t="str">
            <v>Nigeria</v>
          </cell>
        </row>
        <row r="155">
          <cell r="C155" t="str">
            <v>Niue</v>
          </cell>
        </row>
        <row r="156">
          <cell r="C156" t="str">
            <v>Norfolk Island</v>
          </cell>
        </row>
        <row r="157">
          <cell r="C157" t="str">
            <v>Northern Mariana Islands</v>
          </cell>
        </row>
        <row r="158">
          <cell r="C158" t="str">
            <v>Norway</v>
          </cell>
        </row>
        <row r="159">
          <cell r="C159" t="str">
            <v>Oman</v>
          </cell>
        </row>
        <row r="160">
          <cell r="C160" t="str">
            <v>Pakistan</v>
          </cell>
        </row>
        <row r="161">
          <cell r="C161" t="str">
            <v>Palau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Helena</v>
          </cell>
        </row>
        <row r="177">
          <cell r="C177" t="str">
            <v>Saint Kitts And Nevis</v>
          </cell>
        </row>
        <row r="178">
          <cell r="C178" t="str">
            <v>Saint Lucia</v>
          </cell>
        </row>
        <row r="179">
          <cell r="C179" t="str">
            <v>Saint Pierre And Miquelon</v>
          </cell>
        </row>
        <row r="180">
          <cell r="C180" t="str">
            <v>Saint Vincent And The Grenadines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 And Montenegro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South Georgia And The South Sandwich Islands</v>
          </cell>
        </row>
        <row r="196">
          <cell r="C196" t="str">
            <v>Spain</v>
          </cell>
        </row>
        <row r="197">
          <cell r="C197" t="str">
            <v>Sri Lanka</v>
          </cell>
        </row>
        <row r="198">
          <cell r="C198" t="str">
            <v>Sudan</v>
          </cell>
        </row>
        <row r="199">
          <cell r="C199" t="str">
            <v>Suriname</v>
          </cell>
        </row>
        <row r="200">
          <cell r="C200" t="str">
            <v>Svalbard And Jan Mayen</v>
          </cell>
        </row>
        <row r="201">
          <cell r="C201" t="str">
            <v>Swaziland</v>
          </cell>
        </row>
        <row r="202">
          <cell r="C202" t="str">
            <v>Sweden</v>
          </cell>
        </row>
        <row r="203">
          <cell r="C203" t="str">
            <v>Switzerland</v>
          </cell>
        </row>
        <row r="204">
          <cell r="C204" t="str">
            <v>Syrian Arab Republic</v>
          </cell>
        </row>
        <row r="205">
          <cell r="C205" t="str">
            <v>Taiwan, Province Of China</v>
          </cell>
        </row>
        <row r="206">
          <cell r="C206" t="str">
            <v>Tajikistan</v>
          </cell>
        </row>
        <row r="207">
          <cell r="C207" t="str">
            <v>Tanzania, United Republic Of</v>
          </cell>
        </row>
        <row r="208">
          <cell r="C208" t="str">
            <v>Thailand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</v>
          </cell>
        </row>
        <row r="223">
          <cell r="C223" t="str">
            <v>Uruguay</v>
          </cell>
        </row>
        <row r="224">
          <cell r="C224" t="str">
            <v>Uzbekistan</v>
          </cell>
        </row>
        <row r="225">
          <cell r="C225" t="str">
            <v>Vanuatu</v>
          </cell>
        </row>
        <row r="226">
          <cell r="C226" t="str">
            <v>Venezuela</v>
          </cell>
        </row>
        <row r="227">
          <cell r="C227" t="str">
            <v>Viet Nam</v>
          </cell>
        </row>
        <row r="228">
          <cell r="C228" t="str">
            <v>Virgin Islands, British</v>
          </cell>
        </row>
        <row r="229">
          <cell r="C229" t="str">
            <v>Virgin Islands, U.S.</v>
          </cell>
        </row>
        <row r="230">
          <cell r="C230" t="str">
            <v>Wallis And Futuna</v>
          </cell>
        </row>
        <row r="231">
          <cell r="C231" t="str">
            <v>Western Sahara</v>
          </cell>
        </row>
        <row r="232">
          <cell r="C232" t="str">
            <v>Yemen</v>
          </cell>
        </row>
        <row r="233">
          <cell r="C233" t="str">
            <v>Zambia</v>
          </cell>
        </row>
        <row r="234">
          <cell r="C234" t="str">
            <v>Zimbabwe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ACT"/>
      <sheetName val="АКТ"/>
      <sheetName val="Appendix"/>
      <sheetName val="FTL Rates"/>
      <sheetName val="Add.fees"/>
      <sheetName val="Truck usage"/>
      <sheetName val="Vendor list"/>
    </sheetNames>
    <sheetDataSet>
      <sheetData sheetId="0">
        <row r="21">
          <cell r="E21" t="str">
            <v>No. 468 LCL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4">
          <cell r="E4">
            <v>50000</v>
          </cell>
          <cell r="F4">
            <v>50000</v>
          </cell>
          <cell r="G4" t="str">
            <v>40'HC</v>
          </cell>
        </row>
        <row r="5">
          <cell r="E5">
            <v>185400</v>
          </cell>
          <cell r="F5">
            <v>133900</v>
          </cell>
          <cell r="G5" t="str">
            <v>40'</v>
          </cell>
        </row>
        <row r="6">
          <cell r="E6">
            <v>9100</v>
          </cell>
          <cell r="F6">
            <v>4600</v>
          </cell>
          <cell r="G6" t="str">
            <v>20'</v>
          </cell>
        </row>
        <row r="7">
          <cell r="E7">
            <v>193800</v>
          </cell>
          <cell r="F7">
            <v>112200</v>
          </cell>
        </row>
        <row r="8">
          <cell r="E8">
            <v>280500</v>
          </cell>
          <cell r="F8">
            <v>280500</v>
          </cell>
          <cell r="G8" t="str">
            <v>Busan</v>
          </cell>
        </row>
        <row r="9">
          <cell r="E9">
            <v>271000</v>
          </cell>
          <cell r="F9">
            <v>258000</v>
          </cell>
          <cell r="G9" t="str">
            <v>Incheon</v>
          </cell>
        </row>
        <row r="10">
          <cell r="E10">
            <v>460000</v>
          </cell>
        </row>
        <row r="11">
          <cell r="F11">
            <v>8490</v>
          </cell>
        </row>
      </sheetData>
      <sheetData sheetId="6" refreshError="1"/>
      <sheetData sheetId="7">
        <row r="3">
          <cell r="A3" t="str">
            <v>KIMSCO</v>
          </cell>
          <cell r="C3" t="str">
            <v>Busan</v>
          </cell>
        </row>
        <row r="4">
          <cell r="A4" t="str">
            <v>Addchem</v>
          </cell>
          <cell r="C4" t="str">
            <v>Busan</v>
          </cell>
          <cell r="D4" t="str">
            <v>FOB</v>
          </cell>
        </row>
        <row r="5">
          <cell r="A5" t="str">
            <v>ALPS</v>
          </cell>
          <cell r="B5" t="str">
            <v>GungSan / Gunsan</v>
          </cell>
          <cell r="C5" t="str">
            <v>Busan</v>
          </cell>
          <cell r="D5" t="str">
            <v>FCA</v>
          </cell>
        </row>
        <row r="6">
          <cell r="A6" t="str">
            <v>A-Tech Solution</v>
          </cell>
          <cell r="C6" t="str">
            <v>Busan</v>
          </cell>
          <cell r="D6" t="str">
            <v>FOB</v>
          </cell>
        </row>
        <row r="7">
          <cell r="A7" t="str">
            <v>Base Carrier</v>
          </cell>
          <cell r="C7" t="str">
            <v>Busan</v>
          </cell>
          <cell r="D7" t="str">
            <v>FOB</v>
          </cell>
        </row>
        <row r="8">
          <cell r="A8" t="str">
            <v>Bawoo Auto</v>
          </cell>
          <cell r="C8" t="str">
            <v>Busan</v>
          </cell>
          <cell r="D8" t="str">
            <v>FOB</v>
          </cell>
        </row>
        <row r="9">
          <cell r="A9" t="str">
            <v>Central</v>
          </cell>
          <cell r="B9" t="str">
            <v>Changwon</v>
          </cell>
          <cell r="C9" t="str">
            <v>Busan</v>
          </cell>
          <cell r="D9" t="str">
            <v>FOB</v>
          </cell>
        </row>
        <row r="10">
          <cell r="A10" t="str">
            <v>Changjin</v>
          </cell>
          <cell r="C10" t="str">
            <v>Busan</v>
          </cell>
          <cell r="D10" t="str">
            <v>FOB</v>
          </cell>
        </row>
        <row r="11">
          <cell r="A11" t="str">
            <v>Changwon</v>
          </cell>
          <cell r="B11" t="str">
            <v>Juan / Incheon</v>
          </cell>
          <cell r="C11" t="str">
            <v>Busan</v>
          </cell>
          <cell r="D11" t="str">
            <v>FCA</v>
          </cell>
        </row>
        <row r="12">
          <cell r="A12" t="str">
            <v>Chunil Eng</v>
          </cell>
          <cell r="B12" t="str">
            <v>Juan / Incheon</v>
          </cell>
          <cell r="C12" t="str">
            <v>Busan</v>
          </cell>
          <cell r="D12" t="str">
            <v>FCA</v>
          </cell>
        </row>
        <row r="13">
          <cell r="A13" t="str">
            <v>Contitech Fluid</v>
          </cell>
          <cell r="B13" t="str">
            <v>Chunan</v>
          </cell>
          <cell r="C13" t="str">
            <v>Busan</v>
          </cell>
          <cell r="D13" t="str">
            <v>FCA</v>
          </cell>
        </row>
        <row r="14">
          <cell r="A14" t="str">
            <v>Cosmo Eng</v>
          </cell>
          <cell r="B14" t="str">
            <v>Gimpo</v>
          </cell>
          <cell r="C14" t="str">
            <v>Busan</v>
          </cell>
          <cell r="D14" t="str">
            <v>FCA</v>
          </cell>
        </row>
        <row r="15">
          <cell r="A15" t="str">
            <v>Daeshin</v>
          </cell>
          <cell r="B15" t="str">
            <v>Hwasung</v>
          </cell>
          <cell r="C15" t="str">
            <v>Busan</v>
          </cell>
          <cell r="D15" t="str">
            <v>FCA</v>
          </cell>
        </row>
        <row r="16">
          <cell r="A16" t="str">
            <v>Daewonkangup (DWKU)</v>
          </cell>
          <cell r="B16" t="str">
            <v>Chunan</v>
          </cell>
          <cell r="C16" t="str">
            <v>Busan</v>
          </cell>
          <cell r="D16" t="str">
            <v>FCA</v>
          </cell>
        </row>
        <row r="17">
          <cell r="A17" t="str">
            <v>Deerfos</v>
          </cell>
          <cell r="C17" t="str">
            <v>Busan</v>
          </cell>
          <cell r="D17" t="str">
            <v>FOB</v>
          </cell>
        </row>
        <row r="18">
          <cell r="A18" t="str">
            <v>DEKO ENGINEERING</v>
          </cell>
          <cell r="C18" t="str">
            <v>Busan</v>
          </cell>
          <cell r="D18" t="str">
            <v>FOB</v>
          </cell>
        </row>
        <row r="19">
          <cell r="A19" t="str">
            <v>DMC</v>
          </cell>
          <cell r="B19" t="str">
            <v>Waeguan</v>
          </cell>
          <cell r="C19" t="str">
            <v>Busan</v>
          </cell>
          <cell r="D19" t="str">
            <v>FCA</v>
          </cell>
        </row>
        <row r="20">
          <cell r="A20" t="str">
            <v>Doolim Yaskawa</v>
          </cell>
          <cell r="C20" t="str">
            <v>Busan</v>
          </cell>
          <cell r="D20" t="str">
            <v>FOB</v>
          </cell>
        </row>
        <row r="21">
          <cell r="A21" t="str">
            <v>Erae AMS</v>
          </cell>
          <cell r="B21" t="str">
            <v>Daegu</v>
          </cell>
          <cell r="C21" t="str">
            <v>Busan</v>
          </cell>
          <cell r="D21" t="str">
            <v>FCA</v>
          </cell>
        </row>
        <row r="22">
          <cell r="A22" t="str">
            <v>Erae Automotive Systems (KDAC)</v>
          </cell>
          <cell r="C22" t="str">
            <v>Busan</v>
          </cell>
        </row>
        <row r="23">
          <cell r="A23" t="str">
            <v>Evergreen Motors</v>
          </cell>
          <cell r="C23" t="str">
            <v>Busan</v>
          </cell>
        </row>
        <row r="24">
          <cell r="A24" t="str">
            <v>Exq company</v>
          </cell>
          <cell r="C24" t="str">
            <v>Busan</v>
          </cell>
          <cell r="D24" t="str">
            <v>FOB</v>
          </cell>
        </row>
        <row r="25">
          <cell r="A25" t="str">
            <v>Exq Korea</v>
          </cell>
          <cell r="C25" t="str">
            <v>Busan</v>
          </cell>
          <cell r="D25" t="str">
            <v>FOB</v>
          </cell>
        </row>
        <row r="26">
          <cell r="A26" t="str">
            <v>Hands Corporation [Donghwa]</v>
          </cell>
          <cell r="C26" t="str">
            <v>Busan</v>
          </cell>
          <cell r="D26" t="str">
            <v>FCA</v>
          </cell>
        </row>
        <row r="27">
          <cell r="A27" t="str">
            <v>Hansung</v>
          </cell>
          <cell r="B27" t="str">
            <v>Juan / Incheon</v>
          </cell>
          <cell r="C27" t="str">
            <v>Busan</v>
          </cell>
          <cell r="D27" t="str">
            <v>FCA</v>
          </cell>
        </row>
        <row r="28">
          <cell r="A28" t="str">
            <v>HKC</v>
          </cell>
          <cell r="C28" t="str">
            <v>Busan</v>
          </cell>
          <cell r="D28" t="str">
            <v>FOB</v>
          </cell>
        </row>
        <row r="29">
          <cell r="A29" t="str">
            <v>Humax Automotive</v>
          </cell>
          <cell r="B29" t="str">
            <v>Kyungkido Yongin</v>
          </cell>
          <cell r="C29" t="str">
            <v>Busan</v>
          </cell>
          <cell r="D29" t="str">
            <v>FCA</v>
          </cell>
        </row>
        <row r="30">
          <cell r="A30" t="str">
            <v>Hutchinson Korea</v>
          </cell>
          <cell r="B30" t="str">
            <v>Eumsung</v>
          </cell>
          <cell r="C30" t="str">
            <v>Busan</v>
          </cell>
          <cell r="D30" t="str">
            <v>FCA</v>
          </cell>
        </row>
        <row r="31">
          <cell r="A31" t="str">
            <v>Hwaseung R&amp;A</v>
          </cell>
          <cell r="B31" t="str">
            <v>Yangsan</v>
          </cell>
          <cell r="C31" t="str">
            <v>Busan</v>
          </cell>
          <cell r="D31" t="str">
            <v>FCA</v>
          </cell>
        </row>
        <row r="32">
          <cell r="A32" t="str">
            <v>HWASUNG</v>
          </cell>
          <cell r="B32" t="str">
            <v>Daegu</v>
          </cell>
          <cell r="C32" t="str">
            <v>Busan</v>
          </cell>
          <cell r="D32" t="str">
            <v>FCA</v>
          </cell>
        </row>
        <row r="33">
          <cell r="A33" t="str">
            <v>Hyundai Wia</v>
          </cell>
          <cell r="B33" t="str">
            <v>Changwon</v>
          </cell>
          <cell r="C33" t="str">
            <v>Busan</v>
          </cell>
          <cell r="D33" t="str">
            <v>FCA</v>
          </cell>
        </row>
        <row r="34">
          <cell r="A34" t="str">
            <v>Iljin Global</v>
          </cell>
          <cell r="B34" t="str">
            <v>Jecheon</v>
          </cell>
          <cell r="C34" t="str">
            <v>Busan</v>
          </cell>
          <cell r="D34" t="str">
            <v>FCA</v>
          </cell>
        </row>
        <row r="35">
          <cell r="A35" t="str">
            <v>Jeio Tech</v>
          </cell>
          <cell r="C35" t="str">
            <v>Busan</v>
          </cell>
        </row>
        <row r="36">
          <cell r="A36" t="str">
            <v xml:space="preserve">JPC </v>
          </cell>
          <cell r="C36" t="str">
            <v>Busan</v>
          </cell>
        </row>
        <row r="37">
          <cell r="A37" t="str">
            <v>KAD Korea</v>
          </cell>
          <cell r="C37" t="str">
            <v>Busan</v>
          </cell>
          <cell r="D37" t="str">
            <v>FOB</v>
          </cell>
        </row>
        <row r="38">
          <cell r="A38" t="str">
            <v>KDS</v>
          </cell>
          <cell r="B38" t="str">
            <v>Kyungsan</v>
          </cell>
          <cell r="C38" t="str">
            <v>Busan</v>
          </cell>
          <cell r="D38" t="str">
            <v>FCA</v>
          </cell>
        </row>
        <row r="39">
          <cell r="A39" t="str">
            <v>Korea Hoist</v>
          </cell>
          <cell r="C39" t="str">
            <v>Busan</v>
          </cell>
          <cell r="D39" t="str">
            <v>FOB</v>
          </cell>
        </row>
        <row r="40">
          <cell r="A40" t="str">
            <v>Korea Toho</v>
          </cell>
          <cell r="C40" t="str">
            <v>Busan</v>
          </cell>
        </row>
        <row r="41">
          <cell r="A41" t="str">
            <v>KUKDONG HOIST</v>
          </cell>
          <cell r="C41" t="str">
            <v>Busan</v>
          </cell>
          <cell r="D41" t="str">
            <v>FOB</v>
          </cell>
        </row>
        <row r="42">
          <cell r="A42" t="str">
            <v>Kukdong Jeyen</v>
          </cell>
          <cell r="C42" t="str">
            <v>Busan</v>
          </cell>
        </row>
        <row r="43">
          <cell r="A43" t="str">
            <v>KWANG MYUNG</v>
          </cell>
          <cell r="C43" t="str">
            <v>Busan</v>
          </cell>
          <cell r="D43" t="str">
            <v>FOB</v>
          </cell>
        </row>
        <row r="44">
          <cell r="A44" t="str">
            <v>Kwangsung</v>
          </cell>
          <cell r="C44" t="str">
            <v>Busan</v>
          </cell>
          <cell r="D44" t="str">
            <v>FOB</v>
          </cell>
        </row>
        <row r="45">
          <cell r="A45" t="str">
            <v>Mahle donghyun</v>
          </cell>
          <cell r="C45" t="str">
            <v>Busan</v>
          </cell>
          <cell r="D45" t="str">
            <v>FOB</v>
          </cell>
        </row>
        <row r="46">
          <cell r="A46" t="str">
            <v>Mando Iksan</v>
          </cell>
          <cell r="B46" t="str">
            <v>GungSan / Gunsan</v>
          </cell>
          <cell r="C46" t="str">
            <v>Busan</v>
          </cell>
          <cell r="D46" t="str">
            <v>FCA</v>
          </cell>
        </row>
        <row r="47">
          <cell r="A47" t="str">
            <v>SH-BP(GEM PROJECT)</v>
          </cell>
          <cell r="B47" t="str">
            <v>GungSan / Gunsan</v>
          </cell>
          <cell r="C47" t="str">
            <v>Busan</v>
          </cell>
          <cell r="D47" t="str">
            <v>FCA</v>
          </cell>
        </row>
        <row r="48">
          <cell r="A48" t="str">
            <v>Mando Pyungtaek</v>
          </cell>
          <cell r="B48" t="str">
            <v>Pyeongtaek</v>
          </cell>
          <cell r="C48" t="str">
            <v>Busan</v>
          </cell>
          <cell r="D48" t="str">
            <v>FCA</v>
          </cell>
        </row>
        <row r="49">
          <cell r="A49" t="str">
            <v>Mando Wonju</v>
          </cell>
          <cell r="B49" t="str">
            <v>Jecheon</v>
          </cell>
          <cell r="C49" t="str">
            <v>Busan</v>
          </cell>
          <cell r="D49" t="str">
            <v>FCA</v>
          </cell>
        </row>
        <row r="50">
          <cell r="A50" t="str">
            <v>MID&amp;H</v>
          </cell>
          <cell r="C50" t="str">
            <v>Busan</v>
          </cell>
          <cell r="D50" t="str">
            <v>FOB</v>
          </cell>
        </row>
        <row r="51">
          <cell r="A51" t="str">
            <v>MS ELEMEC</v>
          </cell>
          <cell r="C51" t="str">
            <v>Busan</v>
          </cell>
          <cell r="D51" t="str">
            <v>FOB</v>
          </cell>
        </row>
        <row r="52">
          <cell r="A52" t="str">
            <v>Namyang NEXMO</v>
          </cell>
          <cell r="B52" t="str">
            <v>Ansan</v>
          </cell>
          <cell r="C52" t="str">
            <v>Busan</v>
          </cell>
          <cell r="D52" t="str">
            <v>FCA</v>
          </cell>
        </row>
        <row r="53">
          <cell r="A53" t="str">
            <v>Obara Korea</v>
          </cell>
          <cell r="C53" t="str">
            <v>Busan</v>
          </cell>
          <cell r="D53" t="str">
            <v>FOB</v>
          </cell>
        </row>
        <row r="54">
          <cell r="A54" t="str">
            <v>Polypia</v>
          </cell>
          <cell r="C54" t="str">
            <v>Busan</v>
          </cell>
        </row>
        <row r="55">
          <cell r="A55" t="str">
            <v>Pyeonghwa</v>
          </cell>
          <cell r="B55" t="str">
            <v>Seongju-gun / sungju</v>
          </cell>
          <cell r="C55" t="str">
            <v>Busan</v>
          </cell>
          <cell r="D55" t="str">
            <v>FCA</v>
          </cell>
        </row>
        <row r="56">
          <cell r="A56" t="str">
            <v>Robert Bosch</v>
          </cell>
          <cell r="C56" t="str">
            <v>Busan</v>
          </cell>
        </row>
        <row r="57">
          <cell r="A57" t="str">
            <v>LG Chem for UzDongYang</v>
          </cell>
          <cell r="C57" t="str">
            <v>Busan</v>
          </cell>
          <cell r="D57" t="str">
            <v>FOB</v>
          </cell>
        </row>
        <row r="58">
          <cell r="A58" t="str">
            <v>Robowel</v>
          </cell>
          <cell r="C58" t="str">
            <v>Busan</v>
          </cell>
          <cell r="D58" t="str">
            <v>FOB</v>
          </cell>
        </row>
        <row r="59">
          <cell r="A59" t="str">
            <v>GW International for UzKoram Asaka</v>
          </cell>
          <cell r="C59" t="str">
            <v>Busan</v>
          </cell>
          <cell r="D59" t="str">
            <v>FOB</v>
          </cell>
        </row>
        <row r="60">
          <cell r="A60" t="str">
            <v>GW International for UzKoram (FOB)</v>
          </cell>
          <cell r="C60" t="str">
            <v>Busan</v>
          </cell>
          <cell r="D60" t="str">
            <v>FOB</v>
          </cell>
        </row>
        <row r="61">
          <cell r="A61" t="str">
            <v>Youngpoong Global</v>
          </cell>
          <cell r="C61" t="str">
            <v>Busan</v>
          </cell>
          <cell r="D61" t="str">
            <v>FOB</v>
          </cell>
        </row>
        <row r="62">
          <cell r="A62" t="str">
            <v>SNT Motiv</v>
          </cell>
          <cell r="B62" t="str">
            <v>Busan</v>
          </cell>
          <cell r="C62" t="str">
            <v>Busan</v>
          </cell>
          <cell r="D62" t="str">
            <v>FCA</v>
          </cell>
        </row>
        <row r="63">
          <cell r="A63" t="str">
            <v>Saelim GMT</v>
          </cell>
          <cell r="C63" t="str">
            <v>Busan</v>
          </cell>
        </row>
        <row r="64">
          <cell r="A64" t="str">
            <v>Saeyoung Tech</v>
          </cell>
          <cell r="B64" t="str">
            <v>Pyeongtaek</v>
          </cell>
          <cell r="C64" t="str">
            <v>Busan</v>
          </cell>
          <cell r="D64" t="str">
            <v>FCA</v>
          </cell>
        </row>
        <row r="65">
          <cell r="A65" t="str">
            <v>Samshin</v>
          </cell>
          <cell r="B65" t="str">
            <v>Ansan</v>
          </cell>
          <cell r="C65" t="str">
            <v>Busan</v>
          </cell>
          <cell r="D65" t="str">
            <v>FCA</v>
          </cell>
        </row>
        <row r="66">
          <cell r="A66" t="str">
            <v>Samsong</v>
          </cell>
          <cell r="B66" t="str">
            <v>Changwon</v>
          </cell>
          <cell r="C66" t="str">
            <v>Busan</v>
          </cell>
          <cell r="D66" t="str">
            <v>FCA</v>
          </cell>
        </row>
        <row r="67">
          <cell r="A67" t="str">
            <v>Hankook Tire</v>
          </cell>
          <cell r="B67" t="str">
            <v>GungSan / Gunsan</v>
          </cell>
          <cell r="C67" t="str">
            <v>Busan</v>
          </cell>
          <cell r="D67" t="str">
            <v>FCA</v>
          </cell>
        </row>
        <row r="68">
          <cell r="A68" t="str">
            <v>Samwon Plastic</v>
          </cell>
          <cell r="B68" t="str">
            <v>Siheung</v>
          </cell>
          <cell r="C68" t="str">
            <v>Busan</v>
          </cell>
          <cell r="D68" t="str">
            <v>FCA</v>
          </cell>
        </row>
        <row r="69">
          <cell r="A69" t="str">
            <v>Schaeffler Ansan</v>
          </cell>
          <cell r="B69" t="str">
            <v>Ansan</v>
          </cell>
          <cell r="C69" t="str">
            <v>Busan</v>
          </cell>
          <cell r="D69" t="str">
            <v>FCA</v>
          </cell>
        </row>
        <row r="70">
          <cell r="A70" t="str">
            <v>Sehwa Automotive</v>
          </cell>
          <cell r="B70" t="str">
            <v>Incheon</v>
          </cell>
          <cell r="C70" t="str">
            <v>Busan</v>
          </cell>
          <cell r="D70" t="str">
            <v>FCA</v>
          </cell>
        </row>
        <row r="71">
          <cell r="A71" t="str">
            <v>Sewoong</v>
          </cell>
          <cell r="C71" t="str">
            <v>Busan</v>
          </cell>
        </row>
        <row r="72">
          <cell r="A72" t="str">
            <v>Shinhang</v>
          </cell>
          <cell r="C72" t="str">
            <v>Busan</v>
          </cell>
          <cell r="D72" t="str">
            <v>FOB</v>
          </cell>
        </row>
        <row r="73">
          <cell r="A73" t="str">
            <v>SK Lubricants</v>
          </cell>
          <cell r="C73" t="str">
            <v>Busan</v>
          </cell>
          <cell r="D73" t="str">
            <v>FOB</v>
          </cell>
        </row>
        <row r="74">
          <cell r="A74" t="str">
            <v>Sungwoo Hitech</v>
          </cell>
          <cell r="B74" t="str">
            <v>Busan</v>
          </cell>
          <cell r="C74" t="str">
            <v>Busan</v>
          </cell>
          <cell r="D74" t="str">
            <v>FCA</v>
          </cell>
        </row>
        <row r="75">
          <cell r="A75" t="str">
            <v>UHJINTECH</v>
          </cell>
          <cell r="C75" t="str">
            <v>Busan</v>
          </cell>
        </row>
        <row r="76">
          <cell r="A76" t="str">
            <v>Uzauto Korea</v>
          </cell>
          <cell r="B76" t="str">
            <v>Changwon</v>
          </cell>
          <cell r="C76" t="str">
            <v>Busan</v>
          </cell>
          <cell r="D76" t="str">
            <v>FOB</v>
          </cell>
        </row>
        <row r="77">
          <cell r="A77" t="str">
            <v>Win Trading</v>
          </cell>
          <cell r="C77" t="str">
            <v>Busan</v>
          </cell>
        </row>
        <row r="78">
          <cell r="A78" t="str">
            <v>Mobase</v>
          </cell>
          <cell r="B78" t="str">
            <v>Ansan</v>
          </cell>
          <cell r="C78" t="str">
            <v>Busan</v>
          </cell>
          <cell r="D78" t="str">
            <v>FCA</v>
          </cell>
        </row>
        <row r="79">
          <cell r="A79" t="str">
            <v>Youngjin E&amp;I</v>
          </cell>
          <cell r="C79" t="str">
            <v>Busan</v>
          </cell>
          <cell r="D79" t="str">
            <v>FOB</v>
          </cell>
        </row>
        <row r="80">
          <cell r="A80" t="str">
            <v>ZEEWOO TECH</v>
          </cell>
          <cell r="C80" t="str">
            <v>Busan</v>
          </cell>
          <cell r="D80" t="str">
            <v>FOB</v>
          </cell>
        </row>
        <row r="81">
          <cell r="A81" t="str">
            <v>HANSHIN TECH</v>
          </cell>
          <cell r="C81" t="str">
            <v>Busan</v>
          </cell>
          <cell r="D81" t="str">
            <v>FOB</v>
          </cell>
        </row>
        <row r="82">
          <cell r="A82" t="str">
            <v>EXQ</v>
          </cell>
          <cell r="C82" t="str">
            <v>Busan</v>
          </cell>
          <cell r="D82" t="str">
            <v>FOB</v>
          </cell>
        </row>
        <row r="83">
          <cell r="A83" t="str">
            <v>Hansung Industrial co.</v>
          </cell>
          <cell r="C83" t="str">
            <v>Busan</v>
          </cell>
          <cell r="D83" t="str">
            <v>FOB</v>
          </cell>
        </row>
        <row r="84">
          <cell r="A84" t="str">
            <v>Hanyang Precision</v>
          </cell>
          <cell r="B84" t="str">
            <v>Gimpo</v>
          </cell>
          <cell r="C84" t="str">
            <v>Busan</v>
          </cell>
          <cell r="D84" t="str">
            <v>FCA</v>
          </cell>
        </row>
        <row r="85">
          <cell r="A85" t="str">
            <v>Yucheon Engineering</v>
          </cell>
          <cell r="C85" t="str">
            <v>Busan</v>
          </cell>
          <cell r="D85" t="str">
            <v>FOB</v>
          </cell>
        </row>
        <row r="86">
          <cell r="A86" t="str">
            <v>Henkel</v>
          </cell>
          <cell r="B86" t="str">
            <v>Eumsung</v>
          </cell>
          <cell r="C86" t="str">
            <v>Busan</v>
          </cell>
          <cell r="D86" t="str">
            <v>FCA</v>
          </cell>
        </row>
        <row r="87">
          <cell r="A87" t="str">
            <v>HENKEL(GEM PROJECT)</v>
          </cell>
          <cell r="B87" t="str">
            <v>Eumsung</v>
          </cell>
          <cell r="C87" t="str">
            <v>Busan</v>
          </cell>
          <cell r="D87" t="str">
            <v>FCA</v>
          </cell>
        </row>
        <row r="88">
          <cell r="A88" t="str">
            <v>Daedong system</v>
          </cell>
          <cell r="B88" t="str">
            <v>Incheon</v>
          </cell>
          <cell r="C88" t="str">
            <v>Busan</v>
          </cell>
          <cell r="D88" t="str">
            <v>FCA</v>
          </cell>
        </row>
        <row r="89">
          <cell r="A89" t="str">
            <v>Hanval</v>
          </cell>
          <cell r="B89" t="str">
            <v>Daegu</v>
          </cell>
          <cell r="C89" t="str">
            <v>Busan</v>
          </cell>
          <cell r="D89" t="str">
            <v>FCA</v>
          </cell>
        </row>
        <row r="90">
          <cell r="A90" t="str">
            <v>Changjo</v>
          </cell>
          <cell r="C90" t="str">
            <v>Busan</v>
          </cell>
          <cell r="D90" t="str">
            <v>FOB</v>
          </cell>
        </row>
        <row r="91">
          <cell r="A91" t="str">
            <v>Unitech</v>
          </cell>
          <cell r="B91" t="str">
            <v>Ansan</v>
          </cell>
          <cell r="C91" t="str">
            <v>Busan</v>
          </cell>
          <cell r="D91" t="str">
            <v>FCA</v>
          </cell>
        </row>
        <row r="92">
          <cell r="A92" t="str">
            <v>Junga Precision</v>
          </cell>
          <cell r="B92" t="str">
            <v>Changwon</v>
          </cell>
          <cell r="C92" t="str">
            <v>Busan</v>
          </cell>
          <cell r="D92" t="str">
            <v>FCA</v>
          </cell>
        </row>
        <row r="93">
          <cell r="A93" t="str">
            <v>KYUNG-IN MJ SYSTEM</v>
          </cell>
          <cell r="C93" t="str">
            <v>Busan</v>
          </cell>
          <cell r="D93" t="str">
            <v>FOB</v>
          </cell>
        </row>
        <row r="94">
          <cell r="A94" t="str">
            <v>Darwon</v>
          </cell>
          <cell r="C94" t="str">
            <v>Busan</v>
          </cell>
          <cell r="D94" t="str">
            <v>FOB</v>
          </cell>
        </row>
        <row r="95">
          <cell r="A95" t="str">
            <v>Sewoong Machinery</v>
          </cell>
          <cell r="C95" t="str">
            <v>Busan</v>
          </cell>
          <cell r="D95" t="str">
            <v>FOB</v>
          </cell>
        </row>
        <row r="96">
          <cell r="A96" t="str">
            <v>LG Chem</v>
          </cell>
          <cell r="B96" t="str">
            <v>Gimpo</v>
          </cell>
          <cell r="C96" t="str">
            <v>Busan</v>
          </cell>
          <cell r="D96" t="str">
            <v>FCA</v>
          </cell>
        </row>
        <row r="97">
          <cell r="A97" t="str">
            <v>Dream Hitech</v>
          </cell>
          <cell r="C97" t="str">
            <v>Busan</v>
          </cell>
          <cell r="D97" t="str">
            <v>FOB</v>
          </cell>
        </row>
        <row r="98">
          <cell r="A98" t="str">
            <v>MITIO</v>
          </cell>
          <cell r="C98" t="str">
            <v>Busan</v>
          </cell>
          <cell r="D98" t="str">
            <v>FOB</v>
          </cell>
        </row>
        <row r="99">
          <cell r="A99" t="str">
            <v>Bando Cranes</v>
          </cell>
          <cell r="C99" t="str">
            <v>Busan</v>
          </cell>
          <cell r="D99" t="str">
            <v>FOB</v>
          </cell>
        </row>
        <row r="100">
          <cell r="A100" t="str">
            <v>Namyang Machinery</v>
          </cell>
          <cell r="C100" t="str">
            <v>Busan</v>
          </cell>
          <cell r="D100" t="str">
            <v>FOB</v>
          </cell>
        </row>
        <row r="101">
          <cell r="A101" t="str">
            <v>Hyundai Wia FOB</v>
          </cell>
          <cell r="C101" t="str">
            <v>Busan</v>
          </cell>
          <cell r="D101" t="str">
            <v>FOB</v>
          </cell>
        </row>
        <row r="102">
          <cell r="A102" t="str">
            <v>GMK</v>
          </cell>
          <cell r="B102" t="str">
            <v>Juan / Incheon</v>
          </cell>
          <cell r="C102" t="str">
            <v>Busan</v>
          </cell>
          <cell r="D102" t="str">
            <v>FCA</v>
          </cell>
        </row>
        <row r="103">
          <cell r="A103" t="str">
            <v>Woori tech</v>
          </cell>
          <cell r="C103" t="str">
            <v>Busan</v>
          </cell>
          <cell r="D103" t="str">
            <v>FOB</v>
          </cell>
        </row>
        <row r="104">
          <cell r="A104" t="str">
            <v>AnyTech</v>
          </cell>
          <cell r="C104" t="str">
            <v>Busan</v>
          </cell>
          <cell r="D104" t="str">
            <v>FOB</v>
          </cell>
        </row>
        <row r="105">
          <cell r="A105" t="str">
            <v>Erae cs</v>
          </cell>
          <cell r="C105" t="str">
            <v>Busan</v>
          </cell>
          <cell r="D105" t="str">
            <v>FOB</v>
          </cell>
        </row>
        <row r="106">
          <cell r="A106" t="str">
            <v>Taeyoung Chemical</v>
          </cell>
          <cell r="C106" t="str">
            <v>Busan</v>
          </cell>
          <cell r="D106" t="str">
            <v>FOB</v>
          </cell>
        </row>
        <row r="107">
          <cell r="A107" t="str">
            <v>CEPLA</v>
          </cell>
          <cell r="C107" t="str">
            <v>Busan</v>
          </cell>
          <cell r="D107" t="str">
            <v>FOB</v>
          </cell>
        </row>
        <row r="108">
          <cell r="A108" t="str">
            <v>SHP</v>
          </cell>
          <cell r="C108" t="str">
            <v>Busan</v>
          </cell>
          <cell r="D108" t="str">
            <v>FOB</v>
          </cell>
        </row>
        <row r="109">
          <cell r="A109" t="str">
            <v>LOTTE CHEMICAL</v>
          </cell>
          <cell r="C109" t="str">
            <v>Busan</v>
          </cell>
          <cell r="D109" t="str">
            <v>FOB</v>
          </cell>
        </row>
        <row r="110">
          <cell r="A110" t="str">
            <v>MANHO ROPE &amp; WIRE</v>
          </cell>
          <cell r="C110" t="str">
            <v>Busan</v>
          </cell>
          <cell r="D110" t="str">
            <v>FOB</v>
          </cell>
        </row>
        <row r="111">
          <cell r="A111" t="str">
            <v>WOOMIN ENG</v>
          </cell>
          <cell r="C111" t="str">
            <v>Busan</v>
          </cell>
          <cell r="D111" t="str">
            <v>FOB</v>
          </cell>
        </row>
        <row r="112">
          <cell r="A112" t="str">
            <v>ETMA</v>
          </cell>
          <cell r="C112" t="str">
            <v>Busan</v>
          </cell>
          <cell r="D112" t="str">
            <v>FOB</v>
          </cell>
        </row>
        <row r="113">
          <cell r="A113" t="str">
            <v>DASUNG</v>
          </cell>
          <cell r="C113" t="str">
            <v>Busan</v>
          </cell>
          <cell r="D113" t="str">
            <v>FOB</v>
          </cell>
        </row>
        <row r="114">
          <cell r="A114" t="str">
            <v>KTC</v>
          </cell>
          <cell r="B114" t="str">
            <v>Changwon</v>
          </cell>
          <cell r="C114" t="str">
            <v>Busan</v>
          </cell>
          <cell r="D114" t="str">
            <v>FCA</v>
          </cell>
        </row>
        <row r="115">
          <cell r="A115" t="str">
            <v xml:space="preserve">U-ONE Electronics </v>
          </cell>
          <cell r="C115" t="str">
            <v>Busan</v>
          </cell>
          <cell r="D115" t="str">
            <v>FOB</v>
          </cell>
        </row>
        <row r="116">
          <cell r="A116" t="str">
            <v>CHOWEL</v>
          </cell>
          <cell r="C116" t="str">
            <v>Busan</v>
          </cell>
          <cell r="D116" t="str">
            <v>FOB</v>
          </cell>
        </row>
        <row r="117">
          <cell r="A117" t="str">
            <v>JO EUN ELECTRONICS</v>
          </cell>
          <cell r="C117" t="str">
            <v>Busan</v>
          </cell>
          <cell r="D117" t="str">
            <v>FOB</v>
          </cell>
        </row>
        <row r="118">
          <cell r="A118" t="str">
            <v>MIJIN System</v>
          </cell>
          <cell r="C118" t="str">
            <v>Busan</v>
          </cell>
          <cell r="D118" t="str">
            <v>FOB</v>
          </cell>
        </row>
        <row r="119">
          <cell r="A119" t="str">
            <v>HANS</v>
          </cell>
          <cell r="C119" t="str">
            <v>Busan</v>
          </cell>
          <cell r="D119" t="str">
            <v>FOB</v>
          </cell>
        </row>
        <row r="120">
          <cell r="A120" t="str">
            <v>CHANGHWAN PRECISION TERMINAL</v>
          </cell>
          <cell r="C120" t="str">
            <v>Busan</v>
          </cell>
          <cell r="D120" t="str">
            <v>FOB</v>
          </cell>
        </row>
        <row r="121">
          <cell r="A121" t="str">
            <v>YJ CO.,LTD</v>
          </cell>
          <cell r="C121" t="str">
            <v>Busan</v>
          </cell>
          <cell r="D121" t="str">
            <v>FOB</v>
          </cell>
        </row>
        <row r="122">
          <cell r="A122" t="str">
            <v>Daewon Chemical by CREA</v>
          </cell>
          <cell r="B122" t="str">
            <v>Chunan</v>
          </cell>
          <cell r="C122" t="str">
            <v>Busan</v>
          </cell>
          <cell r="D122" t="str">
            <v>FCA</v>
          </cell>
        </row>
        <row r="123">
          <cell r="A123" t="str">
            <v>Sungwoo Hitech(UZSW)</v>
          </cell>
          <cell r="C123" t="str">
            <v>Busan</v>
          </cell>
          <cell r="D123" t="str">
            <v>FOB</v>
          </cell>
        </row>
        <row r="124">
          <cell r="A124" t="str">
            <v>GENON UzEraeAlternator</v>
          </cell>
          <cell r="C124" t="str">
            <v>Busan</v>
          </cell>
          <cell r="D124" t="str">
            <v>FOB</v>
          </cell>
        </row>
        <row r="125">
          <cell r="A125" t="str">
            <v>NAMBANG for UzAustem</v>
          </cell>
          <cell r="B125" t="str">
            <v>Pyeongtaek</v>
          </cell>
          <cell r="C125" t="str">
            <v>Busan</v>
          </cell>
          <cell r="D125" t="str">
            <v>FCA</v>
          </cell>
        </row>
        <row r="126">
          <cell r="A126" t="str">
            <v>Daehan Heating  for UzErae CC</v>
          </cell>
          <cell r="C126" t="str">
            <v>Busan</v>
          </cell>
          <cell r="D126" t="str">
            <v>FOB</v>
          </cell>
        </row>
        <row r="127">
          <cell r="A127" t="str">
            <v>BOKWANG</v>
          </cell>
          <cell r="C127" t="str">
            <v>Busan</v>
          </cell>
          <cell r="D127" t="str">
            <v>FCA</v>
          </cell>
        </row>
        <row r="128">
          <cell r="A128" t="str">
            <v>DK&amp;G</v>
          </cell>
          <cell r="C128" t="str">
            <v>Busan</v>
          </cell>
          <cell r="D128" t="str">
            <v>FOB</v>
          </cell>
        </row>
        <row r="129">
          <cell r="A129" t="str">
            <v>Iljin Global(Claim)</v>
          </cell>
          <cell r="C129" t="str">
            <v>Busan</v>
          </cell>
          <cell r="D129" t="str">
            <v>FOB</v>
          </cell>
        </row>
        <row r="130">
          <cell r="A130" t="str">
            <v>Hanshin Tech for UzChasys</v>
          </cell>
          <cell r="C130" t="str">
            <v>Busan</v>
          </cell>
          <cell r="D130" t="str">
            <v>FOB</v>
          </cell>
        </row>
        <row r="131">
          <cell r="A131" t="str">
            <v>Changhwan Precision Terminal for UzErae Cable</v>
          </cell>
          <cell r="C131" t="str">
            <v>Busan</v>
          </cell>
          <cell r="D131" t="str">
            <v>FOB</v>
          </cell>
        </row>
        <row r="132">
          <cell r="A132" t="str">
            <v xml:space="preserve">DAEYANG TECH CO., LTD. </v>
          </cell>
          <cell r="B132" t="str">
            <v>Hwasung</v>
          </cell>
          <cell r="C132" t="str">
            <v>Busan</v>
          </cell>
          <cell r="D132" t="str">
            <v>FCA</v>
          </cell>
        </row>
        <row r="133">
          <cell r="A133" t="str">
            <v>KoreaFA</v>
          </cell>
          <cell r="C133" t="str">
            <v>Busan</v>
          </cell>
          <cell r="D133" t="str">
            <v>FOB</v>
          </cell>
        </row>
        <row r="134">
          <cell r="A134" t="str">
            <v>CHO SUNG GI GONG for UzAustem</v>
          </cell>
          <cell r="C134" t="str">
            <v>Busan</v>
          </cell>
          <cell r="D134" t="str">
            <v>FOB</v>
          </cell>
        </row>
        <row r="135">
          <cell r="A135" t="str">
            <v>LK Co., Ltd</v>
          </cell>
          <cell r="C135" t="str">
            <v>Busan</v>
          </cell>
          <cell r="D135" t="str">
            <v>FOB</v>
          </cell>
        </row>
        <row r="136">
          <cell r="A136" t="str">
            <v>C&amp;H International</v>
          </cell>
          <cell r="C136" t="str">
            <v>Busan</v>
          </cell>
          <cell r="D136" t="str">
            <v>FOB</v>
          </cell>
        </row>
        <row r="137">
          <cell r="A137" t="str">
            <v>GATE</v>
          </cell>
          <cell r="C137" t="str">
            <v>Busan</v>
          </cell>
          <cell r="D137" t="str">
            <v>FOB</v>
          </cell>
        </row>
        <row r="138">
          <cell r="A138" t="str">
            <v>WOOIN</v>
          </cell>
          <cell r="C138" t="str">
            <v>Busan</v>
          </cell>
          <cell r="D138" t="str">
            <v>FOB</v>
          </cell>
        </row>
        <row r="139">
          <cell r="A139" t="str">
            <v>TOP Global</v>
          </cell>
          <cell r="C139" t="str">
            <v>Busan</v>
          </cell>
          <cell r="D139" t="str">
            <v>FOB</v>
          </cell>
        </row>
        <row r="140">
          <cell r="A140" t="str">
            <v>GNS SOLITECH</v>
          </cell>
          <cell r="B140" t="str">
            <v>Pyeongtaek</v>
          </cell>
          <cell r="C140" t="str">
            <v>Busan</v>
          </cell>
          <cell r="D140" t="str">
            <v>FCA</v>
          </cell>
        </row>
        <row r="141">
          <cell r="A141" t="str">
            <v>PACKARD KOREA INC. for UzEraecable</v>
          </cell>
          <cell r="C141" t="str">
            <v>Busan</v>
          </cell>
          <cell r="D141" t="str">
            <v>FOB</v>
          </cell>
        </row>
        <row r="142">
          <cell r="A142" t="str">
            <v>KBM for UzChasys</v>
          </cell>
          <cell r="C142" t="str">
            <v>Busan</v>
          </cell>
          <cell r="D142" t="str">
            <v>FOB</v>
          </cell>
        </row>
        <row r="143">
          <cell r="A143" t="str">
            <v xml:space="preserve">TOSYS </v>
          </cell>
          <cell r="C143" t="str">
            <v>Busan</v>
          </cell>
          <cell r="D143" t="str">
            <v>FOB</v>
          </cell>
        </row>
        <row r="144">
          <cell r="A144" t="str">
            <v>GENON for UzEraeAlternator(1)</v>
          </cell>
          <cell r="C144" t="str">
            <v>Busan</v>
          </cell>
          <cell r="D144" t="str">
            <v>FCA</v>
          </cell>
        </row>
        <row r="145">
          <cell r="A145" t="str">
            <v>KGHNC Uzauto Motors</v>
          </cell>
          <cell r="C145" t="str">
            <v>Busan</v>
          </cell>
          <cell r="D145" t="str">
            <v>FOB</v>
          </cell>
        </row>
        <row r="146">
          <cell r="A146" t="str">
            <v>Austem for UzAustem</v>
          </cell>
          <cell r="C146" t="str">
            <v>Busan</v>
          </cell>
          <cell r="D146" t="str">
            <v>FOB</v>
          </cell>
        </row>
        <row r="147">
          <cell r="A147" t="str">
            <v>KYUNG-IN MJ SYSTEM for UZSM</v>
          </cell>
          <cell r="C147" t="str">
            <v>Busan</v>
          </cell>
          <cell r="D147" t="str">
            <v>FOB</v>
          </cell>
        </row>
        <row r="148">
          <cell r="A148" t="str">
            <v>DAEHEUNG R&amp;T for UzAustem</v>
          </cell>
          <cell r="B148" t="str">
            <v>Changwon</v>
          </cell>
          <cell r="C148" t="str">
            <v>Busan</v>
          </cell>
          <cell r="D148" t="str">
            <v>FCA</v>
          </cell>
        </row>
        <row r="149">
          <cell r="A149" t="str">
            <v>C&amp;H International for UzDY</v>
          </cell>
          <cell r="C149" t="str">
            <v>Busan</v>
          </cell>
          <cell r="D149" t="str">
            <v>FOB</v>
          </cell>
        </row>
        <row r="150">
          <cell r="A150" t="str">
            <v>Youngshin Metall for UzAustem</v>
          </cell>
          <cell r="C150" t="str">
            <v>Busan</v>
          </cell>
          <cell r="D150" t="str">
            <v>FOB</v>
          </cell>
        </row>
        <row r="151">
          <cell r="A151" t="str">
            <v>Powertec for Avtocomponent</v>
          </cell>
          <cell r="C151" t="str">
            <v>Busan</v>
          </cell>
          <cell r="D151" t="str">
            <v>FCA</v>
          </cell>
        </row>
        <row r="152">
          <cell r="A152" t="str">
            <v>C&amp;H International for UzTH</v>
          </cell>
          <cell r="C152" t="str">
            <v>Busan</v>
          </cell>
          <cell r="D152" t="str">
            <v>FOB</v>
          </cell>
        </row>
        <row r="153">
          <cell r="A153" t="str">
            <v>Central for UzAustem</v>
          </cell>
          <cell r="C153" t="str">
            <v>Busan</v>
          </cell>
          <cell r="D153" t="str">
            <v>FOB</v>
          </cell>
        </row>
        <row r="154">
          <cell r="A154" t="str">
            <v>Woosung Electric</v>
          </cell>
          <cell r="C154" t="str">
            <v>Busan</v>
          </cell>
          <cell r="D154" t="str">
            <v>FOB</v>
          </cell>
        </row>
        <row r="155">
          <cell r="A155" t="str">
            <v xml:space="preserve">KSEC </v>
          </cell>
          <cell r="C155" t="str">
            <v>Busan</v>
          </cell>
          <cell r="D155" t="str">
            <v>FOB</v>
          </cell>
        </row>
        <row r="156">
          <cell r="A156" t="str">
            <v>Linix Global (Changjin)</v>
          </cell>
          <cell r="C156" t="str">
            <v>Busan</v>
          </cell>
          <cell r="D156" t="str">
            <v>FOB</v>
          </cell>
        </row>
        <row r="157">
          <cell r="A157" t="str">
            <v>LG for Uzminda</v>
          </cell>
          <cell r="C157" t="str">
            <v>Busan</v>
          </cell>
          <cell r="D157" t="str">
            <v>FOB</v>
          </cell>
        </row>
        <row r="158">
          <cell r="A158" t="str">
            <v>Wings Korea for UzChasys</v>
          </cell>
          <cell r="C158" t="str">
            <v>Busan</v>
          </cell>
          <cell r="D158" t="str">
            <v>FOB</v>
          </cell>
        </row>
        <row r="159">
          <cell r="A159" t="str">
            <v>Youngpoong Global  for “UzChasys”</v>
          </cell>
          <cell r="C159" t="str">
            <v>Busan</v>
          </cell>
          <cell r="D159" t="str">
            <v>FOB</v>
          </cell>
        </row>
        <row r="160">
          <cell r="A160" t="str">
            <v>Doowon for UzEraeCC</v>
          </cell>
          <cell r="C160" t="str">
            <v>Busan</v>
          </cell>
          <cell r="D160" t="str">
            <v>FOB</v>
          </cell>
        </row>
        <row r="161">
          <cell r="A161" t="str">
            <v>Sun Kwang for UzEraeCC</v>
          </cell>
          <cell r="C161" t="str">
            <v>Busan</v>
          </cell>
          <cell r="D161" t="str">
            <v>FOB</v>
          </cell>
        </row>
        <row r="162">
          <cell r="A162" t="str">
            <v>TOX Pressotechnik FOB</v>
          </cell>
          <cell r="C162" t="str">
            <v>Busan</v>
          </cell>
          <cell r="D162" t="str">
            <v>FOB</v>
          </cell>
        </row>
        <row r="163">
          <cell r="A163" t="str">
            <v>EnE International for “UzChasys”</v>
          </cell>
          <cell r="C163" t="str">
            <v>Busan</v>
          </cell>
          <cell r="D163" t="str">
            <v>FOB</v>
          </cell>
        </row>
        <row r="164">
          <cell r="A164" t="str">
            <v>DAEHEUNG R&amp;T for UzAustem (FOB Incoterms)</v>
          </cell>
          <cell r="C164" t="str">
            <v>Busan</v>
          </cell>
          <cell r="D164" t="str">
            <v>FOB</v>
          </cell>
        </row>
        <row r="165">
          <cell r="A165" t="str">
            <v>Auto Tech Global for UzKoje</v>
          </cell>
          <cell r="C165" t="str">
            <v>Busan</v>
          </cell>
          <cell r="D165" t="str">
            <v>FOB</v>
          </cell>
        </row>
        <row r="166">
          <cell r="A166" t="str">
            <v>DS-T for UzEraeCC</v>
          </cell>
          <cell r="C166" t="str">
            <v>Busan</v>
          </cell>
          <cell r="D166" t="str">
            <v>FOB</v>
          </cell>
        </row>
        <row r="167">
          <cell r="A167" t="str">
            <v>SIMPAC</v>
          </cell>
          <cell r="C167" t="str">
            <v>Busan</v>
          </cell>
          <cell r="D167" t="str">
            <v>FOB</v>
          </cell>
        </row>
        <row r="168">
          <cell r="A168" t="str">
            <v>YOUNGSIN METAL for Austem</v>
          </cell>
          <cell r="C168" t="str">
            <v>Busan</v>
          </cell>
          <cell r="D168" t="str">
            <v>FOB</v>
          </cell>
        </row>
        <row r="169">
          <cell r="A169" t="str">
            <v>C&amp;H International for UzDongYang</v>
          </cell>
          <cell r="C169" t="str">
            <v>Busan</v>
          </cell>
          <cell r="D169" t="str">
            <v>FOB</v>
          </cell>
        </row>
        <row r="170">
          <cell r="A170" t="str">
            <v>KYUNGKI INDUSTRIAL</v>
          </cell>
          <cell r="C170" t="str">
            <v>Busan</v>
          </cell>
          <cell r="D170" t="str">
            <v>FOB</v>
          </cell>
        </row>
        <row r="171">
          <cell r="A171" t="str">
            <v>SEWOONG GLOBAL</v>
          </cell>
          <cell r="C171" t="str">
            <v>Busan</v>
          </cell>
          <cell r="D171" t="str">
            <v>FOB</v>
          </cell>
        </row>
        <row r="172">
          <cell r="A172" t="str">
            <v>KYUNG-IN MJ SYSTEM for UzSaemung</v>
          </cell>
          <cell r="C172" t="str">
            <v>Busan</v>
          </cell>
          <cell r="D172" t="str">
            <v>FOB</v>
          </cell>
        </row>
        <row r="173">
          <cell r="A173" t="str">
            <v>KYUNG-IN MJ SYSTEM for UzAuto Motors</v>
          </cell>
          <cell r="C173" t="str">
            <v>Busan</v>
          </cell>
          <cell r="D173" t="str">
            <v>FOB</v>
          </cell>
        </row>
        <row r="174">
          <cell r="A174" t="str">
            <v>KOREA HINGE TECH</v>
          </cell>
          <cell r="C174" t="str">
            <v>Busan</v>
          </cell>
          <cell r="D174" t="str">
            <v>FOB</v>
          </cell>
        </row>
        <row r="175">
          <cell r="A175" t="str">
            <v>KNG Steel for UzDongwon</v>
          </cell>
          <cell r="C175" t="str">
            <v>Busan</v>
          </cell>
          <cell r="D175" t="str">
            <v>FOB</v>
          </cell>
        </row>
        <row r="176">
          <cell r="A176" t="str">
            <v>HYDROSTAR for UzAustem</v>
          </cell>
          <cell r="C176" t="str">
            <v>Busan</v>
          </cell>
          <cell r="D176" t="str">
            <v>FOB</v>
          </cell>
        </row>
        <row r="177">
          <cell r="A177" t="str">
            <v>TS Metal for UzDongwon</v>
          </cell>
          <cell r="C177" t="str">
            <v>Busan</v>
          </cell>
          <cell r="D177" t="str">
            <v>FOB</v>
          </cell>
        </row>
        <row r="178">
          <cell r="A178" t="str">
            <v>KYUNG-IN MJ SYSTEM for UzSungwoo</v>
          </cell>
          <cell r="C178" t="str">
            <v>Busan</v>
          </cell>
          <cell r="D178" t="str">
            <v>FOB</v>
          </cell>
        </row>
        <row r="179">
          <cell r="A179" t="str">
            <v>Daekie for UzEraeCC</v>
          </cell>
          <cell r="C179" t="str">
            <v>Busan</v>
          </cell>
          <cell r="D179" t="str">
            <v>FOB</v>
          </cell>
        </row>
        <row r="180">
          <cell r="A180" t="str">
            <v>KISWEL for Avtokomponent</v>
          </cell>
          <cell r="C180" t="str">
            <v>Busan</v>
          </cell>
          <cell r="D180" t="str">
            <v>FOB</v>
          </cell>
        </row>
        <row r="181">
          <cell r="A181" t="str">
            <v>Bando Bearing</v>
          </cell>
          <cell r="C181" t="str">
            <v>Busan</v>
          </cell>
          <cell r="D181" t="str">
            <v>FOB</v>
          </cell>
        </row>
        <row r="182">
          <cell r="A182" t="str">
            <v>YSW for UzDongwon</v>
          </cell>
          <cell r="C182" t="str">
            <v>Busan</v>
          </cell>
          <cell r="D182" t="str">
            <v>FOB</v>
          </cell>
        </row>
        <row r="183">
          <cell r="A183" t="str">
            <v>Taesung Metal for Uzdongwon</v>
          </cell>
          <cell r="C183" t="str">
            <v>Busan</v>
          </cell>
          <cell r="D183" t="str">
            <v>FOB</v>
          </cell>
        </row>
        <row r="184">
          <cell r="A184" t="str">
            <v>GEM CONSOL AIR</v>
          </cell>
          <cell r="C184" t="str">
            <v>Busan</v>
          </cell>
          <cell r="D184" t="str">
            <v>FOB</v>
          </cell>
        </row>
        <row r="185">
          <cell r="A185" t="str">
            <v>SEOLIM TRADING for UZDW</v>
          </cell>
          <cell r="C185" t="str">
            <v>Busan</v>
          </cell>
          <cell r="D185" t="str">
            <v>FOB</v>
          </cell>
        </row>
        <row r="186">
          <cell r="A186" t="str">
            <v>Changhwan Precision Terminal Co.
 for UzErae Cable</v>
          </cell>
          <cell r="C186" t="str">
            <v>Busan</v>
          </cell>
          <cell r="D186" t="str">
            <v>FOB</v>
          </cell>
        </row>
        <row r="187">
          <cell r="A187" t="str">
            <v>Wintec Korea for UzEraeCC</v>
          </cell>
          <cell r="C187" t="str">
            <v>Busan</v>
          </cell>
          <cell r="D187" t="str">
            <v>FOB</v>
          </cell>
        </row>
        <row r="188">
          <cell r="A188" t="str">
            <v>YSW for UzSungwoo</v>
          </cell>
          <cell r="C188" t="str">
            <v>Busan</v>
          </cell>
          <cell r="D188" t="str">
            <v>FOB</v>
          </cell>
        </row>
        <row r="189">
          <cell r="A189" t="str">
            <v>EnE International for UzKoram</v>
          </cell>
          <cell r="C189" t="str">
            <v>Busan</v>
          </cell>
          <cell r="D189" t="str">
            <v>FOB</v>
          </cell>
        </row>
        <row r="190">
          <cell r="A190" t="str">
            <v>JT Fasteners</v>
          </cell>
          <cell r="C190" t="str">
            <v>Busan</v>
          </cell>
          <cell r="D190" t="str">
            <v>FCA</v>
          </cell>
        </row>
        <row r="191">
          <cell r="A191" t="str">
            <v>Hankook Tire</v>
          </cell>
          <cell r="B191" t="str">
            <v>GungSan / Gunsan</v>
          </cell>
          <cell r="C191" t="str">
            <v>Busan</v>
          </cell>
          <cell r="D191" t="str">
            <v>FCA</v>
          </cell>
        </row>
        <row r="192">
          <cell r="A192" t="str">
            <v>Youngshin Metal for UzAustem</v>
          </cell>
          <cell r="B192" t="str">
            <v>Pyeongtaek</v>
          </cell>
          <cell r="C192" t="str">
            <v>Busan</v>
          </cell>
          <cell r="D192" t="str">
            <v>FCA</v>
          </cell>
        </row>
        <row r="193">
          <cell r="A193" t="str">
            <v>HI-TECH RESISTORS</v>
          </cell>
          <cell r="C193" t="str">
            <v>Busan</v>
          </cell>
          <cell r="D193" t="str">
            <v>FOB</v>
          </cell>
        </row>
        <row r="194">
          <cell r="A194" t="str">
            <v>Taeyang Metal</v>
          </cell>
          <cell r="B194" t="str">
            <v>Ansan</v>
          </cell>
          <cell r="C194" t="str">
            <v>Busan</v>
          </cell>
          <cell r="D194" t="str">
            <v>FCA</v>
          </cell>
        </row>
        <row r="195">
          <cell r="A195" t="str">
            <v>YJ UzEraeCable</v>
          </cell>
          <cell r="C195" t="str">
            <v>Busan</v>
          </cell>
          <cell r="D195" t="str">
            <v>FOB</v>
          </cell>
        </row>
        <row r="196">
          <cell r="A196" t="str">
            <v>YSW for Austem</v>
          </cell>
          <cell r="C196" t="str">
            <v>Busan</v>
          </cell>
          <cell r="D196" t="str">
            <v>FOB</v>
          </cell>
        </row>
        <row r="197">
          <cell r="A197" t="str">
            <v>DMC(NCV)</v>
          </cell>
          <cell r="C197" t="str">
            <v>Busan</v>
          </cell>
          <cell r="D197" t="str">
            <v>FOB</v>
          </cell>
        </row>
        <row r="198">
          <cell r="A198" t="str">
            <v>K&amp;K Korea for UzKoje JV</v>
          </cell>
          <cell r="B198" t="str">
            <v>Juan / Incheon</v>
          </cell>
          <cell r="C198" t="str">
            <v>Busan</v>
          </cell>
          <cell r="D198" t="str">
            <v>FCA</v>
          </cell>
        </row>
        <row r="199">
          <cell r="A199" t="str">
            <v>SAMJINJEONGGONG (GEM Project)</v>
          </cell>
          <cell r="B199" t="str">
            <v>Yangsan</v>
          </cell>
          <cell r="C199" t="str">
            <v>Busan</v>
          </cell>
          <cell r="D199" t="str">
            <v>FCA</v>
          </cell>
        </row>
        <row r="200">
          <cell r="A200" t="str">
            <v>Punkang (GEM Project)</v>
          </cell>
          <cell r="B200" t="str">
            <v>Hwasung</v>
          </cell>
          <cell r="C200" t="str">
            <v>Busan</v>
          </cell>
          <cell r="D200" t="str">
            <v>FCA</v>
          </cell>
        </row>
        <row r="201">
          <cell r="A201" t="str">
            <v>Samwon (GEM Project)</v>
          </cell>
          <cell r="B201" t="str">
            <v>Changwon</v>
          </cell>
          <cell r="C201" t="str">
            <v>Busan</v>
          </cell>
          <cell r="D201" t="str">
            <v>FCA</v>
          </cell>
        </row>
        <row r="202">
          <cell r="A202" t="str">
            <v>Samwon (GEM Project)</v>
          </cell>
          <cell r="B202" t="str">
            <v>Changwon</v>
          </cell>
          <cell r="C202" t="str">
            <v>Busan</v>
          </cell>
          <cell r="D202" t="str">
            <v>FCA</v>
          </cell>
        </row>
        <row r="203">
          <cell r="A203" t="str">
            <v>KYUNGMIN (GEM Project)</v>
          </cell>
          <cell r="B203" t="str">
            <v>Hwasung</v>
          </cell>
          <cell r="C203" t="str">
            <v>Busan</v>
          </cell>
          <cell r="D203" t="str">
            <v>FCA</v>
          </cell>
        </row>
        <row r="204">
          <cell r="A204" t="str">
            <v>Youngshin (GEM Project)</v>
          </cell>
          <cell r="B204" t="str">
            <v>Pyeongtaek</v>
          </cell>
          <cell r="C204" t="str">
            <v>Busan</v>
          </cell>
          <cell r="D204" t="str">
            <v>FCA</v>
          </cell>
        </row>
        <row r="205">
          <cell r="A205" t="str">
            <v>DMC (GEM Project)</v>
          </cell>
          <cell r="B205" t="str">
            <v>Waeguan</v>
          </cell>
          <cell r="C205" t="str">
            <v>Busan</v>
          </cell>
          <cell r="D205" t="str">
            <v>FCA</v>
          </cell>
        </row>
        <row r="206">
          <cell r="A206" t="str">
            <v>DMC (GEM Project)</v>
          </cell>
          <cell r="B206" t="str">
            <v>Waeguan</v>
          </cell>
          <cell r="C206" t="str">
            <v>Busan</v>
          </cell>
          <cell r="D206" t="str">
            <v>FCA</v>
          </cell>
        </row>
        <row r="207">
          <cell r="A207" t="str">
            <v>ITW AOC (GEM Project)</v>
          </cell>
          <cell r="B207" t="str">
            <v>Hwasung</v>
          </cell>
          <cell r="C207" t="str">
            <v>Busan</v>
          </cell>
          <cell r="D207" t="str">
            <v>FCA</v>
          </cell>
        </row>
        <row r="208">
          <cell r="A208" t="str">
            <v>ITW AOC (GEM Project)</v>
          </cell>
          <cell r="B208" t="str">
            <v>Hwasung</v>
          </cell>
          <cell r="C208" t="str">
            <v>Busan</v>
          </cell>
          <cell r="D208" t="str">
            <v>FCA</v>
          </cell>
        </row>
        <row r="209">
          <cell r="A209" t="str">
            <v>Chungwoo (GEM Project)</v>
          </cell>
          <cell r="B209" t="str">
            <v>Gimpo</v>
          </cell>
          <cell r="C209" t="str">
            <v>Busan</v>
          </cell>
          <cell r="D209" t="str">
            <v>FCA</v>
          </cell>
        </row>
        <row r="210">
          <cell r="A210" t="str">
            <v>Sunil Dyfas (GEM Project)</v>
          </cell>
          <cell r="B210" t="str">
            <v>Pyeongtaek</v>
          </cell>
          <cell r="C210" t="str">
            <v>Busan</v>
          </cell>
          <cell r="D210" t="str">
            <v>FCA</v>
          </cell>
        </row>
        <row r="211">
          <cell r="A211" t="str">
            <v>CheongHa (GEM Project)</v>
          </cell>
          <cell r="B211" t="str">
            <v>Pyeongtaek</v>
          </cell>
          <cell r="C211" t="str">
            <v>Busan</v>
          </cell>
          <cell r="D211" t="str">
            <v>FCA</v>
          </cell>
        </row>
        <row r="212">
          <cell r="A212" t="str">
            <v>DAEKIE EST (GEM Project)</v>
          </cell>
          <cell r="B212" t="str">
            <v>Ansan</v>
          </cell>
          <cell r="C212" t="str">
            <v>Busan</v>
          </cell>
          <cell r="D212" t="str">
            <v>FCA</v>
          </cell>
        </row>
        <row r="213">
          <cell r="A213" t="str">
            <v>DAEKIE EST (GEM Project)</v>
          </cell>
          <cell r="B213" t="str">
            <v>Ansan</v>
          </cell>
          <cell r="C213" t="str">
            <v>Busan</v>
          </cell>
          <cell r="D213" t="str">
            <v>FCA</v>
          </cell>
        </row>
        <row r="214">
          <cell r="A214" t="str">
            <v>YooilSYS (GEM Project)</v>
          </cell>
          <cell r="B214" t="str">
            <v>Siheung</v>
          </cell>
          <cell r="C214" t="str">
            <v>Busan</v>
          </cell>
          <cell r="D214" t="str">
            <v>FCA</v>
          </cell>
        </row>
        <row r="215">
          <cell r="A215" t="str">
            <v>Changwon MC  (GEM Project)</v>
          </cell>
          <cell r="B215" t="str">
            <v>Juan / Incheon</v>
          </cell>
          <cell r="C215" t="str">
            <v>Busan</v>
          </cell>
          <cell r="D215" t="str">
            <v>FCA</v>
          </cell>
        </row>
        <row r="216">
          <cell r="A216" t="str">
            <v>Pyeonghwa (GEM Project)</v>
          </cell>
          <cell r="B216" t="str">
            <v>Daegu</v>
          </cell>
          <cell r="C216" t="str">
            <v>Busan</v>
          </cell>
          <cell r="D216" t="str">
            <v>FCA</v>
          </cell>
        </row>
        <row r="217">
          <cell r="A217" t="str">
            <v>KYUNGMIN (GEM Project)</v>
          </cell>
          <cell r="B217" t="str">
            <v>Hwasung</v>
          </cell>
          <cell r="C217" t="str">
            <v>Busan</v>
          </cell>
          <cell r="D217" t="str">
            <v>FCA</v>
          </cell>
        </row>
        <row r="218">
          <cell r="A218" t="str">
            <v>Youngshin (GEM Project)</v>
          </cell>
          <cell r="B218" t="str">
            <v>Pyeongtaek</v>
          </cell>
          <cell r="C218" t="str">
            <v>Busan</v>
          </cell>
          <cell r="D218" t="str">
            <v>FCA</v>
          </cell>
        </row>
        <row r="219">
          <cell r="A219" t="str">
            <v>Punkang (GEM Project)</v>
          </cell>
          <cell r="B219" t="str">
            <v>Hwasung</v>
          </cell>
          <cell r="C219" t="str">
            <v>Busan</v>
          </cell>
          <cell r="D219" t="str">
            <v>FCA</v>
          </cell>
        </row>
        <row r="220">
          <cell r="A220" t="str">
            <v>SAMJINJEONGGONG (GEM Project)</v>
          </cell>
          <cell r="B220" t="str">
            <v>Yangsan</v>
          </cell>
          <cell r="C220" t="str">
            <v>Busan</v>
          </cell>
          <cell r="D220" t="str">
            <v>FCA</v>
          </cell>
        </row>
        <row r="221">
          <cell r="A221" t="str">
            <v>SAMJINJEONGGONG (GEM Project)</v>
          </cell>
          <cell r="B221" t="str">
            <v>Yangsan</v>
          </cell>
          <cell r="C221" t="str">
            <v>Busan</v>
          </cell>
          <cell r="D221" t="str">
            <v>FCA</v>
          </cell>
        </row>
        <row r="222">
          <cell r="A222" t="str">
            <v>Samwon (GEM Project)</v>
          </cell>
          <cell r="B222" t="str">
            <v>Pyeongtaek</v>
          </cell>
          <cell r="C222" t="str">
            <v>Busan</v>
          </cell>
          <cell r="D222" t="str">
            <v>FCA</v>
          </cell>
        </row>
        <row r="223">
          <cell r="A223" t="str">
            <v>Samwon (GEM Project)</v>
          </cell>
          <cell r="B223" t="str">
            <v>Pyeongtaek</v>
          </cell>
          <cell r="C223" t="str">
            <v>Busan</v>
          </cell>
          <cell r="D223" t="str">
            <v>FCA</v>
          </cell>
        </row>
        <row r="224">
          <cell r="A224" t="str">
            <v>Chungwoo (GEM Project)</v>
          </cell>
          <cell r="B224" t="str">
            <v>Gimpo</v>
          </cell>
          <cell r="C224" t="str">
            <v>Busan</v>
          </cell>
          <cell r="D224" t="str">
            <v>FCA</v>
          </cell>
        </row>
        <row r="225">
          <cell r="A225" t="str">
            <v>NIFCO KOREA (GEM Project)</v>
          </cell>
          <cell r="B225" t="str">
            <v>Pyeongtaek</v>
          </cell>
          <cell r="C225" t="str">
            <v>Busan</v>
          </cell>
          <cell r="D225" t="str">
            <v>FCA</v>
          </cell>
        </row>
        <row r="226">
          <cell r="A226" t="str">
            <v>KDS (GEM Project)</v>
          </cell>
          <cell r="B226" t="str">
            <v>Kyungsan</v>
          </cell>
          <cell r="C226" t="str">
            <v>Busan</v>
          </cell>
          <cell r="D226" t="str">
            <v>FCA</v>
          </cell>
        </row>
        <row r="227">
          <cell r="A227" t="str">
            <v>Iljin Global(GEM PROJECT)</v>
          </cell>
          <cell r="B227" t="str">
            <v>Jecheon</v>
          </cell>
          <cell r="C227" t="str">
            <v>Busan</v>
          </cell>
          <cell r="D227" t="str">
            <v>FCA</v>
          </cell>
        </row>
        <row r="228">
          <cell r="A228" t="str">
            <v>CheongHa(GEM PROJECT)</v>
          </cell>
          <cell r="B228" t="str">
            <v>Changwon</v>
          </cell>
          <cell r="C228" t="str">
            <v>Busan</v>
          </cell>
          <cell r="D228" t="str">
            <v>FCA</v>
          </cell>
        </row>
        <row r="229">
          <cell r="A229" t="str">
            <v>Chungwoo(GEM PROJECT)</v>
          </cell>
          <cell r="B229" t="str">
            <v>Gimpo</v>
          </cell>
          <cell r="C229" t="str">
            <v>Busan</v>
          </cell>
          <cell r="D229" t="str">
            <v>FCA</v>
          </cell>
        </row>
        <row r="230">
          <cell r="A230" t="str">
            <v>ITW AOC(GEM PROJECT)</v>
          </cell>
          <cell r="B230" t="str">
            <v>Hwasung</v>
          </cell>
          <cell r="C230" t="str">
            <v>Busan</v>
          </cell>
          <cell r="D230" t="str">
            <v>FCA</v>
          </cell>
        </row>
        <row r="231">
          <cell r="A231" t="str">
            <v>Pyeonghwa(GEM PROJECT)</v>
          </cell>
          <cell r="B231" t="str">
            <v>Daegu</v>
          </cell>
          <cell r="C231" t="str">
            <v>Busan</v>
          </cell>
          <cell r="D231" t="str">
            <v>FCA</v>
          </cell>
        </row>
        <row r="232">
          <cell r="A232" t="str">
            <v>YOUNGSIN METAL(GEM PROJECT)</v>
          </cell>
          <cell r="B232" t="str">
            <v>Pyeongtaek</v>
          </cell>
          <cell r="C232" t="str">
            <v>Busan</v>
          </cell>
          <cell r="D232" t="str">
            <v>FCA</v>
          </cell>
        </row>
        <row r="233">
          <cell r="A233" t="str">
            <v>KYUNGMIN(GEM PROJECT)</v>
          </cell>
          <cell r="B233" t="str">
            <v>Hwasung</v>
          </cell>
          <cell r="C233" t="str">
            <v>Busan</v>
          </cell>
          <cell r="D233" t="str">
            <v>FCA</v>
          </cell>
        </row>
        <row r="234">
          <cell r="A234" t="str">
            <v>Punkang(GEM PROJECT)</v>
          </cell>
          <cell r="B234" t="str">
            <v>Hwasung</v>
          </cell>
          <cell r="C234" t="str">
            <v>Busan</v>
          </cell>
          <cell r="D234" t="str">
            <v>FCA</v>
          </cell>
        </row>
        <row r="235">
          <cell r="A235" t="str">
            <v>DMC(GEM PROJECT)</v>
          </cell>
          <cell r="B235" t="str">
            <v>Waeguan</v>
          </cell>
          <cell r="C235" t="str">
            <v>Busan</v>
          </cell>
          <cell r="D235" t="str">
            <v>FCA</v>
          </cell>
        </row>
        <row r="236">
          <cell r="A236" t="str">
            <v>YooilSYS(GEM PROJECT)</v>
          </cell>
          <cell r="B236" t="str">
            <v>Siheung</v>
          </cell>
          <cell r="C236" t="str">
            <v>Busan</v>
          </cell>
          <cell r="D236" t="str">
            <v>FCA</v>
          </cell>
        </row>
        <row r="237">
          <cell r="A237" t="str">
            <v>Samwon(GEM PROJECT)</v>
          </cell>
          <cell r="B237" t="str">
            <v>Changwon</v>
          </cell>
          <cell r="C237" t="str">
            <v>Busan</v>
          </cell>
          <cell r="D237" t="str">
            <v>FCA</v>
          </cell>
        </row>
        <row r="238">
          <cell r="A238" t="str">
            <v>ITW Korea(GEM PROJECT)</v>
          </cell>
          <cell r="B238" t="str">
            <v>Incheon</v>
          </cell>
          <cell r="C238" t="str">
            <v>Busan</v>
          </cell>
          <cell r="D238" t="str">
            <v>FCA</v>
          </cell>
        </row>
        <row r="239">
          <cell r="A239" t="str">
            <v>Taeyang(GEM PROJECT)</v>
          </cell>
          <cell r="B239" t="str">
            <v>Ansan</v>
          </cell>
          <cell r="C239" t="str">
            <v>Busan</v>
          </cell>
          <cell r="D239" t="str">
            <v>FCA</v>
          </cell>
        </row>
        <row r="240">
          <cell r="A240" t="str">
            <v>Daewonkangup Khorezm (DWKU)</v>
          </cell>
          <cell r="B240" t="str">
            <v>GungSan / Gunsan</v>
          </cell>
          <cell r="C240" t="str">
            <v>Busan</v>
          </cell>
          <cell r="D240" t="str">
            <v>FCA</v>
          </cell>
        </row>
        <row r="241">
          <cell r="A241" t="str">
            <v>KDS(GEM PROJECT)</v>
          </cell>
          <cell r="B241" t="str">
            <v>Kyungsan</v>
          </cell>
          <cell r="C241" t="str">
            <v>Busan</v>
          </cell>
          <cell r="D241" t="str">
            <v>FCA</v>
          </cell>
        </row>
        <row r="242">
          <cell r="A242" t="str">
            <v>SAMJINJEONGGONG(GEM PROJECT)</v>
          </cell>
          <cell r="B242" t="str">
            <v>Chunan</v>
          </cell>
          <cell r="C242" t="str">
            <v>Busan</v>
          </cell>
          <cell r="D242" t="str">
            <v>FCA</v>
          </cell>
        </row>
        <row r="243">
          <cell r="A243" t="str">
            <v>NIFCO KOREA(GEM PROJECT)</v>
          </cell>
          <cell r="B243" t="str">
            <v>Chunan</v>
          </cell>
          <cell r="C243" t="str">
            <v>Busan</v>
          </cell>
          <cell r="D243" t="str">
            <v>FCA</v>
          </cell>
        </row>
        <row r="244">
          <cell r="A244" t="str">
            <v>DAEKIE EST(GEM PROJECT)</v>
          </cell>
          <cell r="B244" t="str">
            <v>Ansan</v>
          </cell>
          <cell r="C244" t="str">
            <v>Busan</v>
          </cell>
          <cell r="D244" t="str">
            <v>FCA</v>
          </cell>
        </row>
        <row r="245">
          <cell r="A245" t="str">
            <v>InFasTech(GEM PROJECT)</v>
          </cell>
          <cell r="B245" t="str">
            <v>GungSan / Gunsan</v>
          </cell>
          <cell r="C245" t="str">
            <v>Busan</v>
          </cell>
          <cell r="D245" t="str">
            <v>FCA</v>
          </cell>
        </row>
        <row r="246">
          <cell r="A246" t="str">
            <v>Sunil Dyfas(GEM PROJECT)</v>
          </cell>
          <cell r="B246" t="str">
            <v>Chunan</v>
          </cell>
          <cell r="C246" t="str">
            <v>Busan</v>
          </cell>
          <cell r="D246" t="str">
            <v>FCA</v>
          </cell>
        </row>
        <row r="247">
          <cell r="A247" t="str">
            <v>LG Electric(GEM Project)</v>
          </cell>
          <cell r="B247" t="str">
            <v>Gimpo</v>
          </cell>
          <cell r="C247" t="str">
            <v>Busan</v>
          </cell>
          <cell r="D247" t="str">
            <v>FCA</v>
          </cell>
        </row>
        <row r="248">
          <cell r="A248" t="str">
            <v>Samshin(GEM Project)</v>
          </cell>
          <cell r="B248" t="str">
            <v>Ansan</v>
          </cell>
          <cell r="C248" t="str">
            <v>Busan</v>
          </cell>
          <cell r="D248" t="str">
            <v>FCA</v>
          </cell>
        </row>
        <row r="249">
          <cell r="A249" t="str">
            <v>TESA TAPE KOREA(GEM Project)</v>
          </cell>
          <cell r="C249" t="str">
            <v>Busan</v>
          </cell>
          <cell r="D249" t="str">
            <v>FCA</v>
          </cell>
        </row>
        <row r="250">
          <cell r="A250" t="str">
            <v>Jung Kwang for UzEraeCC</v>
          </cell>
          <cell r="C250" t="str">
            <v>Busan</v>
          </cell>
          <cell r="D250" t="str">
            <v>FOB</v>
          </cell>
        </row>
        <row r="251">
          <cell r="A251" t="str">
            <v>Sungwoo Hitech for UZSM</v>
          </cell>
          <cell r="B251" t="str">
            <v>Busan</v>
          </cell>
          <cell r="C251" t="str">
            <v>Busan</v>
          </cell>
          <cell r="D251" t="str">
            <v>FCA</v>
          </cell>
        </row>
        <row r="252">
          <cell r="A252" t="str">
            <v>HI-TECH RESISTORS PVT</v>
          </cell>
          <cell r="C252" t="str">
            <v>Busan</v>
          </cell>
          <cell r="D252" t="str">
            <v>FOB</v>
          </cell>
        </row>
        <row r="253">
          <cell r="A253" t="str">
            <v>Iljin Global NCV</v>
          </cell>
          <cell r="C253" t="str">
            <v>Busan</v>
          </cell>
          <cell r="D253" t="str">
            <v>FOB</v>
          </cell>
        </row>
        <row r="254">
          <cell r="A254" t="str">
            <v>TAESUNG METAL</v>
          </cell>
          <cell r="C254" t="str">
            <v>Busan</v>
          </cell>
          <cell r="D254" t="str">
            <v>FOB</v>
          </cell>
        </row>
        <row r="255">
          <cell r="A255" t="str">
            <v>Daewon Chemical by CREA NCV</v>
          </cell>
          <cell r="C255" t="str">
            <v>Busan</v>
          </cell>
          <cell r="D255" t="str">
            <v>FOB</v>
          </cell>
        </row>
        <row r="256">
          <cell r="A256" t="str">
            <v>SEJONG TTM for UzSungwoo</v>
          </cell>
          <cell r="C256" t="str">
            <v>Busan</v>
          </cell>
          <cell r="D256" t="str">
            <v>FOB</v>
          </cell>
        </row>
        <row r="257">
          <cell r="A257" t="str">
            <v xml:space="preserve">Hwasung NCV </v>
          </cell>
          <cell r="C257" t="str">
            <v>Busan</v>
          </cell>
          <cell r="D257" t="str">
            <v>FOB</v>
          </cell>
        </row>
        <row r="258">
          <cell r="A258" t="str">
            <v>FST</v>
          </cell>
          <cell r="B258" t="str">
            <v>Eumsung</v>
          </cell>
          <cell r="C258" t="str">
            <v>Busan</v>
          </cell>
          <cell r="D258" t="str">
            <v>FCA</v>
          </cell>
        </row>
        <row r="259">
          <cell r="A259" t="str">
            <v>INTECH GROUP for UZSM</v>
          </cell>
          <cell r="C259" t="str">
            <v>Busan</v>
          </cell>
          <cell r="D259" t="str">
            <v>FOB</v>
          </cell>
        </row>
        <row r="260">
          <cell r="A260" t="str">
            <v>DAEKIE EST for UzKoram</v>
          </cell>
          <cell r="C260" t="str">
            <v>Busan</v>
          </cell>
          <cell r="D260" t="str">
            <v>FOB</v>
          </cell>
        </row>
        <row r="261">
          <cell r="A261" t="str">
            <v>JINSOL INDUSTRY for UZTH</v>
          </cell>
          <cell r="B261" t="str">
            <v>Incheon</v>
          </cell>
          <cell r="C261" t="str">
            <v>Busan</v>
          </cell>
          <cell r="D261" t="str">
            <v>FCA</v>
          </cell>
        </row>
        <row r="262">
          <cell r="A262" t="str">
            <v>Youngshin Metall for UzAustem(1)</v>
          </cell>
          <cell r="B262" t="str">
            <v>Pyeongtaek</v>
          </cell>
          <cell r="C262" t="str">
            <v>Busan</v>
          </cell>
          <cell r="D262" t="str">
            <v>FCA</v>
          </cell>
        </row>
        <row r="263">
          <cell r="A263" t="str">
            <v>Namsung Alum UzKoram</v>
          </cell>
          <cell r="C263" t="str">
            <v>Busan</v>
          </cell>
          <cell r="D263" t="str">
            <v>FCA</v>
          </cell>
        </row>
        <row r="264">
          <cell r="A264" t="str">
            <v>Daehan Heating for UzErae CC</v>
          </cell>
          <cell r="B264" t="str">
            <v>Hwasung</v>
          </cell>
          <cell r="C264" t="str">
            <v>Busan</v>
          </cell>
          <cell r="D264" t="str">
            <v>FCA</v>
          </cell>
        </row>
        <row r="265">
          <cell r="A265" t="str">
            <v>Caravan for UZSW</v>
          </cell>
          <cell r="C265" t="str">
            <v>Busan</v>
          </cell>
          <cell r="D265" t="str">
            <v>FOB</v>
          </cell>
        </row>
        <row r="266">
          <cell r="A266" t="str">
            <v>OXTECH INC. for UZEraeCC</v>
          </cell>
          <cell r="C266" t="str">
            <v>Busan</v>
          </cell>
          <cell r="D266" t="str">
            <v>FOB</v>
          </cell>
        </row>
        <row r="267">
          <cell r="A267" t="str">
            <v>United Engineering for Asaka</v>
          </cell>
          <cell r="C267" t="str">
            <v>Busan</v>
          </cell>
          <cell r="D267" t="str">
            <v>FOB</v>
          </cell>
        </row>
        <row r="268">
          <cell r="A268" t="str">
            <v>SEOLIM TRADING</v>
          </cell>
          <cell r="C268" t="str">
            <v>Busan</v>
          </cell>
          <cell r="D268" t="str">
            <v>FOB</v>
          </cell>
        </row>
        <row r="269">
          <cell r="A269" t="str">
            <v>SEJONG TTM for UzSemyung</v>
          </cell>
          <cell r="C269" t="str">
            <v>Busan</v>
          </cell>
          <cell r="D269" t="str">
            <v>FOB</v>
          </cell>
        </row>
        <row r="270">
          <cell r="A270" t="str">
            <v>LG Chem for UzMINDA</v>
          </cell>
          <cell r="C270" t="str">
            <v>Busan</v>
          </cell>
          <cell r="D270" t="str">
            <v>FOB</v>
          </cell>
        </row>
        <row r="271">
          <cell r="A271" t="str">
            <v>FORI KOREA</v>
          </cell>
          <cell r="C271" t="str">
            <v>Busan</v>
          </cell>
          <cell r="D271" t="str">
            <v>FOB</v>
          </cell>
        </row>
        <row r="272">
          <cell r="A272" t="str">
            <v>United Engineering</v>
          </cell>
          <cell r="C272" t="str">
            <v>Busan</v>
          </cell>
          <cell r="D272" t="str">
            <v>FOB</v>
          </cell>
        </row>
        <row r="273">
          <cell r="A273" t="str">
            <v>Taelim Industrial</v>
          </cell>
          <cell r="B273" t="str">
            <v>Changwon</v>
          </cell>
          <cell r="C273" t="str">
            <v>Busan</v>
          </cell>
          <cell r="D273" t="str">
            <v>FCA</v>
          </cell>
        </row>
        <row r="274">
          <cell r="A274" t="str">
            <v>OXTECH INC. for UZEraeCC</v>
          </cell>
          <cell r="C274" t="str">
            <v>Busan</v>
          </cell>
          <cell r="D274" t="str">
            <v>FCA</v>
          </cell>
        </row>
        <row r="275">
          <cell r="A275" t="str">
            <v>Daihan Calsonic for UzCC</v>
          </cell>
          <cell r="C275" t="str">
            <v>Busan</v>
          </cell>
          <cell r="D275" t="str">
            <v>FOB</v>
          </cell>
        </row>
        <row r="276">
          <cell r="A276" t="str">
            <v>GE MAO Rubber Ind for UzEraecc</v>
          </cell>
          <cell r="C276" t="str">
            <v>Busan</v>
          </cell>
          <cell r="D276" t="str">
            <v>FCA</v>
          </cell>
        </row>
        <row r="277">
          <cell r="A277" t="str">
            <v>HDC HYUNDAI ENGINEERING PLASTICS for UZKR</v>
          </cell>
          <cell r="C277" t="str">
            <v>Busan</v>
          </cell>
          <cell r="D277" t="str">
            <v>FOB</v>
          </cell>
        </row>
        <row r="278">
          <cell r="A278" t="str">
            <v>Yoochang for UzDongYang</v>
          </cell>
          <cell r="C278" t="str">
            <v>Busan</v>
          </cell>
          <cell r="D278" t="str">
            <v>FCA</v>
          </cell>
        </row>
        <row r="279">
          <cell r="A279" t="str">
            <v>GW Intennational</v>
          </cell>
          <cell r="C279" t="str">
            <v>Busan</v>
          </cell>
          <cell r="D279" t="str">
            <v>FOB</v>
          </cell>
        </row>
        <row r="280">
          <cell r="A280" t="str">
            <v>KISWEL</v>
          </cell>
          <cell r="C280" t="str">
            <v>Busan</v>
          </cell>
          <cell r="D280" t="str">
            <v>FOB</v>
          </cell>
        </row>
        <row r="281">
          <cell r="A281" t="str">
            <v>DAEKIE EST</v>
          </cell>
          <cell r="C281" t="str">
            <v>Busan</v>
          </cell>
          <cell r="D281" t="str">
            <v>FOB</v>
          </cell>
        </row>
        <row r="282">
          <cell r="A282" t="str">
            <v>JO EUN ELECTRONICS</v>
          </cell>
          <cell r="C282" t="str">
            <v>Busan</v>
          </cell>
          <cell r="D282" t="str">
            <v>FOB</v>
          </cell>
        </row>
        <row r="283">
          <cell r="A283" t="str">
            <v>UONE Electronics for UzEraeCC</v>
          </cell>
          <cell r="C283" t="str">
            <v>Busan</v>
          </cell>
          <cell r="D283" t="str">
            <v>FOB</v>
          </cell>
        </row>
        <row r="284">
          <cell r="A284" t="str">
            <v>Erae CS for UzErae Cable</v>
          </cell>
          <cell r="C284" t="str">
            <v>Busan</v>
          </cell>
          <cell r="D284" t="str">
            <v>FOB</v>
          </cell>
        </row>
        <row r="285">
          <cell r="A285" t="str">
            <v>C&amp;H International UzChasys</v>
          </cell>
          <cell r="C285" t="str">
            <v>Busan</v>
          </cell>
          <cell r="D285" t="str">
            <v>FOB</v>
          </cell>
        </row>
        <row r="286">
          <cell r="A286" t="str">
            <v>Sejin Chem for UzEraeCC</v>
          </cell>
          <cell r="C286" t="str">
            <v>Busan</v>
          </cell>
          <cell r="D286" t="str">
            <v>FOB</v>
          </cell>
        </row>
        <row r="287">
          <cell r="A287" t="str">
            <v xml:space="preserve">YuSung ENG Co.,Ltd </v>
          </cell>
          <cell r="C287" t="str">
            <v>Busan</v>
          </cell>
          <cell r="D287" t="str">
            <v>FOB</v>
          </cell>
        </row>
        <row r="288">
          <cell r="A288" t="str">
            <v>GW International for UzEraeCC</v>
          </cell>
          <cell r="C288" t="str">
            <v>Busan</v>
          </cell>
          <cell r="D288" t="str">
            <v>FOB</v>
          </cell>
        </row>
        <row r="289">
          <cell r="A289" t="str">
            <v>KOREA FLUID MACHINE for UzDY</v>
          </cell>
          <cell r="C289" t="str">
            <v>Busan</v>
          </cell>
          <cell r="D289" t="str">
            <v>FCA</v>
          </cell>
        </row>
        <row r="290">
          <cell r="A290" t="str">
            <v>Woochang Mobase  for UzDY</v>
          </cell>
          <cell r="C290" t="str">
            <v>Busan</v>
          </cell>
          <cell r="D290" t="str">
            <v>FCA</v>
          </cell>
        </row>
        <row r="291">
          <cell r="A291" t="str">
            <v>DEHICO for UzEraeCC</v>
          </cell>
          <cell r="C291" t="str">
            <v>Busan</v>
          </cell>
          <cell r="D291" t="str">
            <v>FOB</v>
          </cell>
        </row>
        <row r="292">
          <cell r="A292" t="str">
            <v>Mobase NCV</v>
          </cell>
          <cell r="C292" t="str">
            <v>Busan</v>
          </cell>
          <cell r="D292" t="str">
            <v>FOB</v>
          </cell>
        </row>
        <row r="293">
          <cell r="A293" t="str">
            <v>Samshin for UzKoram</v>
          </cell>
          <cell r="B293" t="str">
            <v>Ansan</v>
          </cell>
          <cell r="C293" t="str">
            <v>Busan</v>
          </cell>
          <cell r="D293" t="str">
            <v>FCA</v>
          </cell>
        </row>
        <row r="294">
          <cell r="A294" t="str">
            <v>RM System</v>
          </cell>
          <cell r="C294" t="str">
            <v>Busan</v>
          </cell>
          <cell r="D294" t="str">
            <v>FOB</v>
          </cell>
        </row>
        <row r="295">
          <cell r="A295" t="str">
            <v>Alpha Industries for UzEraeCC</v>
          </cell>
          <cell r="C295" t="str">
            <v>Busan</v>
          </cell>
          <cell r="D295" t="str">
            <v>FOB</v>
          </cell>
        </row>
        <row r="296">
          <cell r="A296" t="str">
            <v>Changhwan Precision Terminal Co. for UzErae Cable</v>
          </cell>
          <cell r="C296" t="str">
            <v>Busan</v>
          </cell>
          <cell r="D296" t="str">
            <v>FOB</v>
          </cell>
        </row>
        <row r="297">
          <cell r="A297" t="str">
            <v>HYOSUNG SERVICE for Avtocomponent</v>
          </cell>
          <cell r="C297" t="str">
            <v>Busan</v>
          </cell>
          <cell r="D297" t="str">
            <v>FOB</v>
          </cell>
        </row>
        <row r="298">
          <cell r="A298" t="str">
            <v>KH Trading</v>
          </cell>
          <cell r="C298" t="str">
            <v>Busan</v>
          </cell>
          <cell r="D298" t="str">
            <v>FOB</v>
          </cell>
        </row>
        <row r="299">
          <cell r="A299" t="str">
            <v>UHJINTECH for UzEraeCC</v>
          </cell>
          <cell r="C299" t="str">
            <v>Busan</v>
          </cell>
          <cell r="D299" t="str">
            <v>FOB</v>
          </cell>
        </row>
        <row r="300">
          <cell r="A300" t="str">
            <v>Hwashin</v>
          </cell>
          <cell r="B300" t="str">
            <v>Daegu</v>
          </cell>
          <cell r="C300" t="str">
            <v>Busan</v>
          </cell>
          <cell r="D300" t="str">
            <v>FCA</v>
          </cell>
        </row>
        <row r="301">
          <cell r="A301" t="str">
            <v>Korea Houghton Corp. for UzAustem</v>
          </cell>
          <cell r="C301" t="str">
            <v>Busan</v>
          </cell>
          <cell r="D301" t="str">
            <v>FOB</v>
          </cell>
        </row>
        <row r="302">
          <cell r="A302" t="str">
            <v>Woochang UzKoram</v>
          </cell>
          <cell r="C302" t="str">
            <v>Busan</v>
          </cell>
          <cell r="D302" t="str">
            <v>FCA</v>
          </cell>
        </row>
        <row r="303">
          <cell r="A303" t="str">
            <v>LK Hoist</v>
          </cell>
          <cell r="C303" t="str">
            <v>Busan</v>
          </cell>
          <cell r="D303" t="str">
            <v>FOB</v>
          </cell>
        </row>
        <row r="304">
          <cell r="A304" t="str">
            <v>DMC for UzKoram</v>
          </cell>
          <cell r="C304" t="str">
            <v>Busan</v>
          </cell>
          <cell r="D304" t="str">
            <v>FOB</v>
          </cell>
        </row>
        <row r="305">
          <cell r="A305" t="str">
            <v>DAEKIE EST for UzEraeCC</v>
          </cell>
          <cell r="C305" t="str">
            <v>Busan</v>
          </cell>
          <cell r="D305" t="str">
            <v>FOB</v>
          </cell>
        </row>
        <row r="306">
          <cell r="A306" t="str">
            <v>DMC for AutoRubber</v>
          </cell>
          <cell r="C306" t="str">
            <v>Busan</v>
          </cell>
          <cell r="D306" t="str">
            <v>FOB</v>
          </cell>
        </row>
        <row r="307">
          <cell r="A307" t="str">
            <v>Powertec for Avtocomponent (FCA)</v>
          </cell>
          <cell r="C307" t="str">
            <v>Busan</v>
          </cell>
          <cell r="D307" t="str">
            <v>FCA</v>
          </cell>
        </row>
        <row r="308">
          <cell r="A308" t="str">
            <v>LOGICS KOREA for UZERAECC</v>
          </cell>
          <cell r="C308" t="str">
            <v>Busan</v>
          </cell>
          <cell r="D308" t="str">
            <v>FOB</v>
          </cell>
        </row>
        <row r="309">
          <cell r="A309" t="str">
            <v>JT Fastener for UzEraeCC (Taiwan)</v>
          </cell>
          <cell r="C309" t="str">
            <v>Busan</v>
          </cell>
          <cell r="D309" t="str">
            <v>FOB</v>
          </cell>
        </row>
        <row r="310">
          <cell r="A310" t="str">
            <v>Daihan Calsonic for UzCC</v>
          </cell>
          <cell r="C310" t="str">
            <v>Busan</v>
          </cell>
          <cell r="D310" t="str">
            <v>FOB</v>
          </cell>
        </row>
        <row r="311">
          <cell r="A311" t="str">
            <v>PROTJUO TECH</v>
          </cell>
          <cell r="C311" t="str">
            <v>Busan</v>
          </cell>
          <cell r="D311" t="str">
            <v>FOB</v>
          </cell>
        </row>
        <row r="312">
          <cell r="A312" t="str">
            <v>Bawoo Auto Asaka</v>
          </cell>
          <cell r="C312" t="str">
            <v>Busan</v>
          </cell>
          <cell r="D312" t="str">
            <v>FOB</v>
          </cell>
        </row>
        <row r="313">
          <cell r="A313" t="str">
            <v>HDC for Autorubber</v>
          </cell>
          <cell r="C313" t="str">
            <v>Busan</v>
          </cell>
          <cell r="D313" t="str">
            <v>FOB</v>
          </cell>
        </row>
        <row r="314">
          <cell r="A314" t="str">
            <v>KOREA CARAVAN UZ-AUSTEM (YSW Same)</v>
          </cell>
          <cell r="C314" t="str">
            <v>Busan</v>
          </cell>
          <cell r="D314" t="str">
            <v>FOB</v>
          </cell>
        </row>
        <row r="315">
          <cell r="A315" t="str">
            <v>SEOLIM TRADING for Avtocomp (FOB)</v>
          </cell>
          <cell r="C315" t="str">
            <v>Busan</v>
          </cell>
          <cell r="D315" t="str">
            <v>FOB</v>
          </cell>
        </row>
        <row r="316">
          <cell r="A316" t="str">
            <v>KOREA CARAVAN (YSW Same)</v>
          </cell>
          <cell r="C316" t="str">
            <v>Busan</v>
          </cell>
          <cell r="D316" t="str">
            <v>FOB</v>
          </cell>
        </row>
        <row r="317">
          <cell r="A317" t="str">
            <v>YSW for UZSW</v>
          </cell>
          <cell r="C317" t="str">
            <v>Busan</v>
          </cell>
          <cell r="D317" t="str">
            <v>FOB</v>
          </cell>
        </row>
        <row r="318">
          <cell r="A318" t="str">
            <v>SEOLIM TRADING fo Autocomp</v>
          </cell>
          <cell r="C318" t="str">
            <v>Busan</v>
          </cell>
          <cell r="D318" t="str">
            <v>FOB</v>
          </cell>
        </row>
        <row r="319">
          <cell r="A319" t="str">
            <v>SEOLIM TRADING fo UZDW</v>
          </cell>
          <cell r="C319" t="str">
            <v>Busan</v>
          </cell>
          <cell r="D319" t="str">
            <v>FOB</v>
          </cell>
        </row>
        <row r="320">
          <cell r="A320" t="str">
            <v>NOTOS for UzEraeCC</v>
          </cell>
          <cell r="C320" t="str">
            <v>Busan</v>
          </cell>
          <cell r="D320" t="str">
            <v>FOB</v>
          </cell>
        </row>
        <row r="321">
          <cell r="A321" t="str">
            <v>DAEO IND for AUTORUBBER (FOB)</v>
          </cell>
          <cell r="C321" t="str">
            <v>Busan</v>
          </cell>
          <cell r="D321" t="str">
            <v>FOB</v>
          </cell>
        </row>
        <row r="322">
          <cell r="A322" t="str">
            <v>DEHICO for UzEraeCC (EXW)</v>
          </cell>
          <cell r="C322" t="str">
            <v>Busan</v>
          </cell>
          <cell r="D322" t="str">
            <v>FCA</v>
          </cell>
        </row>
        <row r="323">
          <cell r="A323" t="str">
            <v>Woochang Mobase</v>
          </cell>
          <cell r="B323" t="str">
            <v>Ansan</v>
          </cell>
          <cell r="C323" t="str">
            <v>Busan</v>
          </cell>
          <cell r="D323" t="str">
            <v>FCA</v>
          </cell>
        </row>
        <row r="324">
          <cell r="A324" t="str">
            <v>DAEKIE EST for UzKoram</v>
          </cell>
          <cell r="C324" t="str">
            <v>Busan</v>
          </cell>
          <cell r="D324" t="str">
            <v>FOB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F6D7EC-42BC-4F38-A717-DE8F243C8ED1}" autoFormatId="16" applyNumberFormats="0" applyBorderFormats="0" applyFontFormats="0" applyPatternFormats="0" applyAlignmentFormats="0" applyWidthHeightFormats="0">
  <queryTableRefresh nextId="2">
    <queryTableFields count="1">
      <queryTableField id="1" name="№ исходящего акта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3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90">
    <queryTableFields count="31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  <queryTableField id="88" name="Column30" tableColumnId="29"/>
      <queryTableField id="89" name="Column3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124" tableType="queryTable" totalsRowShown="0" headerRowDxfId="119" dataDxfId="118" tableBorderDxfId="117">
  <autoFilter ref="A2:AA124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116"/>
    <tableColumn id="2" xr3:uid="{8A87712C-FC73-4678-B1A7-ED16A8E04E71}" uniqueName="2" name="2" queryTableFieldId="2" dataDxfId="115"/>
    <tableColumn id="3" xr3:uid="{D148B657-97B3-4E46-93B8-6B1F20441BFF}" uniqueName="3" name="3" queryTableFieldId="3" dataDxfId="114"/>
    <tableColumn id="4" xr3:uid="{41DC2B2B-DC98-4A52-BCD6-A4D95BBD953E}" uniqueName="4" name="4" queryTableFieldId="4" dataDxfId="113"/>
    <tableColumn id="5" xr3:uid="{1D866B85-DF46-4A1E-944F-986C019F9BC1}" uniqueName="5" name="5" queryTableFieldId="5" dataDxfId="112"/>
    <tableColumn id="6" xr3:uid="{3FB0D426-BB7F-4C2E-AE23-CCC777815CE8}" uniqueName="6" name="6" queryTableFieldId="6" dataDxfId="111"/>
    <tableColumn id="7" xr3:uid="{634833FD-8BCD-46C0-B3AC-ADF92E1F1DA3}" uniqueName="7" name="7" queryTableFieldId="7" dataDxfId="110" dataCellStyle="Финансовый"/>
    <tableColumn id="8" xr3:uid="{3A30ACC9-9C1F-4DDE-B6D4-274E27DD3664}" uniqueName="8" name="8" queryTableFieldId="8" dataDxfId="109"/>
    <tableColumn id="9" xr3:uid="{C72BEEDD-A656-42A9-BFBA-8C91A38CA41D}" uniqueName="9" name="9" queryTableFieldId="9" dataDxfId="108"/>
    <tableColumn id="10" xr3:uid="{FA489D1A-BD4C-4A40-840B-54A23E6FE1B6}" uniqueName="10" name="10" queryTableFieldId="10" dataDxfId="107"/>
    <tableColumn id="11" xr3:uid="{AF649117-E4FD-47F6-94D2-7E0D741B1108}" uniqueName="11" name="11" queryTableFieldId="11" dataDxfId="106"/>
    <tableColumn id="12" xr3:uid="{6E4EE260-E04D-4ADC-869F-B8FD8CF3742C}" uniqueName="12" name="12" queryTableFieldId="12" dataDxfId="105"/>
    <tableColumn id="13" xr3:uid="{23E2C403-EC82-4A11-B21E-3CDF9FF92735}" uniqueName="13" name="13" queryTableFieldId="13" dataDxfId="104"/>
    <tableColumn id="14" xr3:uid="{B90B6DA9-B0EC-4D7D-BF3D-9FA1954332A4}" uniqueName="14" name="14" queryTableFieldId="14" dataDxfId="103"/>
    <tableColumn id="15" xr3:uid="{A0754BD4-1808-4F1C-9BE0-CD5590CD3151}" uniqueName="15" name="15" queryTableFieldId="15" dataDxfId="102"/>
    <tableColumn id="16" xr3:uid="{6FF623EF-0A86-4754-A87A-F356B7ACBF2D}" uniqueName="16" name="16" queryTableFieldId="16" dataDxfId="101"/>
    <tableColumn id="17" xr3:uid="{9158F7F1-6BFE-4F93-94CE-81ABA288FDEA}" uniqueName="17" name="17" queryTableFieldId="17" dataDxfId="100"/>
    <tableColumn id="18" xr3:uid="{420AF06A-A8C7-4FCD-A2F3-090E8B2B7AC3}" uniqueName="18" name="18" queryTableFieldId="18" dataDxfId="99"/>
    <tableColumn id="19" xr3:uid="{4274A0A0-56D1-4E95-B283-1EDFBA256114}" uniqueName="19" name="19" queryTableFieldId="19" dataDxfId="98"/>
    <tableColumn id="20" xr3:uid="{B6F87092-021B-4BDE-BCDE-9F7C6B8F1E36}" uniqueName="20" name="20" queryTableFieldId="20" dataDxfId="97"/>
    <tableColumn id="21" xr3:uid="{70453219-26CE-401C-A798-3E6AC931E0FC}" uniqueName="21" name="21" queryTableFieldId="21" dataDxfId="96"/>
    <tableColumn id="22" xr3:uid="{3F4116D9-77AB-43A0-BEF2-5B20A0F3707E}" uniqueName="22" name="22" queryTableFieldId="22" dataDxfId="95"/>
    <tableColumn id="23" xr3:uid="{0B9465B3-5A11-4241-A0D8-736A6CF17BC3}" uniqueName="23" name="23" queryTableFieldId="23" dataDxfId="94"/>
    <tableColumn id="24" xr3:uid="{A92E1B7E-9131-4031-9E80-42D518598C99}" uniqueName="24" name="24" queryTableFieldId="24" dataDxfId="93"/>
    <tableColumn id="25" xr3:uid="{B6EC9D45-01EE-4BF8-A9AB-678B33FC1ACE}" uniqueName="25" name="25" queryTableFieldId="25" dataDxfId="92"/>
    <tableColumn id="26" xr3:uid="{FB1E0E35-5389-4522-9C98-B22D7ACA016A}" uniqueName="26" name="26" queryTableFieldId="26" dataDxfId="91" dataCellStyle="Финансовый"/>
    <tableColumn id="28" xr3:uid="{D9BC4018-E21F-4E28-84E5-51AC4A014223}" uniqueName="28" name="27" queryTableFieldId="28" dataDxfId="9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AC7234-232E-456A-AB8B-19966878D0C8}" name="ACT_number" displayName="ACT_number" ref="A7:A8" tableType="queryTable" totalsRowShown="0" headerRowDxfId="68" dataDxfId="67">
  <autoFilter ref="A7:A8" xr:uid="{A8AC7234-232E-456A-AB8B-19966878D0C8}"/>
  <tableColumns count="1">
    <tableColumn id="1" xr3:uid="{FDF7F845-18BD-4075-BB87-B4B35FB97C32}" uniqueName="1" name="№ исходящего акта" queryTableFieldId="1" dataDxfId="66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840" displayName="Курс_840" ref="A5:D31" tableType="queryTable" totalsRowShown="0" headerRowDxfId="65">
  <autoFilter ref="A5:D31" xr:uid="{6A137B49-3125-432F-A630-6DD50D11EBE0}"/>
  <tableColumns count="4">
    <tableColumn id="1" xr3:uid="{EC288063-33AD-415F-970A-12D8A501ABB6}" uniqueName="1" name="Дн нед" queryTableFieldId="1" dataDxfId="64"/>
    <tableColumn id="2" xr3:uid="{100266FB-FD9A-45B7-AE2D-3D4D7A8DD2E2}" uniqueName="2" name="Дата" queryTableFieldId="2" dataDxfId="63"/>
    <tableColumn id="3" xr3:uid="{FD007F2F-A1D9-4AD2-BEF6-84ED6C0DD4BF}" uniqueName="3" name="Курс" queryTableFieldId="6" dataCellStyle="Финансовый"/>
    <tableColumn id="4" xr3:uid="{EB90F171-55BB-4666-A1D1-93923649B90D}" uniqueName="4" name="Максимальный курс" queryTableField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B9323A-25DE-46EF-A0E6-891B9824C82B}" name="ПериодОтбора" displayName="ПериодОтбора" ref="A1:E2" totalsRowShown="0" headerRowDxfId="62">
  <autoFilter ref="A1:E2" xr:uid="{81B9323A-25DE-46EF-A0E6-891B9824C82B}"/>
  <tableColumns count="5">
    <tableColumn id="1" xr3:uid="{6A24475E-631A-466A-8490-9CBC4AD205E5}" name="Наиболее ранняя дата прибытия" dataDxfId="61">
      <calculatedColumnFormula>MIN(ACT[Date of Dispatch/ 
Дата отгрузки])</calculatedColumnFormula>
    </tableColumn>
    <tableColumn id="2" xr3:uid="{128EBDAC-F0D0-45BE-9EAF-CF50D23D18A1}" name="Дата начала отбора курса">
      <calculatedColumnFormula>MAX(ACT[Date of Dispatch/ 
Дата отгрузки])</calculatedColumnFormula>
    </tableColumn>
    <tableColumn id="3" xr3:uid="{C1DEB837-C7B5-4B51-B6A8-6D5BE262A327}" name="Дата окончания отбора курса" dataDxfId="60">
      <calculatedColumnFormula>IF(WORKDAY(A2,15)&gt;=TODAY(),TODAY(),WORKDAY(A2,15))</calculatedColumnFormula>
    </tableColumn>
    <tableColumn id="5" xr3:uid="{82E7B280-4259-4458-B678-C325C131FE71}" name="Дата курса без поиска максимального (заполняется при необходимости)" dataDxfId="59"/>
    <tableColumn id="4" xr3:uid="{6B9CBFE4-BFC1-42E8-B4A3-210CC8A35A8F}" name="Валюта" dataDxfId="5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E121" tableType="queryTable" totalsRowShown="0" headerRowDxfId="57" dataDxfId="56">
  <autoFilter ref="A1:AE121" xr:uid="{5B834A19-259B-40D5-9FFB-3CD1C5FF657E}"/>
  <tableColumns count="31">
    <tableColumn id="1" xr3:uid="{8E831ADF-11AB-4A8D-873B-AA7A47AB52AF}" uniqueName="1" name="№" queryTableFieldId="50" dataDxfId="55"/>
    <tableColumn id="2" xr3:uid="{EE1885CF-81B0-4A89-B4DE-65A0E48265F9}" uniqueName="2" name="Container No/_x000a_№ Контейнера" queryTableFieldId="51" dataDxfId="54"/>
    <tableColumn id="42" xr3:uid="{C82B05DB-D11B-4987-95C0-26F1B6EEE9B7}" uniqueName="42" name="Container Type/ _x000a_Тип контейнера" queryTableFieldId="42" dataDxfId="53"/>
    <tableColumn id="3" xr3:uid="{0B3CD9AD-DB0D-498A-9A05-3764D46F15B2}" uniqueName="3" name="Date of Dispatch/ _x000a_Дата отгрузки" queryTableFieldId="52" dataDxfId="52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51"/>
    <tableColumn id="6" xr3:uid="{ABB996E3-C143-4015-9FA1-6B6F60FE0331}" uniqueName="6" name="Supplier/ Поставщик" queryTableFieldId="55" dataDxfId="50"/>
    <tableColumn id="7" xr3:uid="{82161375-A429-4D5A-85E6-149563CB1893}" uniqueName="7" name="CBM" queryTableFieldId="56" dataDxfId="49"/>
    <tableColumn id="8" xr3:uid="{D3A0A2AF-6662-483F-B804-3506DD13CD2C}" uniqueName="8" name="Gross weight, kg/ Вес брутто, кг" queryTableFieldId="57" dataDxfId="48"/>
    <tableColumn id="9" xr3:uid="{7792B197-C7B2-4696-9C42-D3DE23D8C14F}" uniqueName="9" name="Delivery terms / Условия поставки" queryTableFieldId="58" dataDxfId="47"/>
    <tableColumn id="10" xr3:uid="{49720C86-257D-43A9-A872-EDE0A611E3B0}" uniqueName="10" name="Column11" queryTableFieldId="59" dataDxfId="46"/>
    <tableColumn id="11" xr3:uid="{C433A2D5-41AB-47FB-9A13-43794B9F2307}" uniqueName="11" name="Container total CBM" queryTableFieldId="60" dataDxfId="45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44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43"/>
    <tableColumn id="14" xr3:uid="{1AF1A389-2532-4CBD-BFFF-BF61162BDFCD}" uniqueName="14" name="Shoring, Banding, Sealing, Handling/ Крепление, Перевязка, Опечатование, Обработка_x000a_KRW" queryTableFieldId="63" dataDxfId="42"/>
    <tableColumn id="15" xr3:uid="{8565B2BC-1E76-481A-B87F-8DF6AE5BE6DA}" uniqueName="15" name="Documents Work/ Сбор за подготовку документов_x000a_KRW" queryTableFieldId="64" dataDxfId="41"/>
    <tableColumn id="16" xr3:uid="{EDC32DB2-AA88-4632-868D-E800DCF2AD21}" uniqueName="16" name="THC/ Терминальная обработка_x000a_KRW" queryTableFieldId="65" dataDxfId="40"/>
    <tableColumn id="17" xr3:uid="{7979175A-8031-437D-9E21-9C213D1D2E14}" uniqueName="17" name="Wharfage/ Портовая пошлина_x000a_KRW" queryTableFieldId="66" dataDxfId="39"/>
    <tableColumn id="18" xr3:uid="{2282DD93-F0A2-45A6-92C4-663BD90BC13C}" uniqueName="18" name="TRUCKING CHARGE" queryTableFieldId="67" dataDxfId="38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37"/>
    <tableColumn id="20" xr3:uid="{F77BB9CD-6B54-4F2A-8EB0-4DC116A64104}" uniqueName="20" name="Special Wooden Shoring / Специальное деревянное крепление" queryTableFieldId="69" dataDxfId="36"/>
    <tableColumn id="21" xr3:uid="{60643051-07DC-4A02-A5B9-810D0FF04A0E}" uniqueName="21" name="Total amount/ Общая стоимость KRW (10+11+12+13+14+15+16)" queryTableFieldId="70" dataDxfId="35"/>
    <tableColumn id="22" xr3:uid="{327354D1-31B6-4F98-BB75-3A31DB43BCF5}" uniqueName="22" name="Total amount/ Общая стоимость (17*exchange rate/ обменный курс)_x000a_ USD" queryTableFieldId="71" dataDxfId="34"/>
    <tableColumn id="23" xr3:uid="{5B7655C4-A2F3-446A-A1DF-B1CE49E32FDA}" uniqueName="23" name="Column24" queryTableFieldId="72" dataDxfId="33"/>
    <tableColumn id="24" xr3:uid="{FC6FB029-693F-4C81-A5AF-E78C97E7D72E}" uniqueName="24" name="Column25" queryTableFieldId="73" dataDxfId="32"/>
    <tableColumn id="25" xr3:uid="{11625087-B798-4DD8-A068-89200E922B3A}" uniqueName="25" name="Column26" queryTableFieldId="74" dataDxfId="31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  <tableColumn id="29" xr3:uid="{F7183BEA-A193-4200-B591-7452F9B19FA4}" uniqueName="29" name="Column30" queryTableFieldId="88"/>
    <tableColumn id="30" xr3:uid="{C30B38ED-15DA-43D2-B6E2-B4AF6BA49E81}" uniqueName="30" name="Column31" queryTableFieldId="8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30" dataDxfId="28" headerRowBorderDxfId="29" tableBorderDxfId="27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26"/>
    <tableColumn id="2" xr3:uid="{80163841-85DF-45AF-B7E7-9E8BAC067856}" name="2" dataDxfId="25">
      <calculatedColumnFormula>_xlfn.XLOOKUP($A3,#REF!,#REF!,"",0,1)</calculatedColumnFormula>
    </tableColumn>
    <tableColumn id="3" xr3:uid="{CA85C000-838A-439D-9211-E21F6CC17707}" name="3" dataDxfId="24">
      <calculatedColumnFormula>_xlfn.XLOOKUP($A3,#REF!,#REF!,"",0,1)</calculatedColumnFormula>
    </tableColumn>
    <tableColumn id="4" xr3:uid="{7431317B-AE29-4CFE-AC62-FA82612ACE82}" name="4" dataDxfId="23">
      <calculatedColumnFormula>_xlfn.XLOOKUP($A3,#REF!,#REF!,"",0,1)</calculatedColumnFormula>
    </tableColumn>
    <tableColumn id="5" xr3:uid="{3EF1956F-4D3B-46B0-9F66-B38A17048A4F}" name="5" dataDxfId="22">
      <calculatedColumnFormula>_xlfn.XLOOKUP($A3,#REF!,#REF!,"",0,1)</calculatedColumnFormula>
    </tableColumn>
    <tableColumn id="6" xr3:uid="{4432DDD8-C665-4F6B-950E-1927A7F7118D}" name="6" dataDxfId="21">
      <calculatedColumnFormula>_xlfn.XLOOKUP($A3,#REF!,#REF!,"",1)</calculatedColumnFormula>
    </tableColumn>
    <tableColumn id="7" xr3:uid="{1CA7C4FD-641C-450D-8DD1-22F160E6F34B}" name="7" dataDxfId="20" dataCellStyle="Финансовый">
      <calculatedColumnFormula>_xlfn.XLOOKUP($A3,#REF!,#REF!,"",0,1)</calculatedColumnFormula>
    </tableColumn>
    <tableColumn id="8" xr3:uid="{FB63AE05-E41D-4842-892A-D7562D79385B}" name="8" dataDxfId="19"/>
    <tableColumn id="9" xr3:uid="{370A2487-A477-458B-A444-1301F9EA66A1}" name="9" dataDxfId="18">
      <calculatedColumnFormula>_xlfn.XLOOKUP($A3,#REF!,#REF!,"",0,1)</calculatedColumnFormula>
    </tableColumn>
    <tableColumn id="10" xr3:uid="{038E84C5-C7A9-45FB-A8DB-708203D4A03D}" name="10" dataDxfId="17">
      <calculatedColumnFormula>_xlfn.XLOOKUP($A3,#REF!,#REF!,"",0,1)</calculatedColumnFormula>
    </tableColumn>
    <tableColumn id="11" xr3:uid="{05F76E4A-38AE-46E2-8F02-34F67092A4B1}" name="11" dataDxfId="16">
      <calculatedColumnFormula>_xlfn.XLOOKUP($A3,#REF!,#REF!,"",0,1)</calculatedColumnFormula>
    </tableColumn>
    <tableColumn id="12" xr3:uid="{6EB1FA54-9C9E-4ED9-9339-A4C8D734A09D}" name="12" dataDxfId="15">
      <calculatedColumnFormula>_xlfn.XLOOKUP($A3,#REF!,#REF!,"",0,1)</calculatedColumnFormula>
    </tableColumn>
    <tableColumn id="13" xr3:uid="{9FA20739-C1E5-4B59-862B-C413F4AA858F}" name="13" dataDxfId="14">
      <calculatedColumnFormula>_xlfn.XLOOKUP($A3,#REF!,#REF!,"",0,1)</calculatedColumnFormula>
    </tableColumn>
    <tableColumn id="14" xr3:uid="{63FEFC4A-B1D9-4BB8-921C-7581032AAC45}" name="14" dataDxfId="13">
      <calculatedColumnFormula>_xlfn.XLOOKUP($A3,#REF!,#REF!,"",0,1)</calculatedColumnFormula>
    </tableColumn>
    <tableColumn id="15" xr3:uid="{BD36124D-AAE6-4A53-9CB3-E7D2F4231470}" name="15" dataDxfId="12">
      <calculatedColumnFormula>_xlfn.XLOOKUP($A3,#REF!,#REF!,"",0,1)</calculatedColumnFormula>
    </tableColumn>
    <tableColumn id="16" xr3:uid="{36264D1D-FCD0-4BF2-8E96-ED5355F2E054}" name="16" dataDxfId="11">
      <calculatedColumnFormula>_xlfn.XLOOKUP($A3,#REF!,#REF!,"",0,1)</calculatedColumnFormula>
    </tableColumn>
    <tableColumn id="17" xr3:uid="{05E049CF-B3D9-4A72-AE3B-724164A608DA}" name="17" dataDxfId="10">
      <calculatedColumnFormula>_xlfn.XLOOKUP($A3,#REF!,ACT[Container Type/ 
Тип контейнера],"",0,1)</calculatedColumnFormula>
    </tableColumn>
    <tableColumn id="18" xr3:uid="{9935278D-7A2D-4049-A0CC-C0643FEA6C21}" name="18" dataDxfId="9">
      <calculatedColumnFormula>_xlfn.XLOOKUP($A3,#REF!,#REF!,0,0,1)</calculatedColumnFormula>
    </tableColumn>
    <tableColumn id="19" xr3:uid="{5844F963-A9CB-426F-98B8-FDB41E611CD6}" name="19" dataDxfId="8">
      <calculatedColumnFormula>Шаблон_Формулы!$T3-Шаблон_Формулы!$R3</calculatedColumnFormula>
    </tableColumn>
    <tableColumn id="20" xr3:uid="{E887A808-FF17-4878-B535-FBD80D39880E}" name="20" dataDxfId="7">
      <calculatedColumnFormula>_xlfn.XLOOKUP($A3,#REF!,#REF!,0,0,1)</calculatedColumnFormula>
    </tableColumn>
    <tableColumn id="21" xr3:uid="{78C244F9-7E9E-47FD-A78C-A5D4C2D79272}" name="21" dataDxfId="6">
      <calculatedColumnFormula>_xlfn.XLOOKUP("МАКС",#REF!,Курс_840[Дата],,0,1)</calculatedColumnFormula>
    </tableColumn>
    <tableColumn id="22" xr3:uid="{5CFDFB8E-AC8A-4DC4-A9D3-48ACF7A0E0EB}" name="22" dataDxfId="5">
      <calculatedColumnFormula>_xlfn.XLOOKUP("МАКС",#REF!,#REF!,,0,1)</calculatedColumnFormula>
    </tableColumn>
    <tableColumn id="23" xr3:uid="{4A9FB422-E372-4E96-BB5F-BD72EFD53781}" name="23" dataDxfId="4">
      <calculatedColumnFormula>Шаблон_Формулы!$T3*Шаблон_Формулы!$V3</calculatedColumnFormula>
    </tableColumn>
    <tableColumn id="24" xr3:uid="{B4293233-93AA-4248-BF42-1CAFF7BDA958}" name="24" dataDxfId="3"/>
    <tableColumn id="25" xr3:uid="{F8AC5341-935E-486E-8BF5-585E1EFE217E}" name="25" dataDxfId="2">
      <calculatedColumnFormula>Шаблон_Формулы!$W3+Шаблон_Формулы!$X3</calculatedColumnFormula>
    </tableColumn>
    <tableColumn id="26" xr3:uid="{6C80E714-6993-4343-A4B1-A83F3EDBB997}" name="26" dataDxfId="1">
      <calculatedColumnFormula>_xlfn.XLOOKUP($A3,#REF!,#REF!,"",0,1)</calculatedColumnFormula>
    </tableColumn>
    <tableColumn id="27" xr3:uid="{EFF6D157-2699-4CC6-BCD8-61A1E103CD4E}" name="27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125"/>
  <sheetViews>
    <sheetView tabSelected="1" topLeftCell="N1" workbookViewId="0">
      <selection activeCell="Q9" sqref="Q9"/>
    </sheetView>
  </sheetViews>
  <sheetFormatPr defaultRowHeight="15"/>
  <cols>
    <col min="1" max="1" width="7.28515625" bestFit="1" customWidth="1"/>
    <col min="2" max="2" width="16.140625" customWidth="1"/>
    <col min="3" max="3" width="11" customWidth="1"/>
    <col min="4" max="4" width="12.7109375" customWidth="1"/>
    <col min="5" max="5" width="13.42578125" customWidth="1"/>
    <col min="6" max="6" width="19" customWidth="1"/>
    <col min="7" max="7" width="21.28515625" customWidth="1"/>
    <col min="8" max="8" width="7.42578125" bestFit="1" customWidth="1"/>
    <col min="9" max="9" width="19.42578125" customWidth="1"/>
    <col min="10" max="10" width="17.28515625" customWidth="1"/>
    <col min="11" max="11" width="13.7109375" customWidth="1"/>
    <col min="12" max="12" width="21.140625" customWidth="1"/>
    <col min="13" max="13" width="20.5703125" customWidth="1"/>
    <col min="14" max="14" width="18.140625" customWidth="1"/>
    <col min="15" max="15" width="19.28515625" customWidth="1"/>
    <col min="16" max="16" width="21" customWidth="1"/>
    <col min="17" max="17" width="17.5703125" customWidth="1"/>
    <col min="18" max="18" width="15.7109375" customWidth="1"/>
    <col min="19" max="19" width="18.5703125" customWidth="1"/>
    <col min="20" max="20" width="20.28515625" customWidth="1"/>
    <col min="21" max="21" width="18.7109375" customWidth="1"/>
    <col min="22" max="22" width="16.7109375" customWidth="1"/>
    <col min="23" max="23" width="28.140625" customWidth="1"/>
    <col min="24" max="24" width="17.85546875" customWidth="1"/>
    <col min="25" max="25" width="23.5703125" customWidth="1"/>
    <col min="26" max="26" width="21" customWidth="1"/>
    <col min="27" max="27" width="17.7109375" style="3" customWidth="1"/>
  </cols>
  <sheetData>
    <row r="1" spans="1:27" ht="61.5">
      <c r="A1" s="310">
        <v>489</v>
      </c>
      <c r="B1" s="310"/>
      <c r="C1" s="310"/>
      <c r="D1" s="311" t="str">
        <f>AA5</f>
        <v>468 LCL</v>
      </c>
      <c r="E1" s="311"/>
      <c r="F1" s="311"/>
      <c r="G1" s="311"/>
      <c r="H1" s="312" t="s">
        <v>0</v>
      </c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29"/>
      <c r="Z1" s="41"/>
      <c r="AA1" s="41"/>
    </row>
    <row r="2" spans="1:27">
      <c r="A2" s="21" t="s">
        <v>30</v>
      </c>
      <c r="B2" s="21" t="s">
        <v>31</v>
      </c>
      <c r="C2" s="21" t="s">
        <v>32</v>
      </c>
      <c r="D2" s="21" t="s">
        <v>33</v>
      </c>
      <c r="E2" s="21" t="s">
        <v>34</v>
      </c>
      <c r="F2" s="21" t="s">
        <v>35</v>
      </c>
      <c r="G2" s="21" t="s">
        <v>36</v>
      </c>
      <c r="H2" s="21" t="s">
        <v>37</v>
      </c>
      <c r="I2" s="21" t="s">
        <v>38</v>
      </c>
      <c r="J2" s="21" t="s">
        <v>39</v>
      </c>
      <c r="K2" s="21" t="s">
        <v>40</v>
      </c>
      <c r="L2" s="21" t="s">
        <v>41</v>
      </c>
      <c r="M2" s="21" t="s">
        <v>42</v>
      </c>
      <c r="N2" s="21" t="s">
        <v>43</v>
      </c>
      <c r="O2" s="21" t="s">
        <v>44</v>
      </c>
      <c r="P2" s="21" t="s">
        <v>45</v>
      </c>
      <c r="Q2" s="21" t="s">
        <v>46</v>
      </c>
      <c r="R2" s="21" t="s">
        <v>47</v>
      </c>
      <c r="S2" s="21" t="s">
        <v>48</v>
      </c>
      <c r="T2" s="21" t="s">
        <v>49</v>
      </c>
      <c r="U2" s="21" t="s">
        <v>50</v>
      </c>
      <c r="V2" s="21" t="s">
        <v>51</v>
      </c>
      <c r="W2" s="21" t="s">
        <v>52</v>
      </c>
      <c r="X2" s="21" t="s">
        <v>53</v>
      </c>
      <c r="Y2" s="21" t="s">
        <v>54</v>
      </c>
      <c r="Z2" s="21" t="s">
        <v>55</v>
      </c>
      <c r="AA2" s="21" t="s">
        <v>56</v>
      </c>
    </row>
    <row r="3" spans="1:27" s="30" customFormat="1" ht="83.45" customHeight="1">
      <c r="A3" s="49" t="s">
        <v>1</v>
      </c>
      <c r="B3" s="35" t="s">
        <v>103</v>
      </c>
      <c r="C3" s="35" t="s">
        <v>2</v>
      </c>
      <c r="D3" s="35" t="s">
        <v>104</v>
      </c>
      <c r="E3" s="34" t="s">
        <v>105</v>
      </c>
      <c r="F3" s="35" t="s">
        <v>3</v>
      </c>
      <c r="G3" s="32" t="s">
        <v>106</v>
      </c>
      <c r="H3" s="50" t="s">
        <v>62</v>
      </c>
      <c r="I3" s="33" t="s">
        <v>107</v>
      </c>
      <c r="J3" s="33" t="s">
        <v>108</v>
      </c>
      <c r="K3" s="50" t="s">
        <v>66</v>
      </c>
      <c r="L3" s="33" t="s">
        <v>109</v>
      </c>
      <c r="M3" s="33" t="s">
        <v>110</v>
      </c>
      <c r="N3" s="33" t="s">
        <v>111</v>
      </c>
      <c r="O3" s="33" t="s">
        <v>112</v>
      </c>
      <c r="P3" s="33" t="s">
        <v>113</v>
      </c>
      <c r="Q3" s="45" t="s">
        <v>114</v>
      </c>
      <c r="R3" s="33" t="s">
        <v>115</v>
      </c>
      <c r="S3" s="33" t="s">
        <v>116</v>
      </c>
      <c r="T3" s="33" t="s">
        <v>117</v>
      </c>
      <c r="U3" s="34" t="s">
        <v>118</v>
      </c>
      <c r="V3" s="33" t="s">
        <v>119</v>
      </c>
      <c r="W3" s="33" t="s">
        <v>120</v>
      </c>
      <c r="X3" s="34" t="s">
        <v>121</v>
      </c>
      <c r="Y3" s="33" t="s">
        <v>122</v>
      </c>
      <c r="Z3" s="46" t="s">
        <v>123</v>
      </c>
      <c r="AA3" s="31" t="s">
        <v>124</v>
      </c>
    </row>
    <row r="4" spans="1:27">
      <c r="A4" s="49" t="s">
        <v>4</v>
      </c>
      <c r="B4" s="35"/>
      <c r="C4" s="35"/>
      <c r="D4" s="35"/>
      <c r="E4" s="34"/>
      <c r="F4" s="35"/>
      <c r="G4" s="32"/>
      <c r="H4" s="50"/>
      <c r="I4" s="33"/>
      <c r="J4" s="33"/>
      <c r="K4" s="50"/>
      <c r="L4" s="33"/>
      <c r="M4" s="33"/>
      <c r="N4" s="33"/>
      <c r="O4" s="33"/>
      <c r="P4" s="33"/>
      <c r="Q4" s="45"/>
      <c r="R4" s="33"/>
      <c r="S4" s="33"/>
      <c r="T4" s="33"/>
      <c r="U4" s="34"/>
      <c r="V4" s="33"/>
      <c r="W4" s="33">
        <f>SUM(W5:W124)</f>
        <v>77967.940000000031</v>
      </c>
      <c r="X4" s="34"/>
      <c r="Y4" s="33"/>
      <c r="Z4" s="46">
        <f>SUM(Z5:Z124)</f>
        <v>942554426.65999997</v>
      </c>
      <c r="AA4" s="31"/>
    </row>
    <row r="5" spans="1:27">
      <c r="A5" s="49">
        <v>1</v>
      </c>
      <c r="B5" s="35" t="s">
        <v>150</v>
      </c>
      <c r="C5" s="35" t="s">
        <v>126</v>
      </c>
      <c r="D5" s="35" t="s">
        <v>21</v>
      </c>
      <c r="E5" s="34">
        <v>45124</v>
      </c>
      <c r="F5" s="35" t="s">
        <v>152</v>
      </c>
      <c r="G5" s="32" t="s">
        <v>151</v>
      </c>
      <c r="H5" s="50">
        <v>26.97</v>
      </c>
      <c r="I5" s="33">
        <v>17900</v>
      </c>
      <c r="J5" s="33" t="s">
        <v>86</v>
      </c>
      <c r="K5" s="50">
        <v>41.120999999999995</v>
      </c>
      <c r="L5" s="33">
        <v>768000</v>
      </c>
      <c r="M5" s="33">
        <v>228975.3</v>
      </c>
      <c r="N5" s="33">
        <v>127107.46333989932</v>
      </c>
      <c r="O5" s="33">
        <v>32793.463193988478</v>
      </c>
      <c r="P5" s="33">
        <v>121598.16152330927</v>
      </c>
      <c r="Q5" s="45">
        <v>5968.410301305903</v>
      </c>
      <c r="R5" s="33">
        <v>0</v>
      </c>
      <c r="S5" s="33">
        <v>183971.32851827535</v>
      </c>
      <c r="T5" s="33">
        <v>0</v>
      </c>
      <c r="U5" s="34"/>
      <c r="V5" s="33">
        <v>1468414.1268767784</v>
      </c>
      <c r="W5" s="33">
        <v>1141.58</v>
      </c>
      <c r="X5" s="34">
        <v>45155</v>
      </c>
      <c r="Y5" s="33">
        <v>12089</v>
      </c>
      <c r="Z5" s="46">
        <v>13800560.619999999</v>
      </c>
      <c r="AA5" s="31" t="s">
        <v>147</v>
      </c>
    </row>
    <row r="6" spans="1:27">
      <c r="A6" s="49">
        <v>2</v>
      </c>
      <c r="B6" s="35" t="s">
        <v>150</v>
      </c>
      <c r="C6" s="35" t="s">
        <v>126</v>
      </c>
      <c r="D6" s="35" t="s">
        <v>21</v>
      </c>
      <c r="E6" s="34">
        <v>45124</v>
      </c>
      <c r="F6" s="35" t="s">
        <v>152</v>
      </c>
      <c r="G6" s="32" t="s">
        <v>153</v>
      </c>
      <c r="H6" s="50">
        <v>1.81</v>
      </c>
      <c r="I6" s="33">
        <v>324.38</v>
      </c>
      <c r="J6" s="33" t="s">
        <v>86</v>
      </c>
      <c r="K6" s="50">
        <v>41.120999999999995</v>
      </c>
      <c r="L6" s="33">
        <v>232000</v>
      </c>
      <c r="M6" s="33">
        <v>15366.9</v>
      </c>
      <c r="N6" s="33">
        <v>8530.3859341942079</v>
      </c>
      <c r="O6" s="33">
        <v>2200.8219644463902</v>
      </c>
      <c r="P6" s="33">
        <v>8160.6478441672143</v>
      </c>
      <c r="Q6" s="45">
        <v>400.54959752924299</v>
      </c>
      <c r="R6" s="33">
        <v>0</v>
      </c>
      <c r="S6" s="33">
        <v>12346.611220544248</v>
      </c>
      <c r="T6" s="33">
        <v>0</v>
      </c>
      <c r="U6" s="34"/>
      <c r="V6" s="33">
        <v>279005.91656088131</v>
      </c>
      <c r="W6" s="33">
        <v>216.91</v>
      </c>
      <c r="X6" s="34">
        <v>45155</v>
      </c>
      <c r="Y6" s="33">
        <v>12089</v>
      </c>
      <c r="Z6" s="46">
        <v>2622224.9899999998</v>
      </c>
      <c r="AA6" s="31" t="s">
        <v>147</v>
      </c>
    </row>
    <row r="7" spans="1:27" ht="24.75">
      <c r="A7" s="49">
        <v>3</v>
      </c>
      <c r="B7" s="35" t="s">
        <v>150</v>
      </c>
      <c r="C7" s="35" t="s">
        <v>126</v>
      </c>
      <c r="D7" s="35" t="s">
        <v>21</v>
      </c>
      <c r="E7" s="34">
        <v>45124</v>
      </c>
      <c r="F7" s="35" t="s">
        <v>96</v>
      </c>
      <c r="G7" s="32" t="s">
        <v>154</v>
      </c>
      <c r="H7" s="50">
        <v>5.85</v>
      </c>
      <c r="I7" s="33">
        <v>2415</v>
      </c>
      <c r="J7" s="33" t="s">
        <v>86</v>
      </c>
      <c r="K7" s="50">
        <v>41.120999999999995</v>
      </c>
      <c r="L7" s="33">
        <v>520000</v>
      </c>
      <c r="M7" s="33">
        <v>49666.5</v>
      </c>
      <c r="N7" s="33">
        <v>27570.584372948131</v>
      </c>
      <c r="O7" s="33">
        <v>7113.1538629897141</v>
      </c>
      <c r="P7" s="33">
        <v>26375.574523965861</v>
      </c>
      <c r="Q7" s="45">
        <v>1294.5940030641279</v>
      </c>
      <c r="R7" s="33">
        <v>0</v>
      </c>
      <c r="S7" s="33">
        <v>39904.793171372294</v>
      </c>
      <c r="T7" s="33">
        <v>0</v>
      </c>
      <c r="U7" s="34"/>
      <c r="V7" s="33">
        <v>671925.19993434008</v>
      </c>
      <c r="W7" s="33">
        <v>522.37</v>
      </c>
      <c r="X7" s="34">
        <v>45155</v>
      </c>
      <c r="Y7" s="33">
        <v>12089</v>
      </c>
      <c r="Z7" s="46">
        <v>6314930.9299999997</v>
      </c>
      <c r="AA7" s="31" t="s">
        <v>147</v>
      </c>
    </row>
    <row r="8" spans="1:27">
      <c r="A8" s="49">
        <v>4</v>
      </c>
      <c r="B8" s="35" t="s">
        <v>150</v>
      </c>
      <c r="C8" s="35" t="s">
        <v>126</v>
      </c>
      <c r="D8" s="35" t="s">
        <v>21</v>
      </c>
      <c r="E8" s="34">
        <v>45124</v>
      </c>
      <c r="F8" s="35" t="s">
        <v>92</v>
      </c>
      <c r="G8" s="32" t="s">
        <v>155</v>
      </c>
      <c r="H8" s="50">
        <v>6.4909999999999997</v>
      </c>
      <c r="I8" s="33">
        <v>2270.31</v>
      </c>
      <c r="J8" s="33" t="s">
        <v>93</v>
      </c>
      <c r="K8" s="50">
        <v>41.120999999999995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45">
        <v>0</v>
      </c>
      <c r="R8" s="33">
        <v>0</v>
      </c>
      <c r="S8" s="33">
        <v>0</v>
      </c>
      <c r="T8" s="33">
        <v>0</v>
      </c>
      <c r="U8" s="34"/>
      <c r="V8" s="33">
        <v>0</v>
      </c>
      <c r="W8" s="33">
        <v>0</v>
      </c>
      <c r="X8" s="34">
        <v>45155</v>
      </c>
      <c r="Y8" s="33">
        <v>12089</v>
      </c>
      <c r="Z8" s="46">
        <v>0</v>
      </c>
      <c r="AA8" s="31" t="s">
        <v>147</v>
      </c>
    </row>
    <row r="9" spans="1:27">
      <c r="A9" s="49">
        <v>5</v>
      </c>
      <c r="B9" s="35" t="s">
        <v>156</v>
      </c>
      <c r="C9" s="35" t="s">
        <v>126</v>
      </c>
      <c r="D9" s="35" t="s">
        <v>21</v>
      </c>
      <c r="E9" s="34">
        <v>45124</v>
      </c>
      <c r="F9" s="35" t="s">
        <v>152</v>
      </c>
      <c r="G9" s="32" t="s">
        <v>157</v>
      </c>
      <c r="H9" s="50">
        <v>7.9359999999999999</v>
      </c>
      <c r="I9" s="33">
        <v>2840</v>
      </c>
      <c r="J9" s="33" t="s">
        <v>86</v>
      </c>
      <c r="K9" s="50">
        <v>64.121000000000009</v>
      </c>
      <c r="L9" s="33">
        <v>332000</v>
      </c>
      <c r="M9" s="33">
        <v>67376.639999999999</v>
      </c>
      <c r="N9" s="33">
        <v>23985.851749036978</v>
      </c>
      <c r="O9" s="33">
        <v>6188.3002448495799</v>
      </c>
      <c r="P9" s="33">
        <v>22946.217307902243</v>
      </c>
      <c r="Q9" s="45">
        <v>1126.2706445626236</v>
      </c>
      <c r="R9" s="33">
        <v>0</v>
      </c>
      <c r="S9" s="33">
        <v>34716.364373606142</v>
      </c>
      <c r="T9" s="33">
        <v>0</v>
      </c>
      <c r="U9" s="34"/>
      <c r="V9" s="33">
        <v>488339.64431995759</v>
      </c>
      <c r="W9" s="33">
        <v>379.65</v>
      </c>
      <c r="X9" s="34">
        <v>45155</v>
      </c>
      <c r="Y9" s="33">
        <v>12089</v>
      </c>
      <c r="Z9" s="46">
        <v>4589588.8499999996</v>
      </c>
      <c r="AA9" s="31" t="s">
        <v>147</v>
      </c>
    </row>
    <row r="10" spans="1:27">
      <c r="A10" s="49">
        <v>6</v>
      </c>
      <c r="B10" s="35" t="s">
        <v>156</v>
      </c>
      <c r="C10" s="35" t="s">
        <v>126</v>
      </c>
      <c r="D10" s="35" t="s">
        <v>21</v>
      </c>
      <c r="E10" s="34">
        <v>45124</v>
      </c>
      <c r="F10" s="35" t="s">
        <v>152</v>
      </c>
      <c r="G10" s="32" t="s">
        <v>158</v>
      </c>
      <c r="H10" s="50">
        <v>7.12</v>
      </c>
      <c r="I10" s="33">
        <v>1186</v>
      </c>
      <c r="J10" s="33" t="s">
        <v>86</v>
      </c>
      <c r="K10" s="50">
        <v>64.121000000000009</v>
      </c>
      <c r="L10" s="33">
        <v>332000</v>
      </c>
      <c r="M10" s="33">
        <v>60448.800000000003</v>
      </c>
      <c r="N10" s="33">
        <v>21519.564573228738</v>
      </c>
      <c r="O10" s="33">
        <v>5552.0032438670632</v>
      </c>
      <c r="P10" s="33">
        <v>20586.828028259071</v>
      </c>
      <c r="Q10" s="45">
        <v>1010.4645903838054</v>
      </c>
      <c r="R10" s="33">
        <v>0</v>
      </c>
      <c r="S10" s="33">
        <v>31146.738198094223</v>
      </c>
      <c r="T10" s="33">
        <v>0</v>
      </c>
      <c r="U10" s="34"/>
      <c r="V10" s="33">
        <v>472264.39863383299</v>
      </c>
      <c r="W10" s="33">
        <v>367.15</v>
      </c>
      <c r="X10" s="34">
        <v>45155</v>
      </c>
      <c r="Y10" s="33">
        <v>12089</v>
      </c>
      <c r="Z10" s="46">
        <v>4438476.3499999996</v>
      </c>
      <c r="AA10" s="31" t="s">
        <v>147</v>
      </c>
    </row>
    <row r="11" spans="1:27">
      <c r="A11" s="49">
        <v>7</v>
      </c>
      <c r="B11" s="35" t="s">
        <v>156</v>
      </c>
      <c r="C11" s="35" t="s">
        <v>126</v>
      </c>
      <c r="D11" s="35" t="s">
        <v>21</v>
      </c>
      <c r="E11" s="34">
        <v>45124</v>
      </c>
      <c r="F11" s="35" t="s">
        <v>90</v>
      </c>
      <c r="G11" s="32" t="s">
        <v>159</v>
      </c>
      <c r="H11" s="50">
        <v>23.359000000000002</v>
      </c>
      <c r="I11" s="33">
        <v>4979</v>
      </c>
      <c r="J11" s="33" t="s">
        <v>86</v>
      </c>
      <c r="K11" s="50">
        <v>64.121000000000009</v>
      </c>
      <c r="L11" s="33">
        <v>635000</v>
      </c>
      <c r="M11" s="33">
        <v>198317.91</v>
      </c>
      <c r="N11" s="33">
        <v>70600.492818265455</v>
      </c>
      <c r="O11" s="33">
        <v>18214.781428861057</v>
      </c>
      <c r="P11" s="33">
        <v>67540.409538216802</v>
      </c>
      <c r="Q11" s="45">
        <v>3315.0902200527125</v>
      </c>
      <c r="R11" s="33">
        <v>0</v>
      </c>
      <c r="S11" s="33">
        <v>102184.92381591052</v>
      </c>
      <c r="T11" s="33">
        <v>0</v>
      </c>
      <c r="U11" s="34"/>
      <c r="V11" s="33">
        <v>1095173.6078213069</v>
      </c>
      <c r="W11" s="33">
        <v>851.41</v>
      </c>
      <c r="X11" s="34">
        <v>45155</v>
      </c>
      <c r="Y11" s="33">
        <v>12089</v>
      </c>
      <c r="Z11" s="46">
        <v>10292695.49</v>
      </c>
      <c r="AA11" s="31" t="s">
        <v>147</v>
      </c>
    </row>
    <row r="12" spans="1:27">
      <c r="A12" s="49">
        <v>8</v>
      </c>
      <c r="B12" s="35" t="s">
        <v>156</v>
      </c>
      <c r="C12" s="35" t="s">
        <v>126</v>
      </c>
      <c r="D12" s="35" t="s">
        <v>21</v>
      </c>
      <c r="E12" s="34">
        <v>45124</v>
      </c>
      <c r="F12" s="35" t="s">
        <v>94</v>
      </c>
      <c r="G12" s="32" t="s">
        <v>160</v>
      </c>
      <c r="H12" s="50">
        <v>14.747</v>
      </c>
      <c r="I12" s="33">
        <v>3012</v>
      </c>
      <c r="J12" s="33" t="s">
        <v>86</v>
      </c>
      <c r="K12" s="50">
        <v>64.121000000000009</v>
      </c>
      <c r="L12" s="33">
        <v>216500</v>
      </c>
      <c r="M12" s="33">
        <v>125202.03</v>
      </c>
      <c r="N12" s="33">
        <v>44571.491399073617</v>
      </c>
      <c r="O12" s="33">
        <v>11499.352786138705</v>
      </c>
      <c r="P12" s="33">
        <v>42639.600131002313</v>
      </c>
      <c r="Q12" s="45">
        <v>2092.8822070772444</v>
      </c>
      <c r="R12" s="33">
        <v>0</v>
      </c>
      <c r="S12" s="33">
        <v>64511.369130238134</v>
      </c>
      <c r="T12" s="33">
        <v>0</v>
      </c>
      <c r="U12" s="34"/>
      <c r="V12" s="33">
        <v>507016.7256535301</v>
      </c>
      <c r="W12" s="33">
        <v>394.17</v>
      </c>
      <c r="X12" s="34">
        <v>45155</v>
      </c>
      <c r="Y12" s="33">
        <v>12089</v>
      </c>
      <c r="Z12" s="46">
        <v>4765121.13</v>
      </c>
      <c r="AA12" s="31" t="s">
        <v>147</v>
      </c>
    </row>
    <row r="13" spans="1:27">
      <c r="A13" s="49">
        <v>9</v>
      </c>
      <c r="B13" s="35" t="s">
        <v>156</v>
      </c>
      <c r="C13" s="35" t="s">
        <v>126</v>
      </c>
      <c r="D13" s="35" t="s">
        <v>21</v>
      </c>
      <c r="E13" s="34">
        <v>45124</v>
      </c>
      <c r="F13" s="35" t="s">
        <v>87</v>
      </c>
      <c r="G13" s="32" t="s">
        <v>161</v>
      </c>
      <c r="H13" s="50">
        <v>2.4350000000000001</v>
      </c>
      <c r="I13" s="33">
        <v>549</v>
      </c>
      <c r="J13" s="33" t="s">
        <v>86</v>
      </c>
      <c r="K13" s="50">
        <v>64.121000000000009</v>
      </c>
      <c r="L13" s="33">
        <v>119000</v>
      </c>
      <c r="M13" s="33">
        <v>20673.150000000001</v>
      </c>
      <c r="N13" s="33">
        <v>7359.570187614042</v>
      </c>
      <c r="O13" s="33">
        <v>1898.7539183730755</v>
      </c>
      <c r="P13" s="33">
        <v>7040.579529327365</v>
      </c>
      <c r="Q13" s="45">
        <v>345.57321314389981</v>
      </c>
      <c r="R13" s="33">
        <v>0</v>
      </c>
      <c r="S13" s="33">
        <v>10652.009482072956</v>
      </c>
      <c r="T13" s="33">
        <v>0</v>
      </c>
      <c r="U13" s="34"/>
      <c r="V13" s="33">
        <v>166969.63633053133</v>
      </c>
      <c r="W13" s="33">
        <v>129.81</v>
      </c>
      <c r="X13" s="34">
        <v>45155</v>
      </c>
      <c r="Y13" s="33">
        <v>12089</v>
      </c>
      <c r="Z13" s="46">
        <v>1569273.09</v>
      </c>
      <c r="AA13" s="31" t="s">
        <v>147</v>
      </c>
    </row>
    <row r="14" spans="1:27">
      <c r="A14" s="49">
        <v>10</v>
      </c>
      <c r="B14" s="35" t="s">
        <v>156</v>
      </c>
      <c r="C14" s="35" t="s">
        <v>126</v>
      </c>
      <c r="D14" s="35" t="s">
        <v>21</v>
      </c>
      <c r="E14" s="34">
        <v>45124</v>
      </c>
      <c r="F14" s="35" t="s">
        <v>87</v>
      </c>
      <c r="G14" s="32" t="s">
        <v>162</v>
      </c>
      <c r="H14" s="50">
        <v>8.5239999999999991</v>
      </c>
      <c r="I14" s="33">
        <v>540</v>
      </c>
      <c r="J14" s="33" t="s">
        <v>86</v>
      </c>
      <c r="K14" s="50">
        <v>64.121000000000009</v>
      </c>
      <c r="L14" s="33">
        <v>232000</v>
      </c>
      <c r="M14" s="33">
        <v>72368.759999999995</v>
      </c>
      <c r="N14" s="33">
        <v>25763.029272781139</v>
      </c>
      <c r="O14" s="33">
        <v>6646.8083779105109</v>
      </c>
      <c r="P14" s="33">
        <v>24646.365465292176</v>
      </c>
      <c r="Q14" s="45">
        <v>1209.719124779713</v>
      </c>
      <c r="R14" s="33">
        <v>0</v>
      </c>
      <c r="S14" s="33">
        <v>37288.59500007797</v>
      </c>
      <c r="T14" s="33">
        <v>0</v>
      </c>
      <c r="U14" s="34"/>
      <c r="V14" s="33">
        <v>399923.27724084153</v>
      </c>
      <c r="W14" s="33">
        <v>310.91000000000003</v>
      </c>
      <c r="X14" s="34">
        <v>45155</v>
      </c>
      <c r="Y14" s="33">
        <v>12089</v>
      </c>
      <c r="Z14" s="46">
        <v>3758590.99</v>
      </c>
      <c r="AA14" s="31" t="s">
        <v>147</v>
      </c>
    </row>
    <row r="15" spans="1:27">
      <c r="A15" s="49">
        <v>11</v>
      </c>
      <c r="B15" s="35" t="s">
        <v>163</v>
      </c>
      <c r="C15" s="35" t="s">
        <v>126</v>
      </c>
      <c r="D15" s="35" t="s">
        <v>21</v>
      </c>
      <c r="E15" s="34">
        <v>45124</v>
      </c>
      <c r="F15" s="35" t="s">
        <v>152</v>
      </c>
      <c r="G15" s="32" t="s">
        <v>164</v>
      </c>
      <c r="H15" s="50">
        <v>16.675000000000001</v>
      </c>
      <c r="I15" s="33">
        <v>6875</v>
      </c>
      <c r="J15" s="33" t="s">
        <v>86</v>
      </c>
      <c r="K15" s="50">
        <v>61.750000000000007</v>
      </c>
      <c r="L15" s="33">
        <v>376000</v>
      </c>
      <c r="M15" s="33">
        <v>141570.75</v>
      </c>
      <c r="N15" s="33">
        <v>52333.846153846149</v>
      </c>
      <c r="O15" s="33">
        <v>13502.024291497974</v>
      </c>
      <c r="P15" s="33">
        <v>50065.506072874487</v>
      </c>
      <c r="Q15" s="45">
        <v>2457.3684210526312</v>
      </c>
      <c r="R15" s="33">
        <v>0</v>
      </c>
      <c r="S15" s="33">
        <v>75746.356275303639</v>
      </c>
      <c r="T15" s="33">
        <v>0</v>
      </c>
      <c r="U15" s="34"/>
      <c r="V15" s="33">
        <v>711675.85121457488</v>
      </c>
      <c r="W15" s="33">
        <v>553.27</v>
      </c>
      <c r="X15" s="34">
        <v>45155</v>
      </c>
      <c r="Y15" s="33">
        <v>12089</v>
      </c>
      <c r="Z15" s="46">
        <v>6688481.0299999993</v>
      </c>
      <c r="AA15" s="31" t="s">
        <v>147</v>
      </c>
    </row>
    <row r="16" spans="1:27">
      <c r="A16" s="49">
        <v>12</v>
      </c>
      <c r="B16" s="35" t="s">
        <v>163</v>
      </c>
      <c r="C16" s="35" t="s">
        <v>126</v>
      </c>
      <c r="D16" s="35" t="s">
        <v>21</v>
      </c>
      <c r="E16" s="34">
        <v>45124</v>
      </c>
      <c r="F16" s="35" t="s">
        <v>152</v>
      </c>
      <c r="G16" s="32" t="s">
        <v>165</v>
      </c>
      <c r="H16" s="50">
        <v>16.864000000000001</v>
      </c>
      <c r="I16" s="33">
        <v>6035</v>
      </c>
      <c r="J16" s="33" t="s">
        <v>86</v>
      </c>
      <c r="K16" s="50">
        <v>61.750000000000007</v>
      </c>
      <c r="L16" s="33">
        <v>376000</v>
      </c>
      <c r="M16" s="33">
        <v>143175.36000000002</v>
      </c>
      <c r="N16" s="33">
        <v>52927.015384615384</v>
      </c>
      <c r="O16" s="33">
        <v>13655.060728744938</v>
      </c>
      <c r="P16" s="33">
        <v>50632.965182186235</v>
      </c>
      <c r="Q16" s="45">
        <v>2485.2210526315789</v>
      </c>
      <c r="R16" s="33">
        <v>0</v>
      </c>
      <c r="S16" s="33">
        <v>76604.890688259111</v>
      </c>
      <c r="T16" s="33">
        <v>0</v>
      </c>
      <c r="U16" s="34"/>
      <c r="V16" s="33">
        <v>715480.51303643733</v>
      </c>
      <c r="W16" s="33">
        <v>556.23</v>
      </c>
      <c r="X16" s="34">
        <v>45155</v>
      </c>
      <c r="Y16" s="33">
        <v>12089</v>
      </c>
      <c r="Z16" s="46">
        <v>6724264.4700000007</v>
      </c>
      <c r="AA16" s="31" t="s">
        <v>147</v>
      </c>
    </row>
    <row r="17" spans="1:27">
      <c r="A17" s="49">
        <v>13</v>
      </c>
      <c r="B17" s="35" t="s">
        <v>163</v>
      </c>
      <c r="C17" s="35" t="s">
        <v>126</v>
      </c>
      <c r="D17" s="35" t="s">
        <v>21</v>
      </c>
      <c r="E17" s="34">
        <v>45124</v>
      </c>
      <c r="F17" s="35" t="s">
        <v>152</v>
      </c>
      <c r="G17" s="32" t="s">
        <v>166</v>
      </c>
      <c r="H17" s="50">
        <v>16.864000000000001</v>
      </c>
      <c r="I17" s="33">
        <v>6035</v>
      </c>
      <c r="J17" s="33" t="s">
        <v>86</v>
      </c>
      <c r="K17" s="50">
        <v>61.750000000000007</v>
      </c>
      <c r="L17" s="33">
        <v>376000</v>
      </c>
      <c r="M17" s="33">
        <v>143175.36000000002</v>
      </c>
      <c r="N17" s="33">
        <v>52927.015384615384</v>
      </c>
      <c r="O17" s="33">
        <v>13655.060728744938</v>
      </c>
      <c r="P17" s="33">
        <v>50632.965182186235</v>
      </c>
      <c r="Q17" s="45">
        <v>2485.2210526315789</v>
      </c>
      <c r="R17" s="33">
        <v>0</v>
      </c>
      <c r="S17" s="33">
        <v>76604.890688259111</v>
      </c>
      <c r="T17" s="33">
        <v>0</v>
      </c>
      <c r="U17" s="34"/>
      <c r="V17" s="33">
        <v>715480.51303643733</v>
      </c>
      <c r="W17" s="33">
        <v>556.23</v>
      </c>
      <c r="X17" s="34">
        <v>45155</v>
      </c>
      <c r="Y17" s="33">
        <v>12089</v>
      </c>
      <c r="Z17" s="46">
        <v>6724264.4700000007</v>
      </c>
      <c r="AA17" s="31" t="s">
        <v>147</v>
      </c>
    </row>
    <row r="18" spans="1:27">
      <c r="A18" s="49">
        <v>14</v>
      </c>
      <c r="B18" s="35" t="s">
        <v>163</v>
      </c>
      <c r="C18" s="35" t="s">
        <v>126</v>
      </c>
      <c r="D18" s="35" t="s">
        <v>21</v>
      </c>
      <c r="E18" s="34">
        <v>45124</v>
      </c>
      <c r="F18" s="35" t="s">
        <v>152</v>
      </c>
      <c r="G18" s="32" t="s">
        <v>167</v>
      </c>
      <c r="H18" s="50">
        <v>11.347</v>
      </c>
      <c r="I18" s="33">
        <v>4658</v>
      </c>
      <c r="J18" s="33" t="s">
        <v>86</v>
      </c>
      <c r="K18" s="50">
        <v>61.750000000000007</v>
      </c>
      <c r="L18" s="33">
        <v>332000</v>
      </c>
      <c r="M18" s="33">
        <v>96336.03</v>
      </c>
      <c r="N18" s="33">
        <v>35612.123076923068</v>
      </c>
      <c r="O18" s="33">
        <v>9187.8542510121442</v>
      </c>
      <c r="P18" s="33">
        <v>34068.563562753028</v>
      </c>
      <c r="Q18" s="45">
        <v>1672.1894736842105</v>
      </c>
      <c r="R18" s="33">
        <v>0</v>
      </c>
      <c r="S18" s="33">
        <v>51543.862348178125</v>
      </c>
      <c r="T18" s="33">
        <v>0</v>
      </c>
      <c r="U18" s="34"/>
      <c r="V18" s="33">
        <v>560420.62271255068</v>
      </c>
      <c r="W18" s="33">
        <v>435.68</v>
      </c>
      <c r="X18" s="34">
        <v>45155</v>
      </c>
      <c r="Y18" s="33">
        <v>12089</v>
      </c>
      <c r="Z18" s="46">
        <v>5266935.5200000005</v>
      </c>
      <c r="AA18" s="31" t="s">
        <v>147</v>
      </c>
    </row>
    <row r="19" spans="1:27">
      <c r="A19" s="49">
        <v>15</v>
      </c>
      <c r="B19" s="35" t="s">
        <v>168</v>
      </c>
      <c r="C19" s="35" t="s">
        <v>126</v>
      </c>
      <c r="D19" s="35" t="s">
        <v>21</v>
      </c>
      <c r="E19" s="34">
        <v>45124</v>
      </c>
      <c r="F19" s="35" t="s">
        <v>152</v>
      </c>
      <c r="G19" s="32" t="s">
        <v>169</v>
      </c>
      <c r="H19" s="50">
        <v>28.48</v>
      </c>
      <c r="I19" s="33">
        <v>4744</v>
      </c>
      <c r="J19" s="33" t="s">
        <v>86</v>
      </c>
      <c r="K19" s="50">
        <v>59.96</v>
      </c>
      <c r="L19" s="33">
        <v>392000</v>
      </c>
      <c r="M19" s="33">
        <v>241795.20000000001</v>
      </c>
      <c r="N19" s="33">
        <v>92051.767845230148</v>
      </c>
      <c r="O19" s="33">
        <v>23749.166110740494</v>
      </c>
      <c r="P19" s="33">
        <v>88061.907938625751</v>
      </c>
      <c r="Q19" s="45">
        <v>4322.3482321547699</v>
      </c>
      <c r="R19" s="33">
        <v>0</v>
      </c>
      <c r="S19" s="33">
        <v>133232.82188125417</v>
      </c>
      <c r="T19" s="33">
        <v>0</v>
      </c>
      <c r="U19" s="34"/>
      <c r="V19" s="33">
        <v>975213.21200800547</v>
      </c>
      <c r="W19" s="33">
        <v>758.15</v>
      </c>
      <c r="X19" s="34">
        <v>45155</v>
      </c>
      <c r="Y19" s="33">
        <v>12089</v>
      </c>
      <c r="Z19" s="46">
        <v>9165275.3499999996</v>
      </c>
      <c r="AA19" s="31" t="s">
        <v>147</v>
      </c>
    </row>
    <row r="20" spans="1:27">
      <c r="A20" s="49">
        <v>16</v>
      </c>
      <c r="B20" s="35" t="s">
        <v>168</v>
      </c>
      <c r="C20" s="35" t="s">
        <v>126</v>
      </c>
      <c r="D20" s="35" t="s">
        <v>21</v>
      </c>
      <c r="E20" s="34">
        <v>45124</v>
      </c>
      <c r="F20" s="35" t="s">
        <v>152</v>
      </c>
      <c r="G20" s="32" t="s">
        <v>170</v>
      </c>
      <c r="H20" s="50">
        <v>29.907</v>
      </c>
      <c r="I20" s="33">
        <v>4555.82</v>
      </c>
      <c r="J20" s="33" t="s">
        <v>86</v>
      </c>
      <c r="K20" s="50">
        <v>59.96</v>
      </c>
      <c r="L20" s="33">
        <v>392000</v>
      </c>
      <c r="M20" s="33">
        <v>253910.43</v>
      </c>
      <c r="N20" s="33">
        <v>96664.052701801207</v>
      </c>
      <c r="O20" s="33">
        <v>24939.126084056039</v>
      </c>
      <c r="P20" s="33">
        <v>92474.279519679782</v>
      </c>
      <c r="Q20" s="45">
        <v>4538.9209472981984</v>
      </c>
      <c r="R20" s="33">
        <v>0</v>
      </c>
      <c r="S20" s="33">
        <v>139908.49733155436</v>
      </c>
      <c r="T20" s="33">
        <v>0</v>
      </c>
      <c r="U20" s="34"/>
      <c r="V20" s="33">
        <v>1004435.3065843894</v>
      </c>
      <c r="W20" s="33">
        <v>780.87</v>
      </c>
      <c r="X20" s="34">
        <v>45155</v>
      </c>
      <c r="Y20" s="33">
        <v>12089</v>
      </c>
      <c r="Z20" s="46">
        <v>9439937.4299999997</v>
      </c>
      <c r="AA20" s="31" t="s">
        <v>147</v>
      </c>
    </row>
    <row r="21" spans="1:27">
      <c r="A21" s="49">
        <v>17</v>
      </c>
      <c r="B21" s="35" t="s">
        <v>168</v>
      </c>
      <c r="C21" s="35" t="s">
        <v>126</v>
      </c>
      <c r="D21" s="35" t="s">
        <v>21</v>
      </c>
      <c r="E21" s="34">
        <v>45124</v>
      </c>
      <c r="F21" s="35" t="s">
        <v>172</v>
      </c>
      <c r="G21" s="32" t="s">
        <v>171</v>
      </c>
      <c r="H21" s="50">
        <v>1.573</v>
      </c>
      <c r="I21" s="33">
        <v>1020</v>
      </c>
      <c r="J21" s="33" t="s">
        <v>93</v>
      </c>
      <c r="K21" s="50">
        <v>59.96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45">
        <v>0</v>
      </c>
      <c r="R21" s="33">
        <v>0</v>
      </c>
      <c r="S21" s="33">
        <v>0</v>
      </c>
      <c r="T21" s="33">
        <v>0</v>
      </c>
      <c r="U21" s="34"/>
      <c r="V21" s="33">
        <v>0</v>
      </c>
      <c r="W21" s="33">
        <v>0</v>
      </c>
      <c r="X21" s="34">
        <v>45155</v>
      </c>
      <c r="Y21" s="33">
        <v>12089</v>
      </c>
      <c r="Z21" s="46">
        <v>0</v>
      </c>
      <c r="AA21" s="31" t="s">
        <v>147</v>
      </c>
    </row>
    <row r="22" spans="1:27">
      <c r="A22" s="49">
        <v>18</v>
      </c>
      <c r="B22" s="35" t="s">
        <v>173</v>
      </c>
      <c r="C22" s="35" t="s">
        <v>126</v>
      </c>
      <c r="D22" s="35" t="s">
        <v>21</v>
      </c>
      <c r="E22" s="34">
        <v>45124</v>
      </c>
      <c r="F22" s="35" t="s">
        <v>152</v>
      </c>
      <c r="G22" s="32" t="s">
        <v>174</v>
      </c>
      <c r="H22" s="50">
        <v>54.834000000000003</v>
      </c>
      <c r="I22" s="33">
        <v>7091.1</v>
      </c>
      <c r="J22" s="33" t="s">
        <v>86</v>
      </c>
      <c r="K22" s="50">
        <v>57.206000000000003</v>
      </c>
      <c r="L22" s="33">
        <v>784000</v>
      </c>
      <c r="M22" s="33">
        <v>465540.66</v>
      </c>
      <c r="N22" s="33">
        <v>185764.24151312801</v>
      </c>
      <c r="O22" s="33">
        <v>47926.790896059858</v>
      </c>
      <c r="P22" s="33">
        <v>177712.54064258994</v>
      </c>
      <c r="Q22" s="45">
        <v>8722.6759430828934</v>
      </c>
      <c r="R22" s="33">
        <v>0</v>
      </c>
      <c r="S22" s="33">
        <v>268869.2969268958</v>
      </c>
      <c r="T22" s="33">
        <v>0</v>
      </c>
      <c r="U22" s="34"/>
      <c r="V22" s="33">
        <v>1938536.2059217568</v>
      </c>
      <c r="W22" s="33">
        <v>1507.06</v>
      </c>
      <c r="X22" s="34">
        <v>45155</v>
      </c>
      <c r="Y22" s="33">
        <v>12089</v>
      </c>
      <c r="Z22" s="46">
        <v>18218848.34</v>
      </c>
      <c r="AA22" s="31" t="s">
        <v>147</v>
      </c>
    </row>
    <row r="23" spans="1:27">
      <c r="A23" s="49">
        <v>19</v>
      </c>
      <c r="B23" s="35" t="s">
        <v>173</v>
      </c>
      <c r="C23" s="35" t="s">
        <v>126</v>
      </c>
      <c r="D23" s="35" t="s">
        <v>21</v>
      </c>
      <c r="E23" s="34">
        <v>45124</v>
      </c>
      <c r="F23" s="35" t="s">
        <v>152</v>
      </c>
      <c r="G23" s="32" t="s">
        <v>175</v>
      </c>
      <c r="H23" s="50">
        <v>2.3719999999999999</v>
      </c>
      <c r="I23" s="33">
        <v>770</v>
      </c>
      <c r="J23" s="33" t="s">
        <v>86</v>
      </c>
      <c r="K23" s="50">
        <v>57.206000000000003</v>
      </c>
      <c r="L23" s="33">
        <v>232000</v>
      </c>
      <c r="M23" s="33">
        <v>20138.28</v>
      </c>
      <c r="N23" s="33">
        <v>8035.7584868720051</v>
      </c>
      <c r="O23" s="33">
        <v>2073.2091039401457</v>
      </c>
      <c r="P23" s="33">
        <v>7687.4593574100609</v>
      </c>
      <c r="Q23" s="45">
        <v>377.32405691710653</v>
      </c>
      <c r="R23" s="33">
        <v>0</v>
      </c>
      <c r="S23" s="33">
        <v>11630.703073104218</v>
      </c>
      <c r="T23" s="33">
        <v>0</v>
      </c>
      <c r="U23" s="34"/>
      <c r="V23" s="33">
        <v>281942.73407824355</v>
      </c>
      <c r="W23" s="33">
        <v>219.19</v>
      </c>
      <c r="X23" s="34">
        <v>45155</v>
      </c>
      <c r="Y23" s="33">
        <v>12089</v>
      </c>
      <c r="Z23" s="46">
        <v>2649787.91</v>
      </c>
      <c r="AA23" s="31" t="s">
        <v>147</v>
      </c>
    </row>
    <row r="24" spans="1:27">
      <c r="A24" s="49">
        <v>20</v>
      </c>
      <c r="B24" s="35" t="s">
        <v>176</v>
      </c>
      <c r="C24" s="35" t="s">
        <v>126</v>
      </c>
      <c r="D24" s="35" t="s">
        <v>21</v>
      </c>
      <c r="E24" s="34">
        <v>45124</v>
      </c>
      <c r="F24" s="35" t="s">
        <v>152</v>
      </c>
      <c r="G24" s="32" t="s">
        <v>177</v>
      </c>
      <c r="H24" s="50">
        <v>44.23</v>
      </c>
      <c r="I24" s="33">
        <v>5507.94</v>
      </c>
      <c r="J24" s="33" t="s">
        <v>86</v>
      </c>
      <c r="K24" s="50">
        <v>64.278999999999996</v>
      </c>
      <c r="L24" s="33">
        <v>724000</v>
      </c>
      <c r="M24" s="33">
        <v>375512.6999999999</v>
      </c>
      <c r="N24" s="33">
        <v>133352.63460850355</v>
      </c>
      <c r="O24" s="33">
        <v>34404.704491357981</v>
      </c>
      <c r="P24" s="33">
        <v>127572.6442539554</v>
      </c>
      <c r="Q24" s="45">
        <v>6261.656217427153</v>
      </c>
      <c r="R24" s="33">
        <v>0</v>
      </c>
      <c r="S24" s="33">
        <v>193010.39219651828</v>
      </c>
      <c r="T24" s="33">
        <v>0</v>
      </c>
      <c r="U24" s="34"/>
      <c r="V24" s="33">
        <v>1594114.7317677627</v>
      </c>
      <c r="W24" s="33">
        <v>1239.3</v>
      </c>
      <c r="X24" s="34">
        <v>45155</v>
      </c>
      <c r="Y24" s="33">
        <v>12089</v>
      </c>
      <c r="Z24" s="46">
        <v>14981897.699999999</v>
      </c>
      <c r="AA24" s="31" t="s">
        <v>147</v>
      </c>
    </row>
    <row r="25" spans="1:27">
      <c r="A25" s="49">
        <v>21</v>
      </c>
      <c r="B25" s="35" t="s">
        <v>176</v>
      </c>
      <c r="C25" s="35" t="s">
        <v>126</v>
      </c>
      <c r="D25" s="35" t="s">
        <v>21</v>
      </c>
      <c r="E25" s="34">
        <v>45124</v>
      </c>
      <c r="F25" s="35" t="s">
        <v>152</v>
      </c>
      <c r="G25" s="32" t="s">
        <v>178</v>
      </c>
      <c r="H25" s="50">
        <v>10.79</v>
      </c>
      <c r="I25" s="33">
        <v>8614</v>
      </c>
      <c r="J25" s="33" t="s">
        <v>86</v>
      </c>
      <c r="K25" s="50">
        <v>64.278999999999996</v>
      </c>
      <c r="L25" s="33">
        <v>392000</v>
      </c>
      <c r="M25" s="33">
        <v>91607.099999999991</v>
      </c>
      <c r="N25" s="33">
        <v>32531.651083557612</v>
      </c>
      <c r="O25" s="33">
        <v>8393.0988347671864</v>
      </c>
      <c r="P25" s="33">
        <v>31121.610479316725</v>
      </c>
      <c r="Q25" s="45">
        <v>1527.5439879276278</v>
      </c>
      <c r="R25" s="33">
        <v>0</v>
      </c>
      <c r="S25" s="33">
        <v>47085.284463043914</v>
      </c>
      <c r="T25" s="33">
        <v>0</v>
      </c>
      <c r="U25" s="34"/>
      <c r="V25" s="33">
        <v>604266.28884861304</v>
      </c>
      <c r="W25" s="33">
        <v>469.77</v>
      </c>
      <c r="X25" s="34">
        <v>45155</v>
      </c>
      <c r="Y25" s="33">
        <v>12089</v>
      </c>
      <c r="Z25" s="46">
        <v>5679049.5299999993</v>
      </c>
      <c r="AA25" s="31" t="s">
        <v>147</v>
      </c>
    </row>
    <row r="26" spans="1:27">
      <c r="A26" s="49">
        <v>22</v>
      </c>
      <c r="B26" s="35" t="s">
        <v>176</v>
      </c>
      <c r="C26" s="35" t="s">
        <v>126</v>
      </c>
      <c r="D26" s="35" t="s">
        <v>21</v>
      </c>
      <c r="E26" s="34">
        <v>45124</v>
      </c>
      <c r="F26" s="35" t="s">
        <v>152</v>
      </c>
      <c r="G26" s="32" t="s">
        <v>179</v>
      </c>
      <c r="H26" s="50">
        <v>8.6319999999999997</v>
      </c>
      <c r="I26" s="33">
        <v>4832</v>
      </c>
      <c r="J26" s="33" t="s">
        <v>86</v>
      </c>
      <c r="K26" s="50">
        <v>64.278999999999996</v>
      </c>
      <c r="L26" s="33">
        <v>332000</v>
      </c>
      <c r="M26" s="33">
        <v>73285.679999999993</v>
      </c>
      <c r="N26" s="33">
        <v>26025.320866846097</v>
      </c>
      <c r="O26" s="33">
        <v>6714.4790678137497</v>
      </c>
      <c r="P26" s="33">
        <v>24897.288383453382</v>
      </c>
      <c r="Q26" s="45">
        <v>1222.0351903421024</v>
      </c>
      <c r="R26" s="33">
        <v>0</v>
      </c>
      <c r="S26" s="33">
        <v>37668.227570435134</v>
      </c>
      <c r="T26" s="33">
        <v>0</v>
      </c>
      <c r="U26" s="34"/>
      <c r="V26" s="33">
        <v>501813.03107889037</v>
      </c>
      <c r="W26" s="33">
        <v>390.12</v>
      </c>
      <c r="X26" s="34">
        <v>45155</v>
      </c>
      <c r="Y26" s="33">
        <v>12089</v>
      </c>
      <c r="Z26" s="46">
        <v>4716160.68</v>
      </c>
      <c r="AA26" s="31" t="s">
        <v>147</v>
      </c>
    </row>
    <row r="27" spans="1:27">
      <c r="A27" s="49">
        <v>23</v>
      </c>
      <c r="B27" s="35" t="s">
        <v>176</v>
      </c>
      <c r="C27" s="35" t="s">
        <v>126</v>
      </c>
      <c r="D27" s="35" t="s">
        <v>21</v>
      </c>
      <c r="E27" s="34">
        <v>45124</v>
      </c>
      <c r="F27" s="35" t="s">
        <v>152</v>
      </c>
      <c r="G27" s="32" t="s">
        <v>180</v>
      </c>
      <c r="H27" s="50">
        <v>0.627</v>
      </c>
      <c r="I27" s="33">
        <v>46.5</v>
      </c>
      <c r="J27" s="33" t="s">
        <v>86</v>
      </c>
      <c r="K27" s="50">
        <v>64.278999999999996</v>
      </c>
      <c r="L27" s="33">
        <v>232000</v>
      </c>
      <c r="M27" s="33">
        <v>5323.23</v>
      </c>
      <c r="N27" s="33">
        <v>1890.3934410927368</v>
      </c>
      <c r="O27" s="33">
        <v>487.71760606107762</v>
      </c>
      <c r="P27" s="33">
        <v>1808.4568832744756</v>
      </c>
      <c r="Q27" s="45">
        <v>88.764604303116116</v>
      </c>
      <c r="R27" s="33">
        <v>0</v>
      </c>
      <c r="S27" s="33">
        <v>2736.0957700026452</v>
      </c>
      <c r="T27" s="33">
        <v>0</v>
      </c>
      <c r="U27" s="34"/>
      <c r="V27" s="33">
        <v>244334.65830473407</v>
      </c>
      <c r="W27" s="33">
        <v>189.95</v>
      </c>
      <c r="X27" s="34">
        <v>45155</v>
      </c>
      <c r="Y27" s="33">
        <v>12089</v>
      </c>
      <c r="Z27" s="46">
        <v>2296305.5499999998</v>
      </c>
      <c r="AA27" s="31" t="s">
        <v>147</v>
      </c>
    </row>
    <row r="28" spans="1:27">
      <c r="A28" s="49">
        <v>24</v>
      </c>
      <c r="B28" s="35" t="s">
        <v>181</v>
      </c>
      <c r="C28" s="35" t="s">
        <v>126</v>
      </c>
      <c r="D28" s="35" t="s">
        <v>21</v>
      </c>
      <c r="E28" s="34">
        <v>45124</v>
      </c>
      <c r="F28" s="35" t="s">
        <v>152</v>
      </c>
      <c r="G28" s="32" t="s">
        <v>182</v>
      </c>
      <c r="H28" s="50">
        <v>22.654</v>
      </c>
      <c r="I28" s="33">
        <v>3330.18</v>
      </c>
      <c r="J28" s="33" t="s">
        <v>86</v>
      </c>
      <c r="K28" s="50">
        <v>64.734999999999985</v>
      </c>
      <c r="L28" s="33">
        <v>392000</v>
      </c>
      <c r="M28" s="33">
        <v>192332.46</v>
      </c>
      <c r="N28" s="33">
        <v>67820.27033289567</v>
      </c>
      <c r="O28" s="33">
        <v>17497.489765968956</v>
      </c>
      <c r="P28" s="33">
        <v>64880.692052212886</v>
      </c>
      <c r="Q28" s="45">
        <v>3184.5431374063496</v>
      </c>
      <c r="R28" s="33">
        <v>0</v>
      </c>
      <c r="S28" s="33">
        <v>98160.917587085831</v>
      </c>
      <c r="T28" s="33">
        <v>0</v>
      </c>
      <c r="U28" s="34"/>
      <c r="V28" s="33">
        <v>835876.37287556974</v>
      </c>
      <c r="W28" s="33">
        <v>649.83000000000004</v>
      </c>
      <c r="X28" s="34">
        <v>45155</v>
      </c>
      <c r="Y28" s="33">
        <v>12089</v>
      </c>
      <c r="Z28" s="46">
        <v>7855794.8700000001</v>
      </c>
      <c r="AA28" s="31" t="s">
        <v>147</v>
      </c>
    </row>
    <row r="29" spans="1:27">
      <c r="A29" s="49">
        <v>25</v>
      </c>
      <c r="B29" s="35" t="s">
        <v>181</v>
      </c>
      <c r="C29" s="35" t="s">
        <v>126</v>
      </c>
      <c r="D29" s="35" t="s">
        <v>21</v>
      </c>
      <c r="E29" s="34">
        <v>45124</v>
      </c>
      <c r="F29" s="35" t="s">
        <v>152</v>
      </c>
      <c r="G29" s="32" t="s">
        <v>183</v>
      </c>
      <c r="H29" s="50">
        <v>14.026999999999999</v>
      </c>
      <c r="I29" s="33">
        <v>12019.8</v>
      </c>
      <c r="J29" s="33" t="s">
        <v>86</v>
      </c>
      <c r="K29" s="50">
        <v>64.734999999999985</v>
      </c>
      <c r="L29" s="33">
        <v>624000</v>
      </c>
      <c r="M29" s="33">
        <v>119089.23</v>
      </c>
      <c r="N29" s="33">
        <v>41993.243222368124</v>
      </c>
      <c r="O29" s="33">
        <v>10834.170078010353</v>
      </c>
      <c r="P29" s="33">
        <v>40173.102649262386</v>
      </c>
      <c r="Q29" s="45">
        <v>1971.8189541978841</v>
      </c>
      <c r="R29" s="33">
        <v>0</v>
      </c>
      <c r="S29" s="33">
        <v>60779.694137638078</v>
      </c>
      <c r="T29" s="33">
        <v>0</v>
      </c>
      <c r="U29" s="34"/>
      <c r="V29" s="33">
        <v>898841.25904147676</v>
      </c>
      <c r="W29" s="33">
        <v>698.78</v>
      </c>
      <c r="X29" s="34">
        <v>45155</v>
      </c>
      <c r="Y29" s="33">
        <v>12089</v>
      </c>
      <c r="Z29" s="46">
        <v>8447551.4199999999</v>
      </c>
      <c r="AA29" s="31" t="s">
        <v>147</v>
      </c>
    </row>
    <row r="30" spans="1:27">
      <c r="A30" s="49">
        <v>26</v>
      </c>
      <c r="B30" s="35" t="s">
        <v>181</v>
      </c>
      <c r="C30" s="35" t="s">
        <v>126</v>
      </c>
      <c r="D30" s="35" t="s">
        <v>21</v>
      </c>
      <c r="E30" s="34">
        <v>45124</v>
      </c>
      <c r="F30" s="35" t="s">
        <v>152</v>
      </c>
      <c r="G30" s="32" t="s">
        <v>184</v>
      </c>
      <c r="H30" s="50">
        <v>5.3949999999999996</v>
      </c>
      <c r="I30" s="33">
        <v>424.4</v>
      </c>
      <c r="J30" s="33" t="s">
        <v>86</v>
      </c>
      <c r="K30" s="50">
        <v>64.734999999999985</v>
      </c>
      <c r="L30" s="33">
        <v>291100</v>
      </c>
      <c r="M30" s="33">
        <v>45803.55</v>
      </c>
      <c r="N30" s="33">
        <v>16151.247393218508</v>
      </c>
      <c r="O30" s="33">
        <v>4166.9884915424427</v>
      </c>
      <c r="P30" s="33">
        <v>15451.193326639375</v>
      </c>
      <c r="Q30" s="45">
        <v>758.39190546072462</v>
      </c>
      <c r="R30" s="33">
        <v>0</v>
      </c>
      <c r="S30" s="33">
        <v>23376.805437553103</v>
      </c>
      <c r="T30" s="33">
        <v>0</v>
      </c>
      <c r="U30" s="34"/>
      <c r="V30" s="33">
        <v>396808.17655441415</v>
      </c>
      <c r="W30" s="33">
        <v>308.49</v>
      </c>
      <c r="X30" s="34">
        <v>45155</v>
      </c>
      <c r="Y30" s="33">
        <v>12089</v>
      </c>
      <c r="Z30" s="46">
        <v>3729335.6100000003</v>
      </c>
      <c r="AA30" s="31" t="s">
        <v>147</v>
      </c>
    </row>
    <row r="31" spans="1:27">
      <c r="A31" s="49">
        <v>27</v>
      </c>
      <c r="B31" s="35" t="s">
        <v>181</v>
      </c>
      <c r="C31" s="35" t="s">
        <v>126</v>
      </c>
      <c r="D31" s="35" t="s">
        <v>21</v>
      </c>
      <c r="E31" s="34">
        <v>45124</v>
      </c>
      <c r="F31" s="35" t="s">
        <v>152</v>
      </c>
      <c r="G31" s="32" t="s">
        <v>185</v>
      </c>
      <c r="H31" s="50">
        <v>22.658999999999999</v>
      </c>
      <c r="I31" s="33">
        <v>6741</v>
      </c>
      <c r="J31" s="33" t="s">
        <v>86</v>
      </c>
      <c r="K31" s="50">
        <v>64.734999999999985</v>
      </c>
      <c r="L31" s="33">
        <v>392000</v>
      </c>
      <c r="M31" s="33">
        <v>192374.91</v>
      </c>
      <c r="N31" s="33">
        <v>67835.239051517739</v>
      </c>
      <c r="O31" s="33">
        <v>17501.351664478261</v>
      </c>
      <c r="P31" s="33">
        <v>64895.011971885389</v>
      </c>
      <c r="Q31" s="45">
        <v>3185.2460029350432</v>
      </c>
      <c r="R31" s="33">
        <v>0</v>
      </c>
      <c r="S31" s="33">
        <v>98182.582837723035</v>
      </c>
      <c r="T31" s="33">
        <v>0</v>
      </c>
      <c r="U31" s="34"/>
      <c r="V31" s="33">
        <v>835974.34152853931</v>
      </c>
      <c r="W31" s="33">
        <v>649.91</v>
      </c>
      <c r="X31" s="34">
        <v>45155</v>
      </c>
      <c r="Y31" s="33">
        <v>12089</v>
      </c>
      <c r="Z31" s="46">
        <v>7856761.9899999993</v>
      </c>
      <c r="AA31" s="31" t="s">
        <v>147</v>
      </c>
    </row>
    <row r="32" spans="1:27">
      <c r="A32" s="49">
        <v>28</v>
      </c>
      <c r="B32" s="35" t="s">
        <v>186</v>
      </c>
      <c r="C32" s="35" t="s">
        <v>126</v>
      </c>
      <c r="D32" s="35" t="s">
        <v>21</v>
      </c>
      <c r="E32" s="34">
        <v>45124</v>
      </c>
      <c r="F32" s="35" t="s">
        <v>152</v>
      </c>
      <c r="G32" s="32" t="s">
        <v>187</v>
      </c>
      <c r="H32" s="50">
        <v>24.812000000000001</v>
      </c>
      <c r="I32" s="33">
        <v>3089.82</v>
      </c>
      <c r="J32" s="33" t="s">
        <v>86</v>
      </c>
      <c r="K32" s="50">
        <v>61.497999999999998</v>
      </c>
      <c r="L32" s="33">
        <v>392000</v>
      </c>
      <c r="M32" s="33">
        <v>210653.88</v>
      </c>
      <c r="N32" s="33">
        <v>78190.60132036815</v>
      </c>
      <c r="O32" s="33">
        <v>20173.013756544929</v>
      </c>
      <c r="P32" s="33">
        <v>74801.535009268599</v>
      </c>
      <c r="Q32" s="45">
        <v>3671.4885036911778</v>
      </c>
      <c r="R32" s="33">
        <v>0</v>
      </c>
      <c r="S32" s="33">
        <v>113170.60717421706</v>
      </c>
      <c r="T32" s="33">
        <v>0</v>
      </c>
      <c r="U32" s="34"/>
      <c r="V32" s="33">
        <v>892661.12576408987</v>
      </c>
      <c r="W32" s="33">
        <v>693.98</v>
      </c>
      <c r="X32" s="34">
        <v>45155</v>
      </c>
      <c r="Y32" s="33">
        <v>12089</v>
      </c>
      <c r="Z32" s="46">
        <v>8389524.2200000007</v>
      </c>
      <c r="AA32" s="31" t="s">
        <v>147</v>
      </c>
    </row>
    <row r="33" spans="1:27">
      <c r="A33" s="49">
        <v>29</v>
      </c>
      <c r="B33" s="35" t="s">
        <v>186</v>
      </c>
      <c r="C33" s="35" t="s">
        <v>126</v>
      </c>
      <c r="D33" s="35" t="s">
        <v>21</v>
      </c>
      <c r="E33" s="34">
        <v>45124</v>
      </c>
      <c r="F33" s="35" t="s">
        <v>152</v>
      </c>
      <c r="G33" s="32" t="s">
        <v>188</v>
      </c>
      <c r="H33" s="50">
        <v>14.026999999999999</v>
      </c>
      <c r="I33" s="33">
        <v>12019.8</v>
      </c>
      <c r="J33" s="33" t="s">
        <v>86</v>
      </c>
      <c r="K33" s="50">
        <v>61.497999999999998</v>
      </c>
      <c r="L33" s="33">
        <v>624000</v>
      </c>
      <c r="M33" s="33">
        <v>119089.23</v>
      </c>
      <c r="N33" s="33">
        <v>44203.593612800418</v>
      </c>
      <c r="O33" s="33">
        <v>11404.435916615172</v>
      </c>
      <c r="P33" s="33">
        <v>42287.648378809063</v>
      </c>
      <c r="Q33" s="45">
        <v>2075.6073368239618</v>
      </c>
      <c r="R33" s="33">
        <v>0</v>
      </c>
      <c r="S33" s="33">
        <v>63978.885492211128</v>
      </c>
      <c r="T33" s="33">
        <v>0</v>
      </c>
      <c r="U33" s="34"/>
      <c r="V33" s="33">
        <v>907039.40073725989</v>
      </c>
      <c r="W33" s="33">
        <v>705.15</v>
      </c>
      <c r="X33" s="34">
        <v>45155</v>
      </c>
      <c r="Y33" s="33">
        <v>12089</v>
      </c>
      <c r="Z33" s="46">
        <v>8524558.3499999996</v>
      </c>
      <c r="AA33" s="31" t="s">
        <v>147</v>
      </c>
    </row>
    <row r="34" spans="1:27">
      <c r="A34" s="49">
        <v>30</v>
      </c>
      <c r="B34" s="35" t="s">
        <v>186</v>
      </c>
      <c r="C34" s="35" t="s">
        <v>126</v>
      </c>
      <c r="D34" s="35" t="s">
        <v>21</v>
      </c>
      <c r="E34" s="34">
        <v>45124</v>
      </c>
      <c r="F34" s="35" t="s">
        <v>152</v>
      </c>
      <c r="G34" s="32" t="s">
        <v>189</v>
      </c>
      <c r="H34" s="50">
        <v>22.658999999999999</v>
      </c>
      <c r="I34" s="33">
        <v>6741</v>
      </c>
      <c r="J34" s="33" t="s">
        <v>86</v>
      </c>
      <c r="K34" s="50">
        <v>61.497999999999998</v>
      </c>
      <c r="L34" s="33">
        <v>392000</v>
      </c>
      <c r="M34" s="33">
        <v>192374.91</v>
      </c>
      <c r="N34" s="33">
        <v>71405.805066831439</v>
      </c>
      <c r="O34" s="33">
        <v>18422.550326839897</v>
      </c>
      <c r="P34" s="33">
        <v>68310.816611922346</v>
      </c>
      <c r="Q34" s="45">
        <v>3352.9041594848613</v>
      </c>
      <c r="R34" s="33">
        <v>0</v>
      </c>
      <c r="S34" s="33">
        <v>103350.50733357183</v>
      </c>
      <c r="T34" s="33">
        <v>0</v>
      </c>
      <c r="U34" s="34"/>
      <c r="V34" s="33">
        <v>849217.49349865038</v>
      </c>
      <c r="W34" s="33">
        <v>660.2</v>
      </c>
      <c r="X34" s="34">
        <v>45155</v>
      </c>
      <c r="Y34" s="33">
        <v>12089</v>
      </c>
      <c r="Z34" s="46">
        <v>7981157.8000000007</v>
      </c>
      <c r="AA34" s="31" t="s">
        <v>147</v>
      </c>
    </row>
    <row r="35" spans="1:27">
      <c r="A35" s="49">
        <v>31</v>
      </c>
      <c r="B35" s="35" t="s">
        <v>190</v>
      </c>
      <c r="C35" s="35" t="s">
        <v>126</v>
      </c>
      <c r="D35" s="35" t="s">
        <v>21</v>
      </c>
      <c r="E35" s="34">
        <v>45124</v>
      </c>
      <c r="F35" s="35" t="s">
        <v>152</v>
      </c>
      <c r="G35" s="32" t="s">
        <v>191</v>
      </c>
      <c r="H35" s="50">
        <v>10.79</v>
      </c>
      <c r="I35" s="33">
        <v>8614</v>
      </c>
      <c r="J35" s="33" t="s">
        <v>86</v>
      </c>
      <c r="K35" s="50">
        <v>63.65</v>
      </c>
      <c r="L35" s="33">
        <v>392000</v>
      </c>
      <c r="M35" s="33">
        <v>91607.099999999991</v>
      </c>
      <c r="N35" s="33">
        <v>32853.13432835821</v>
      </c>
      <c r="O35" s="33">
        <v>8476.0408483896299</v>
      </c>
      <c r="P35" s="33">
        <v>31429.15946582875</v>
      </c>
      <c r="Q35" s="45">
        <v>1542.6394344069129</v>
      </c>
      <c r="R35" s="33">
        <v>0</v>
      </c>
      <c r="S35" s="33">
        <v>47550.589159465831</v>
      </c>
      <c r="T35" s="33">
        <v>0</v>
      </c>
      <c r="U35" s="34"/>
      <c r="V35" s="33">
        <v>605458.66323644936</v>
      </c>
      <c r="W35" s="33">
        <v>470.7</v>
      </c>
      <c r="X35" s="34">
        <v>45155</v>
      </c>
      <c r="Y35" s="33">
        <v>12089</v>
      </c>
      <c r="Z35" s="46">
        <v>5690292.2999999998</v>
      </c>
      <c r="AA35" s="31" t="s">
        <v>147</v>
      </c>
    </row>
    <row r="36" spans="1:27">
      <c r="A36" s="49">
        <v>32</v>
      </c>
      <c r="B36" s="35" t="s">
        <v>190</v>
      </c>
      <c r="C36" s="35" t="s">
        <v>126</v>
      </c>
      <c r="D36" s="35" t="s">
        <v>21</v>
      </c>
      <c r="E36" s="34">
        <v>45124</v>
      </c>
      <c r="F36" s="35" t="s">
        <v>152</v>
      </c>
      <c r="G36" s="32" t="s">
        <v>192</v>
      </c>
      <c r="H36" s="50">
        <v>8.6300000000000008</v>
      </c>
      <c r="I36" s="33">
        <v>4832</v>
      </c>
      <c r="J36" s="33" t="s">
        <v>86</v>
      </c>
      <c r="K36" s="50">
        <v>63.65</v>
      </c>
      <c r="L36" s="33">
        <v>332000</v>
      </c>
      <c r="M36" s="33">
        <v>73268.700000000012</v>
      </c>
      <c r="N36" s="33">
        <v>26276.417910447766</v>
      </c>
      <c r="O36" s="33">
        <v>6779.2615868028288</v>
      </c>
      <c r="P36" s="33">
        <v>25137.501963864888</v>
      </c>
      <c r="Q36" s="45">
        <v>1233.8256087981149</v>
      </c>
      <c r="R36" s="33">
        <v>0</v>
      </c>
      <c r="S36" s="33">
        <v>38031.657501963869</v>
      </c>
      <c r="T36" s="33">
        <v>0</v>
      </c>
      <c r="U36" s="34"/>
      <c r="V36" s="33">
        <v>502727.36457187752</v>
      </c>
      <c r="W36" s="33">
        <v>390.83</v>
      </c>
      <c r="X36" s="34">
        <v>45155</v>
      </c>
      <c r="Y36" s="33">
        <v>12089</v>
      </c>
      <c r="Z36" s="46">
        <v>4724743.87</v>
      </c>
      <c r="AA36" s="31" t="s">
        <v>147</v>
      </c>
    </row>
    <row r="37" spans="1:27">
      <c r="A37" s="49">
        <v>33</v>
      </c>
      <c r="B37" s="35" t="s">
        <v>190</v>
      </c>
      <c r="C37" s="35" t="s">
        <v>126</v>
      </c>
      <c r="D37" s="35" t="s">
        <v>21</v>
      </c>
      <c r="E37" s="34">
        <v>45124</v>
      </c>
      <c r="F37" s="35" t="s">
        <v>152</v>
      </c>
      <c r="G37" s="32" t="s">
        <v>193</v>
      </c>
      <c r="H37" s="50">
        <v>25.890999999999998</v>
      </c>
      <c r="I37" s="33">
        <v>4368</v>
      </c>
      <c r="J37" s="33" t="s">
        <v>86</v>
      </c>
      <c r="K37" s="50">
        <v>63.65</v>
      </c>
      <c r="L37" s="33">
        <v>392000</v>
      </c>
      <c r="M37" s="33">
        <v>219814.59</v>
      </c>
      <c r="N37" s="33">
        <v>78832.298507462678</v>
      </c>
      <c r="O37" s="33">
        <v>20338.570306362923</v>
      </c>
      <c r="P37" s="33">
        <v>75415.418695993707</v>
      </c>
      <c r="Q37" s="45">
        <v>3701.6197957580512</v>
      </c>
      <c r="R37" s="33">
        <v>0</v>
      </c>
      <c r="S37" s="33">
        <v>114099.379418696</v>
      </c>
      <c r="T37" s="33">
        <v>0</v>
      </c>
      <c r="U37" s="34"/>
      <c r="V37" s="33">
        <v>904201.87672427343</v>
      </c>
      <c r="W37" s="33">
        <v>702.95</v>
      </c>
      <c r="X37" s="34">
        <v>45155</v>
      </c>
      <c r="Y37" s="33">
        <v>12089</v>
      </c>
      <c r="Z37" s="46">
        <v>8497962.5500000007</v>
      </c>
      <c r="AA37" s="31" t="s">
        <v>147</v>
      </c>
    </row>
    <row r="38" spans="1:27">
      <c r="A38" s="49">
        <v>34</v>
      </c>
      <c r="B38" s="35" t="s">
        <v>190</v>
      </c>
      <c r="C38" s="35" t="s">
        <v>126</v>
      </c>
      <c r="D38" s="35" t="s">
        <v>21</v>
      </c>
      <c r="E38" s="34">
        <v>45124</v>
      </c>
      <c r="F38" s="35" t="s">
        <v>152</v>
      </c>
      <c r="G38" s="32" t="s">
        <v>194</v>
      </c>
      <c r="H38" s="50">
        <v>18.338999999999999</v>
      </c>
      <c r="I38" s="33">
        <v>3094</v>
      </c>
      <c r="J38" s="33" t="s">
        <v>86</v>
      </c>
      <c r="K38" s="50">
        <v>63.65</v>
      </c>
      <c r="L38" s="33">
        <v>376000</v>
      </c>
      <c r="M38" s="33">
        <v>155698.10999999999</v>
      </c>
      <c r="N38" s="33">
        <v>55838.149253731339</v>
      </c>
      <c r="O38" s="33">
        <v>14406.127258444618</v>
      </c>
      <c r="P38" s="33">
        <v>53417.91987431264</v>
      </c>
      <c r="Q38" s="45">
        <v>2621.9151610369204</v>
      </c>
      <c r="R38" s="33">
        <v>0</v>
      </c>
      <c r="S38" s="33">
        <v>80818.373919874299</v>
      </c>
      <c r="T38" s="33">
        <v>0</v>
      </c>
      <c r="U38" s="34"/>
      <c r="V38" s="33">
        <v>738800.59546739981</v>
      </c>
      <c r="W38" s="33">
        <v>574.36</v>
      </c>
      <c r="X38" s="34">
        <v>45155</v>
      </c>
      <c r="Y38" s="33">
        <v>12089</v>
      </c>
      <c r="Z38" s="46">
        <v>6943438.04</v>
      </c>
      <c r="AA38" s="31" t="s">
        <v>147</v>
      </c>
    </row>
    <row r="39" spans="1:27">
      <c r="A39" s="49">
        <v>35</v>
      </c>
      <c r="B39" s="35" t="s">
        <v>195</v>
      </c>
      <c r="C39" s="35" t="s">
        <v>126</v>
      </c>
      <c r="D39" s="35" t="s">
        <v>21</v>
      </c>
      <c r="E39" s="34">
        <v>45124</v>
      </c>
      <c r="F39" s="35" t="s">
        <v>152</v>
      </c>
      <c r="G39" s="32" t="s">
        <v>196</v>
      </c>
      <c r="H39" s="50">
        <v>7.5519999999999996</v>
      </c>
      <c r="I39" s="33">
        <v>1274</v>
      </c>
      <c r="J39" s="33" t="s">
        <v>86</v>
      </c>
      <c r="K39" s="50">
        <v>64.295999999999992</v>
      </c>
      <c r="L39" s="33">
        <v>332000</v>
      </c>
      <c r="M39" s="33">
        <v>64116.480000000003</v>
      </c>
      <c r="N39" s="33">
        <v>22763.120567375889</v>
      </c>
      <c r="O39" s="33">
        <v>5872.8381236779896</v>
      </c>
      <c r="P39" s="33">
        <v>21776.483762597985</v>
      </c>
      <c r="Q39" s="45">
        <v>1068.8565385093941</v>
      </c>
      <c r="R39" s="33">
        <v>0</v>
      </c>
      <c r="S39" s="33">
        <v>32946.621873833523</v>
      </c>
      <c r="T39" s="33">
        <v>0</v>
      </c>
      <c r="U39" s="34"/>
      <c r="V39" s="33">
        <v>480544.4008659948</v>
      </c>
      <c r="W39" s="33">
        <v>373.59</v>
      </c>
      <c r="X39" s="34">
        <v>45155</v>
      </c>
      <c r="Y39" s="33">
        <v>12089</v>
      </c>
      <c r="Z39" s="46">
        <v>4516329.51</v>
      </c>
      <c r="AA39" s="31" t="s">
        <v>147</v>
      </c>
    </row>
    <row r="40" spans="1:27">
      <c r="A40" s="49">
        <v>36</v>
      </c>
      <c r="B40" s="35" t="s">
        <v>195</v>
      </c>
      <c r="C40" s="35" t="s">
        <v>126</v>
      </c>
      <c r="D40" s="35" t="s">
        <v>21</v>
      </c>
      <c r="E40" s="34">
        <v>45124</v>
      </c>
      <c r="F40" s="35" t="s">
        <v>152</v>
      </c>
      <c r="G40" s="32" t="s">
        <v>197</v>
      </c>
      <c r="H40" s="50">
        <v>56.744</v>
      </c>
      <c r="I40" s="33">
        <v>9696.5</v>
      </c>
      <c r="J40" s="33" t="s">
        <v>86</v>
      </c>
      <c r="K40" s="50">
        <v>64.295999999999992</v>
      </c>
      <c r="L40" s="33">
        <v>784000</v>
      </c>
      <c r="M40" s="33">
        <v>481756.56</v>
      </c>
      <c r="N40" s="33">
        <v>171036.87943262415</v>
      </c>
      <c r="O40" s="33">
        <v>44127.161876322018</v>
      </c>
      <c r="P40" s="33">
        <v>163623.51623740204</v>
      </c>
      <c r="Q40" s="45">
        <v>8031.1434614906084</v>
      </c>
      <c r="R40" s="33">
        <v>0</v>
      </c>
      <c r="S40" s="33">
        <v>247553.37812616653</v>
      </c>
      <c r="T40" s="33">
        <v>0</v>
      </c>
      <c r="U40" s="34"/>
      <c r="V40" s="33">
        <v>1900128.6391340056</v>
      </c>
      <c r="W40" s="33">
        <v>1477.21</v>
      </c>
      <c r="X40" s="34">
        <v>45155</v>
      </c>
      <c r="Y40" s="33">
        <v>12089</v>
      </c>
      <c r="Z40" s="46">
        <v>17857991.690000001</v>
      </c>
      <c r="AA40" s="31" t="s">
        <v>147</v>
      </c>
    </row>
    <row r="41" spans="1:27">
      <c r="A41" s="49">
        <v>37</v>
      </c>
      <c r="B41" s="35" t="s">
        <v>198</v>
      </c>
      <c r="C41" s="35" t="s">
        <v>126</v>
      </c>
      <c r="D41" s="35" t="s">
        <v>21</v>
      </c>
      <c r="E41" s="34">
        <v>45124</v>
      </c>
      <c r="F41" s="35" t="s">
        <v>152</v>
      </c>
      <c r="G41" s="32" t="s">
        <v>199</v>
      </c>
      <c r="H41" s="50">
        <v>66.432000000000002</v>
      </c>
      <c r="I41" s="33">
        <v>11352</v>
      </c>
      <c r="J41" s="33" t="s">
        <v>86</v>
      </c>
      <c r="K41" s="50">
        <v>66.432000000000002</v>
      </c>
      <c r="L41" s="33">
        <v>1016000</v>
      </c>
      <c r="M41" s="33">
        <v>564007.68000000005</v>
      </c>
      <c r="N41" s="33">
        <v>193800</v>
      </c>
      <c r="O41" s="33">
        <v>50000</v>
      </c>
      <c r="P41" s="33">
        <v>185400</v>
      </c>
      <c r="Q41" s="45">
        <v>9100</v>
      </c>
      <c r="R41" s="33">
        <v>0</v>
      </c>
      <c r="S41" s="33">
        <v>280500</v>
      </c>
      <c r="T41" s="33">
        <v>0</v>
      </c>
      <c r="U41" s="34"/>
      <c r="V41" s="33">
        <v>2298807.6800000002</v>
      </c>
      <c r="W41" s="33">
        <v>1787.15</v>
      </c>
      <c r="X41" s="34">
        <v>45155</v>
      </c>
      <c r="Y41" s="33">
        <v>12089</v>
      </c>
      <c r="Z41" s="46">
        <v>21604856.350000001</v>
      </c>
      <c r="AA41" s="31" t="s">
        <v>147</v>
      </c>
    </row>
    <row r="42" spans="1:27">
      <c r="A42" s="49">
        <v>38</v>
      </c>
      <c r="B42" s="35" t="s">
        <v>200</v>
      </c>
      <c r="C42" s="35" t="s">
        <v>126</v>
      </c>
      <c r="D42" s="35" t="s">
        <v>21</v>
      </c>
      <c r="E42" s="34">
        <v>45124</v>
      </c>
      <c r="F42" s="35" t="s">
        <v>95</v>
      </c>
      <c r="G42" s="32" t="s">
        <v>201</v>
      </c>
      <c r="H42" s="50">
        <v>54.673999999999999</v>
      </c>
      <c r="I42" s="33">
        <v>3815</v>
      </c>
      <c r="J42" s="33" t="s">
        <v>86</v>
      </c>
      <c r="K42" s="50">
        <v>54.673999999999999</v>
      </c>
      <c r="L42" s="33">
        <v>1504000</v>
      </c>
      <c r="M42" s="33">
        <v>464182.26</v>
      </c>
      <c r="N42" s="33">
        <v>193800</v>
      </c>
      <c r="O42" s="33">
        <v>50000</v>
      </c>
      <c r="P42" s="33">
        <v>185400</v>
      </c>
      <c r="Q42" s="45">
        <v>9100</v>
      </c>
      <c r="R42" s="33">
        <v>0</v>
      </c>
      <c r="S42" s="33">
        <v>280500</v>
      </c>
      <c r="T42" s="33">
        <v>0</v>
      </c>
      <c r="U42" s="34"/>
      <c r="V42" s="33">
        <v>2686982.26</v>
      </c>
      <c r="W42" s="33">
        <v>2088.92</v>
      </c>
      <c r="X42" s="34">
        <v>45155</v>
      </c>
      <c r="Y42" s="33">
        <v>12089</v>
      </c>
      <c r="Z42" s="46">
        <v>25252953.880000003</v>
      </c>
      <c r="AA42" s="31" t="s">
        <v>147</v>
      </c>
    </row>
    <row r="43" spans="1:27">
      <c r="A43" s="49">
        <v>39</v>
      </c>
      <c r="B43" s="35" t="s">
        <v>202</v>
      </c>
      <c r="C43" s="35" t="s">
        <v>126</v>
      </c>
      <c r="D43" s="35" t="s">
        <v>21</v>
      </c>
      <c r="E43" s="34">
        <v>45124</v>
      </c>
      <c r="F43" s="35" t="s">
        <v>85</v>
      </c>
      <c r="G43" s="32" t="s">
        <v>203</v>
      </c>
      <c r="H43" s="50">
        <v>3.7370000000000001</v>
      </c>
      <c r="I43" s="33">
        <v>1605</v>
      </c>
      <c r="J43" s="33" t="s">
        <v>86</v>
      </c>
      <c r="K43" s="50">
        <v>58.664999999999999</v>
      </c>
      <c r="L43" s="33">
        <v>478000</v>
      </c>
      <c r="M43" s="33">
        <v>31727.13</v>
      </c>
      <c r="N43" s="33">
        <v>12345.190488366148</v>
      </c>
      <c r="O43" s="33">
        <v>3185.03366572914</v>
      </c>
      <c r="P43" s="33">
        <v>11810.104832523652</v>
      </c>
      <c r="Q43" s="45">
        <v>579.67612716270355</v>
      </c>
      <c r="R43" s="33">
        <v>0</v>
      </c>
      <c r="S43" s="33">
        <v>17868.038864740476</v>
      </c>
      <c r="T43" s="33">
        <v>0</v>
      </c>
      <c r="U43" s="34"/>
      <c r="V43" s="33">
        <v>555515.17397852207</v>
      </c>
      <c r="W43" s="33">
        <v>431.87</v>
      </c>
      <c r="X43" s="34">
        <v>45155</v>
      </c>
      <c r="Y43" s="33">
        <v>12089</v>
      </c>
      <c r="Z43" s="46">
        <v>5220876.43</v>
      </c>
      <c r="AA43" s="31" t="s">
        <v>147</v>
      </c>
    </row>
    <row r="44" spans="1:27">
      <c r="A44" s="49">
        <v>40</v>
      </c>
      <c r="B44" s="35" t="s">
        <v>202</v>
      </c>
      <c r="C44" s="35" t="s">
        <v>126</v>
      </c>
      <c r="D44" s="35" t="s">
        <v>21</v>
      </c>
      <c r="E44" s="34">
        <v>45124</v>
      </c>
      <c r="F44" s="35" t="s">
        <v>95</v>
      </c>
      <c r="G44" s="32" t="s">
        <v>204</v>
      </c>
      <c r="H44" s="50">
        <v>13.667999999999999</v>
      </c>
      <c r="I44" s="33">
        <v>954.2</v>
      </c>
      <c r="J44" s="33" t="s">
        <v>86</v>
      </c>
      <c r="K44" s="50">
        <v>58.664999999999999</v>
      </c>
      <c r="L44" s="33">
        <v>632500</v>
      </c>
      <c r="M44" s="33">
        <v>116041.32</v>
      </c>
      <c r="N44" s="33">
        <v>45152.278189721299</v>
      </c>
      <c r="O44" s="33">
        <v>11649.19457939146</v>
      </c>
      <c r="P44" s="33">
        <v>43195.213500383536</v>
      </c>
      <c r="Q44" s="45">
        <v>2120.1534134492458</v>
      </c>
      <c r="R44" s="33">
        <v>0</v>
      </c>
      <c r="S44" s="33">
        <v>65351.981590386087</v>
      </c>
      <c r="T44" s="33">
        <v>0</v>
      </c>
      <c r="U44" s="34"/>
      <c r="V44" s="33">
        <v>916010.14127333171</v>
      </c>
      <c r="W44" s="33">
        <v>712.13</v>
      </c>
      <c r="X44" s="34">
        <v>45155</v>
      </c>
      <c r="Y44" s="33">
        <v>12089</v>
      </c>
      <c r="Z44" s="46">
        <v>8608939.5700000003</v>
      </c>
      <c r="AA44" s="31" t="s">
        <v>147</v>
      </c>
    </row>
    <row r="45" spans="1:27">
      <c r="A45" s="49">
        <v>41</v>
      </c>
      <c r="B45" s="35" t="s">
        <v>202</v>
      </c>
      <c r="C45" s="35" t="s">
        <v>126</v>
      </c>
      <c r="D45" s="35" t="s">
        <v>21</v>
      </c>
      <c r="E45" s="34">
        <v>45124</v>
      </c>
      <c r="F45" s="35" t="s">
        <v>97</v>
      </c>
      <c r="G45" s="32" t="s">
        <v>205</v>
      </c>
      <c r="H45" s="50">
        <v>25.8</v>
      </c>
      <c r="I45" s="33">
        <v>4738.5600000000004</v>
      </c>
      <c r="J45" s="33" t="s">
        <v>86</v>
      </c>
      <c r="K45" s="50">
        <v>58.664999999999999</v>
      </c>
      <c r="L45" s="33">
        <v>549000</v>
      </c>
      <c r="M45" s="33">
        <v>219042</v>
      </c>
      <c r="N45" s="33">
        <v>85230.375862950663</v>
      </c>
      <c r="O45" s="33">
        <v>21989.261058552798</v>
      </c>
      <c r="P45" s="33">
        <v>81536.180005113769</v>
      </c>
      <c r="Q45" s="45">
        <v>4002.0455126566094</v>
      </c>
      <c r="R45" s="33">
        <v>0</v>
      </c>
      <c r="S45" s="33">
        <v>123359.7545384812</v>
      </c>
      <c r="T45" s="33">
        <v>0</v>
      </c>
      <c r="U45" s="34"/>
      <c r="V45" s="33">
        <v>1084159.616977755</v>
      </c>
      <c r="W45" s="33">
        <v>842.85</v>
      </c>
      <c r="X45" s="34">
        <v>45155</v>
      </c>
      <c r="Y45" s="33">
        <v>12089</v>
      </c>
      <c r="Z45" s="46">
        <v>10189213.65</v>
      </c>
      <c r="AA45" s="31" t="s">
        <v>147</v>
      </c>
    </row>
    <row r="46" spans="1:27">
      <c r="A46" s="49">
        <v>42</v>
      </c>
      <c r="B46" s="35" t="s">
        <v>202</v>
      </c>
      <c r="C46" s="35" t="s">
        <v>126</v>
      </c>
      <c r="D46" s="35" t="s">
        <v>21</v>
      </c>
      <c r="E46" s="34">
        <v>45124</v>
      </c>
      <c r="F46" s="35" t="s">
        <v>207</v>
      </c>
      <c r="G46" s="32" t="s">
        <v>206</v>
      </c>
      <c r="H46" s="50">
        <v>15.004</v>
      </c>
      <c r="I46" s="33">
        <v>2040</v>
      </c>
      <c r="J46" s="33" t="s">
        <v>86</v>
      </c>
      <c r="K46" s="50">
        <v>58.664999999999999</v>
      </c>
      <c r="L46" s="33">
        <v>289000</v>
      </c>
      <c r="M46" s="33">
        <v>127383.96</v>
      </c>
      <c r="N46" s="33">
        <v>49565.75811812836</v>
      </c>
      <c r="O46" s="33">
        <v>12787.863291570784</v>
      </c>
      <c r="P46" s="33">
        <v>47417.397085144461</v>
      </c>
      <c r="Q46" s="45">
        <v>2327.3911190658828</v>
      </c>
      <c r="R46" s="33">
        <v>0</v>
      </c>
      <c r="S46" s="33">
        <v>71739.913065712099</v>
      </c>
      <c r="T46" s="33">
        <v>0</v>
      </c>
      <c r="U46" s="34"/>
      <c r="V46" s="33">
        <v>600222.2826796216</v>
      </c>
      <c r="W46" s="33">
        <v>466.63</v>
      </c>
      <c r="X46" s="34">
        <v>45155</v>
      </c>
      <c r="Y46" s="33">
        <v>12089</v>
      </c>
      <c r="Z46" s="46">
        <v>5641090.0700000003</v>
      </c>
      <c r="AA46" s="31" t="s">
        <v>147</v>
      </c>
    </row>
    <row r="47" spans="1:27">
      <c r="A47" s="49">
        <v>43</v>
      </c>
      <c r="B47" s="35" t="s">
        <v>202</v>
      </c>
      <c r="C47" s="35" t="s">
        <v>126</v>
      </c>
      <c r="D47" s="35" t="s">
        <v>21</v>
      </c>
      <c r="E47" s="34">
        <v>45124</v>
      </c>
      <c r="F47" s="35" t="s">
        <v>89</v>
      </c>
      <c r="G47" s="32" t="s">
        <v>208</v>
      </c>
      <c r="H47" s="50">
        <v>0.45600000000000002</v>
      </c>
      <c r="I47" s="33">
        <v>85</v>
      </c>
      <c r="J47" s="33" t="s">
        <v>86</v>
      </c>
      <c r="K47" s="50">
        <v>58.664999999999999</v>
      </c>
      <c r="L47" s="33">
        <v>265000</v>
      </c>
      <c r="M47" s="33">
        <v>3871.44</v>
      </c>
      <c r="N47" s="33">
        <v>1506.3973408335469</v>
      </c>
      <c r="O47" s="33">
        <v>388.64740475581698</v>
      </c>
      <c r="P47" s="33">
        <v>1441.1045768345691</v>
      </c>
      <c r="Q47" s="45">
        <v>70.733827665558692</v>
      </c>
      <c r="R47" s="33">
        <v>0</v>
      </c>
      <c r="S47" s="33">
        <v>2180.3119406801334</v>
      </c>
      <c r="T47" s="33">
        <v>0</v>
      </c>
      <c r="U47" s="34"/>
      <c r="V47" s="33">
        <v>274458.63509076968</v>
      </c>
      <c r="W47" s="33">
        <v>213.37</v>
      </c>
      <c r="X47" s="34">
        <v>45155</v>
      </c>
      <c r="Y47" s="33">
        <v>12089</v>
      </c>
      <c r="Z47" s="46">
        <v>2579429.9300000002</v>
      </c>
      <c r="AA47" s="31" t="s">
        <v>147</v>
      </c>
    </row>
    <row r="48" spans="1:27">
      <c r="A48" s="49">
        <v>44</v>
      </c>
      <c r="B48" s="35" t="s">
        <v>209</v>
      </c>
      <c r="C48" s="35" t="s">
        <v>126</v>
      </c>
      <c r="D48" s="35" t="s">
        <v>21</v>
      </c>
      <c r="E48" s="34">
        <v>45124</v>
      </c>
      <c r="F48" s="35" t="s">
        <v>85</v>
      </c>
      <c r="G48" s="32" t="s">
        <v>210</v>
      </c>
      <c r="H48" s="50">
        <v>20.183</v>
      </c>
      <c r="I48" s="33">
        <v>8667</v>
      </c>
      <c r="J48" s="33" t="s">
        <v>86</v>
      </c>
      <c r="K48" s="50">
        <v>66.283999999999992</v>
      </c>
      <c r="L48" s="33">
        <v>752000</v>
      </c>
      <c r="M48" s="33">
        <v>171353.67</v>
      </c>
      <c r="N48" s="33">
        <v>59010.702431959457</v>
      </c>
      <c r="O48" s="33">
        <v>15224.639430330097</v>
      </c>
      <c r="P48" s="33">
        <v>56452.963007664002</v>
      </c>
      <c r="Q48" s="45">
        <v>2770.8843763200775</v>
      </c>
      <c r="R48" s="33">
        <v>0</v>
      </c>
      <c r="S48" s="33">
        <v>85410.227204151844</v>
      </c>
      <c r="T48" s="33">
        <v>0</v>
      </c>
      <c r="U48" s="34"/>
      <c r="V48" s="33">
        <v>1142223.0864504257</v>
      </c>
      <c r="W48" s="33">
        <v>887.99</v>
      </c>
      <c r="X48" s="34">
        <v>45155</v>
      </c>
      <c r="Y48" s="33">
        <v>12089</v>
      </c>
      <c r="Z48" s="46">
        <v>10734911.109999999</v>
      </c>
      <c r="AA48" s="31" t="s">
        <v>147</v>
      </c>
    </row>
    <row r="49" spans="1:27">
      <c r="A49" s="49">
        <v>45</v>
      </c>
      <c r="B49" s="35" t="s">
        <v>209</v>
      </c>
      <c r="C49" s="35" t="s">
        <v>126</v>
      </c>
      <c r="D49" s="35" t="s">
        <v>21</v>
      </c>
      <c r="E49" s="34">
        <v>45124</v>
      </c>
      <c r="F49" s="35" t="s">
        <v>88</v>
      </c>
      <c r="G49" s="32" t="s">
        <v>211</v>
      </c>
      <c r="H49" s="50">
        <v>46.100999999999999</v>
      </c>
      <c r="I49" s="33">
        <v>7084.8</v>
      </c>
      <c r="J49" s="33" t="s">
        <v>86</v>
      </c>
      <c r="K49" s="50">
        <v>66.283999999999992</v>
      </c>
      <c r="L49" s="33">
        <v>1066000</v>
      </c>
      <c r="M49" s="33">
        <v>391397.49</v>
      </c>
      <c r="N49" s="33">
        <v>134789.29756804058</v>
      </c>
      <c r="O49" s="33">
        <v>34775.360569669909</v>
      </c>
      <c r="P49" s="33">
        <v>128947.03699233604</v>
      </c>
      <c r="Q49" s="45">
        <v>6329.1156236799234</v>
      </c>
      <c r="R49" s="33">
        <v>0</v>
      </c>
      <c r="S49" s="33">
        <v>195089.7727958482</v>
      </c>
      <c r="T49" s="33">
        <v>0</v>
      </c>
      <c r="U49" s="34"/>
      <c r="V49" s="33">
        <v>1957328.0735495747</v>
      </c>
      <c r="W49" s="33">
        <v>1521.67</v>
      </c>
      <c r="X49" s="34">
        <v>45155</v>
      </c>
      <c r="Y49" s="33">
        <v>12089</v>
      </c>
      <c r="Z49" s="46">
        <v>18395468.630000003</v>
      </c>
      <c r="AA49" s="31" t="s">
        <v>147</v>
      </c>
    </row>
    <row r="50" spans="1:27">
      <c r="A50" s="49">
        <v>46</v>
      </c>
      <c r="B50" s="35" t="s">
        <v>212</v>
      </c>
      <c r="C50" s="35" t="s">
        <v>126</v>
      </c>
      <c r="D50" s="35" t="s">
        <v>21</v>
      </c>
      <c r="E50" s="34">
        <v>45124</v>
      </c>
      <c r="F50" s="35" t="s">
        <v>85</v>
      </c>
      <c r="G50" s="32" t="s">
        <v>213</v>
      </c>
      <c r="H50" s="50">
        <v>22.64</v>
      </c>
      <c r="I50" s="33">
        <v>16940</v>
      </c>
      <c r="J50" s="33" t="s">
        <v>86</v>
      </c>
      <c r="K50" s="50">
        <v>59.44</v>
      </c>
      <c r="L50" s="33">
        <v>1450500</v>
      </c>
      <c r="M50" s="33">
        <v>192213.6</v>
      </c>
      <c r="N50" s="33">
        <v>73816.150740242258</v>
      </c>
      <c r="O50" s="33">
        <v>19044.414535666219</v>
      </c>
      <c r="P50" s="33">
        <v>70616.689098250339</v>
      </c>
      <c r="Q50" s="45">
        <v>3466.0834454912515</v>
      </c>
      <c r="R50" s="33">
        <v>0</v>
      </c>
      <c r="S50" s="33">
        <v>106839.16554508748</v>
      </c>
      <c r="T50" s="33">
        <v>0</v>
      </c>
      <c r="U50" s="34"/>
      <c r="V50" s="33">
        <v>1916496.1033647377</v>
      </c>
      <c r="W50" s="33">
        <v>1489.93</v>
      </c>
      <c r="X50" s="34">
        <v>45155</v>
      </c>
      <c r="Y50" s="33">
        <v>12089</v>
      </c>
      <c r="Z50" s="46">
        <v>18011763.77</v>
      </c>
      <c r="AA50" s="31" t="s">
        <v>147</v>
      </c>
    </row>
    <row r="51" spans="1:27">
      <c r="A51" s="49">
        <v>47</v>
      </c>
      <c r="B51" s="35" t="s">
        <v>212</v>
      </c>
      <c r="C51" s="35" t="s">
        <v>126</v>
      </c>
      <c r="D51" s="35" t="s">
        <v>21</v>
      </c>
      <c r="E51" s="34">
        <v>45124</v>
      </c>
      <c r="F51" s="35" t="s">
        <v>95</v>
      </c>
      <c r="G51" s="32" t="s">
        <v>214</v>
      </c>
      <c r="H51" s="50">
        <v>27.895</v>
      </c>
      <c r="I51" s="33">
        <v>2555.09</v>
      </c>
      <c r="J51" s="33" t="s">
        <v>86</v>
      </c>
      <c r="K51" s="50">
        <v>59.44</v>
      </c>
      <c r="L51" s="33">
        <v>752000</v>
      </c>
      <c r="M51" s="33">
        <v>236828.55</v>
      </c>
      <c r="N51" s="33">
        <v>90949.713997308208</v>
      </c>
      <c r="O51" s="33">
        <v>23464.838492597577</v>
      </c>
      <c r="P51" s="33">
        <v>87007.621130551823</v>
      </c>
      <c r="Q51" s="45">
        <v>4270.6006056527594</v>
      </c>
      <c r="R51" s="33">
        <v>0</v>
      </c>
      <c r="S51" s="33">
        <v>131637.74394347242</v>
      </c>
      <c r="T51" s="33">
        <v>0</v>
      </c>
      <c r="U51" s="34"/>
      <c r="V51" s="33">
        <v>1326159.0681695829</v>
      </c>
      <c r="W51" s="33">
        <v>1030.99</v>
      </c>
      <c r="X51" s="34">
        <v>45155</v>
      </c>
      <c r="Y51" s="33">
        <v>12089</v>
      </c>
      <c r="Z51" s="46">
        <v>12463638.109999999</v>
      </c>
      <c r="AA51" s="31" t="s">
        <v>147</v>
      </c>
    </row>
    <row r="52" spans="1:27">
      <c r="A52" s="49">
        <v>48</v>
      </c>
      <c r="B52" s="35" t="s">
        <v>212</v>
      </c>
      <c r="C52" s="35" t="s">
        <v>126</v>
      </c>
      <c r="D52" s="35" t="s">
        <v>21</v>
      </c>
      <c r="E52" s="34">
        <v>45124</v>
      </c>
      <c r="F52" s="35" t="s">
        <v>95</v>
      </c>
      <c r="G52" s="32" t="s">
        <v>215</v>
      </c>
      <c r="H52" s="50">
        <v>8.9049999999999994</v>
      </c>
      <c r="I52" s="33">
        <v>684.09</v>
      </c>
      <c r="J52" s="33" t="s">
        <v>86</v>
      </c>
      <c r="K52" s="50">
        <v>59.44</v>
      </c>
      <c r="L52" s="33">
        <v>632500</v>
      </c>
      <c r="M52" s="33">
        <v>75603.45</v>
      </c>
      <c r="N52" s="33">
        <v>29034.13526244953</v>
      </c>
      <c r="O52" s="33">
        <v>7490.7469717362046</v>
      </c>
      <c r="P52" s="33">
        <v>27775.689771197849</v>
      </c>
      <c r="Q52" s="45">
        <v>1363.3159488559893</v>
      </c>
      <c r="R52" s="33">
        <v>0</v>
      </c>
      <c r="S52" s="33">
        <v>42023.09051144011</v>
      </c>
      <c r="T52" s="33">
        <v>0</v>
      </c>
      <c r="U52" s="34"/>
      <c r="V52" s="33">
        <v>815790.42846567952</v>
      </c>
      <c r="W52" s="33">
        <v>634.22</v>
      </c>
      <c r="X52" s="34">
        <v>45155</v>
      </c>
      <c r="Y52" s="33">
        <v>12089</v>
      </c>
      <c r="Z52" s="46">
        <v>7667085.5800000001</v>
      </c>
      <c r="AA52" s="31" t="s">
        <v>147</v>
      </c>
    </row>
    <row r="53" spans="1:27">
      <c r="A53" s="49">
        <v>49</v>
      </c>
      <c r="B53" s="35" t="s">
        <v>216</v>
      </c>
      <c r="C53" s="35" t="s">
        <v>126</v>
      </c>
      <c r="D53" s="35" t="s">
        <v>21</v>
      </c>
      <c r="E53" s="34">
        <v>45124</v>
      </c>
      <c r="F53" s="35" t="s">
        <v>85</v>
      </c>
      <c r="G53" s="32" t="s">
        <v>217</v>
      </c>
      <c r="H53" s="50">
        <v>7.26</v>
      </c>
      <c r="I53" s="33">
        <v>3272</v>
      </c>
      <c r="J53" s="33" t="s">
        <v>86</v>
      </c>
      <c r="K53" s="50">
        <v>60.059999999999995</v>
      </c>
      <c r="L53" s="33">
        <v>632500</v>
      </c>
      <c r="M53" s="33">
        <v>61637.4</v>
      </c>
      <c r="N53" s="33">
        <v>23426.373626373628</v>
      </c>
      <c r="O53" s="33">
        <v>6043.9560439560437</v>
      </c>
      <c r="P53" s="33">
        <v>22410.989010989011</v>
      </c>
      <c r="Q53" s="45">
        <v>1100</v>
      </c>
      <c r="R53" s="33">
        <v>0</v>
      </c>
      <c r="S53" s="33">
        <v>33906.593406593405</v>
      </c>
      <c r="T53" s="33">
        <v>0</v>
      </c>
      <c r="U53" s="34"/>
      <c r="V53" s="33">
        <v>781025.312087912</v>
      </c>
      <c r="W53" s="33">
        <v>607.19000000000005</v>
      </c>
      <c r="X53" s="34">
        <v>45155</v>
      </c>
      <c r="Y53" s="33">
        <v>12089</v>
      </c>
      <c r="Z53" s="46">
        <v>7340319.9100000011</v>
      </c>
      <c r="AA53" s="31" t="s">
        <v>147</v>
      </c>
    </row>
    <row r="54" spans="1:27">
      <c r="A54" s="49">
        <v>50</v>
      </c>
      <c r="B54" s="35" t="s">
        <v>216</v>
      </c>
      <c r="C54" s="35" t="s">
        <v>126</v>
      </c>
      <c r="D54" s="35" t="s">
        <v>21</v>
      </c>
      <c r="E54" s="34">
        <v>45124</v>
      </c>
      <c r="F54" s="35" t="s">
        <v>91</v>
      </c>
      <c r="G54" s="32" t="s">
        <v>218</v>
      </c>
      <c r="H54" s="50">
        <v>52.8</v>
      </c>
      <c r="I54" s="33">
        <v>10950</v>
      </c>
      <c r="J54" s="33" t="s">
        <v>86</v>
      </c>
      <c r="K54" s="50">
        <v>60.059999999999995</v>
      </c>
      <c r="L54" s="33">
        <v>1148000</v>
      </c>
      <c r="M54" s="33">
        <v>448272</v>
      </c>
      <c r="N54" s="33">
        <v>170373.62637362638</v>
      </c>
      <c r="O54" s="33">
        <v>43956.043956043955</v>
      </c>
      <c r="P54" s="33">
        <v>162989.01098901097</v>
      </c>
      <c r="Q54" s="45">
        <v>8000</v>
      </c>
      <c r="R54" s="33">
        <v>0</v>
      </c>
      <c r="S54" s="33">
        <v>246593.4065934066</v>
      </c>
      <c r="T54" s="33">
        <v>0</v>
      </c>
      <c r="U54" s="34"/>
      <c r="V54" s="33">
        <v>2228184.0879120878</v>
      </c>
      <c r="W54" s="33">
        <v>1732.24</v>
      </c>
      <c r="X54" s="34">
        <v>45155</v>
      </c>
      <c r="Y54" s="33">
        <v>12089</v>
      </c>
      <c r="Z54" s="46">
        <v>20941049.359999999</v>
      </c>
      <c r="AA54" s="31" t="s">
        <v>147</v>
      </c>
    </row>
    <row r="55" spans="1:27">
      <c r="A55" s="49">
        <v>51</v>
      </c>
      <c r="B55" s="35" t="s">
        <v>219</v>
      </c>
      <c r="C55" s="35" t="s">
        <v>126</v>
      </c>
      <c r="D55" s="35" t="s">
        <v>21</v>
      </c>
      <c r="E55" s="34">
        <v>45124</v>
      </c>
      <c r="F55" s="35" t="s">
        <v>143</v>
      </c>
      <c r="G55" s="32" t="s">
        <v>220</v>
      </c>
      <c r="H55" s="50">
        <v>26.361000000000001</v>
      </c>
      <c r="I55" s="33">
        <v>14840</v>
      </c>
      <c r="J55" s="33" t="s">
        <v>86</v>
      </c>
      <c r="K55" s="50">
        <v>38.360999999999997</v>
      </c>
      <c r="L55" s="33">
        <v>1101000</v>
      </c>
      <c r="M55" s="33">
        <v>223804.89</v>
      </c>
      <c r="N55" s="33">
        <v>133175.92867756312</v>
      </c>
      <c r="O55" s="33">
        <v>34359.11472589348</v>
      </c>
      <c r="P55" s="33">
        <v>127403.59740361302</v>
      </c>
      <c r="Q55" s="45">
        <v>6253.3588801126134</v>
      </c>
      <c r="R55" s="33">
        <v>0</v>
      </c>
      <c r="S55" s="33">
        <v>192754.63361226243</v>
      </c>
      <c r="T55" s="33">
        <v>0</v>
      </c>
      <c r="U55" s="34"/>
      <c r="V55" s="33">
        <v>1818751.5232994445</v>
      </c>
      <c r="W55" s="33">
        <v>1413.94</v>
      </c>
      <c r="X55" s="34">
        <v>45155</v>
      </c>
      <c r="Y55" s="33">
        <v>12089</v>
      </c>
      <c r="Z55" s="46">
        <v>17093120.66</v>
      </c>
      <c r="AA55" s="31" t="s">
        <v>147</v>
      </c>
    </row>
    <row r="56" spans="1:27" ht="36.75">
      <c r="A56" s="49">
        <v>52</v>
      </c>
      <c r="B56" s="35" t="s">
        <v>219</v>
      </c>
      <c r="C56" s="35" t="s">
        <v>126</v>
      </c>
      <c r="D56" s="35" t="s">
        <v>21</v>
      </c>
      <c r="E56" s="34">
        <v>45124</v>
      </c>
      <c r="F56" s="35" t="s">
        <v>222</v>
      </c>
      <c r="G56" s="32" t="s">
        <v>221</v>
      </c>
      <c r="H56" s="50">
        <v>12</v>
      </c>
      <c r="I56" s="33">
        <v>6030</v>
      </c>
      <c r="J56" s="33" t="s">
        <v>93</v>
      </c>
      <c r="K56" s="50">
        <v>38.360999999999997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45">
        <v>0</v>
      </c>
      <c r="R56" s="33">
        <v>0</v>
      </c>
      <c r="S56" s="33">
        <v>0</v>
      </c>
      <c r="T56" s="33">
        <v>0</v>
      </c>
      <c r="U56" s="34"/>
      <c r="V56" s="33">
        <v>0</v>
      </c>
      <c r="W56" s="33">
        <v>0</v>
      </c>
      <c r="X56" s="34">
        <v>45155</v>
      </c>
      <c r="Y56" s="33">
        <v>12089</v>
      </c>
      <c r="Z56" s="46">
        <v>0</v>
      </c>
      <c r="AA56" s="31" t="s">
        <v>147</v>
      </c>
    </row>
    <row r="57" spans="1:27">
      <c r="A57" s="49">
        <v>53</v>
      </c>
      <c r="B57" s="35" t="s">
        <v>223</v>
      </c>
      <c r="C57" s="35" t="s">
        <v>126</v>
      </c>
      <c r="D57" s="35" t="s">
        <v>21</v>
      </c>
      <c r="E57" s="34">
        <v>45124</v>
      </c>
      <c r="F57" s="35" t="s">
        <v>100</v>
      </c>
      <c r="G57" s="32" t="s">
        <v>224</v>
      </c>
      <c r="H57" s="50">
        <v>22.79</v>
      </c>
      <c r="I57" s="33">
        <v>1864.8</v>
      </c>
      <c r="J57" s="33" t="s">
        <v>86</v>
      </c>
      <c r="K57" s="50">
        <v>42.854999999999997</v>
      </c>
      <c r="L57" s="33">
        <v>291000</v>
      </c>
      <c r="M57" s="33">
        <v>193487.1</v>
      </c>
      <c r="N57" s="33">
        <v>103061.53307665384</v>
      </c>
      <c r="O57" s="33">
        <v>26589.662816474156</v>
      </c>
      <c r="P57" s="33">
        <v>98594.469723486181</v>
      </c>
      <c r="Q57" s="45">
        <v>4839.318632598297</v>
      </c>
      <c r="R57" s="33">
        <v>0</v>
      </c>
      <c r="S57" s="33">
        <v>149168.00840042002</v>
      </c>
      <c r="T57" s="33">
        <v>0</v>
      </c>
      <c r="U57" s="34"/>
      <c r="V57" s="33">
        <v>866740.0926496326</v>
      </c>
      <c r="W57" s="33">
        <v>673.82</v>
      </c>
      <c r="X57" s="34">
        <v>45155</v>
      </c>
      <c r="Y57" s="33">
        <v>12089</v>
      </c>
      <c r="Z57" s="46">
        <v>8145809.9800000004</v>
      </c>
      <c r="AA57" s="31" t="s">
        <v>147</v>
      </c>
    </row>
    <row r="58" spans="1:27">
      <c r="A58" s="49">
        <v>54</v>
      </c>
      <c r="B58" s="35" t="s">
        <v>223</v>
      </c>
      <c r="C58" s="35" t="s">
        <v>126</v>
      </c>
      <c r="D58" s="35" t="s">
        <v>21</v>
      </c>
      <c r="E58" s="34">
        <v>45124</v>
      </c>
      <c r="F58" s="35" t="s">
        <v>226</v>
      </c>
      <c r="G58" s="32" t="s">
        <v>225</v>
      </c>
      <c r="H58" s="50">
        <v>0.04</v>
      </c>
      <c r="I58" s="33">
        <v>272.2</v>
      </c>
      <c r="J58" s="33" t="s">
        <v>93</v>
      </c>
      <c r="K58" s="50">
        <v>42.854999999999997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45">
        <v>0</v>
      </c>
      <c r="R58" s="33">
        <v>0</v>
      </c>
      <c r="S58" s="33">
        <v>0</v>
      </c>
      <c r="T58" s="33">
        <v>0</v>
      </c>
      <c r="U58" s="34"/>
      <c r="V58" s="33">
        <v>0</v>
      </c>
      <c r="W58" s="33">
        <v>0</v>
      </c>
      <c r="X58" s="34">
        <v>45155</v>
      </c>
      <c r="Y58" s="33">
        <v>12089</v>
      </c>
      <c r="Z58" s="46">
        <v>0</v>
      </c>
      <c r="AA58" s="31" t="s">
        <v>147</v>
      </c>
    </row>
    <row r="59" spans="1:27" ht="24.75">
      <c r="A59" s="49">
        <v>55</v>
      </c>
      <c r="B59" s="35" t="s">
        <v>223</v>
      </c>
      <c r="C59" s="35" t="s">
        <v>126</v>
      </c>
      <c r="D59" s="35" t="s">
        <v>21</v>
      </c>
      <c r="E59" s="34">
        <v>45124</v>
      </c>
      <c r="F59" s="35" t="s">
        <v>228</v>
      </c>
      <c r="G59" s="32" t="s">
        <v>227</v>
      </c>
      <c r="H59" s="50">
        <v>12.29</v>
      </c>
      <c r="I59" s="33">
        <v>13005</v>
      </c>
      <c r="J59" s="33" t="s">
        <v>86</v>
      </c>
      <c r="K59" s="50">
        <v>42.854999999999997</v>
      </c>
      <c r="L59" s="33">
        <v>1230000</v>
      </c>
      <c r="M59" s="33">
        <v>104342.1</v>
      </c>
      <c r="N59" s="33">
        <v>55578.158907945399</v>
      </c>
      <c r="O59" s="33">
        <v>14339.050285847628</v>
      </c>
      <c r="P59" s="33">
        <v>53169.198459922998</v>
      </c>
      <c r="Q59" s="45">
        <v>2609.707152024268</v>
      </c>
      <c r="R59" s="33">
        <v>0</v>
      </c>
      <c r="S59" s="33">
        <v>80442.072103605184</v>
      </c>
      <c r="T59" s="33">
        <v>0</v>
      </c>
      <c r="U59" s="34"/>
      <c r="V59" s="33">
        <v>1540480.2869093458</v>
      </c>
      <c r="W59" s="33">
        <v>1197.6099999999999</v>
      </c>
      <c r="X59" s="34">
        <v>45155</v>
      </c>
      <c r="Y59" s="33">
        <v>12089</v>
      </c>
      <c r="Z59" s="46">
        <v>14477907.289999999</v>
      </c>
      <c r="AA59" s="31" t="s">
        <v>147</v>
      </c>
    </row>
    <row r="60" spans="1:27">
      <c r="A60" s="49">
        <v>56</v>
      </c>
      <c r="B60" s="35" t="s">
        <v>223</v>
      </c>
      <c r="C60" s="35" t="s">
        <v>126</v>
      </c>
      <c r="D60" s="35" t="s">
        <v>21</v>
      </c>
      <c r="E60" s="34">
        <v>45124</v>
      </c>
      <c r="F60" s="35" t="s">
        <v>145</v>
      </c>
      <c r="G60" s="32" t="s">
        <v>229</v>
      </c>
      <c r="H60" s="50">
        <v>4.0289999999999999</v>
      </c>
      <c r="I60" s="33">
        <v>633</v>
      </c>
      <c r="J60" s="33" t="s">
        <v>86</v>
      </c>
      <c r="K60" s="50">
        <v>42.854999999999997</v>
      </c>
      <c r="L60" s="33">
        <v>241000</v>
      </c>
      <c r="M60" s="33">
        <v>34206.21</v>
      </c>
      <c r="N60" s="33">
        <v>18220.049002450123</v>
      </c>
      <c r="O60" s="33">
        <v>4700.7350367518384</v>
      </c>
      <c r="P60" s="33">
        <v>17430.325516275814</v>
      </c>
      <c r="Q60" s="45">
        <v>855.53377668883456</v>
      </c>
      <c r="R60" s="33">
        <v>0</v>
      </c>
      <c r="S60" s="33">
        <v>26371.123556177812</v>
      </c>
      <c r="T60" s="33">
        <v>0</v>
      </c>
      <c r="U60" s="34"/>
      <c r="V60" s="33">
        <v>342783.97688834451</v>
      </c>
      <c r="W60" s="33">
        <v>266.49</v>
      </c>
      <c r="X60" s="34">
        <v>45155</v>
      </c>
      <c r="Y60" s="33">
        <v>12089</v>
      </c>
      <c r="Z60" s="46">
        <v>3221597.6100000003</v>
      </c>
      <c r="AA60" s="31" t="s">
        <v>147</v>
      </c>
    </row>
    <row r="61" spans="1:27" ht="24.75">
      <c r="A61" s="49">
        <v>57</v>
      </c>
      <c r="B61" s="35" t="s">
        <v>223</v>
      </c>
      <c r="C61" s="35" t="s">
        <v>126</v>
      </c>
      <c r="D61" s="35" t="s">
        <v>21</v>
      </c>
      <c r="E61" s="34">
        <v>45124</v>
      </c>
      <c r="F61" s="35" t="s">
        <v>144</v>
      </c>
      <c r="G61" s="32" t="s">
        <v>230</v>
      </c>
      <c r="H61" s="50">
        <v>2.7450000000000001</v>
      </c>
      <c r="I61" s="33">
        <v>2942.01</v>
      </c>
      <c r="J61" s="33" t="s">
        <v>86</v>
      </c>
      <c r="K61" s="50">
        <v>42.854999999999997</v>
      </c>
      <c r="L61" s="33">
        <v>465000</v>
      </c>
      <c r="M61" s="33">
        <v>23305.05</v>
      </c>
      <c r="N61" s="33">
        <v>12413.510675533777</v>
      </c>
      <c r="O61" s="33">
        <v>3202.6601330066505</v>
      </c>
      <c r="P61" s="33">
        <v>11875.46377318866</v>
      </c>
      <c r="Q61" s="45">
        <v>582.8841442072104</v>
      </c>
      <c r="R61" s="33">
        <v>0</v>
      </c>
      <c r="S61" s="33">
        <v>17966.92334616731</v>
      </c>
      <c r="T61" s="33">
        <v>0</v>
      </c>
      <c r="U61" s="34"/>
      <c r="V61" s="33">
        <v>534346.49207210355</v>
      </c>
      <c r="W61" s="33">
        <v>415.41</v>
      </c>
      <c r="X61" s="34">
        <v>45155</v>
      </c>
      <c r="Y61" s="33">
        <v>12089</v>
      </c>
      <c r="Z61" s="46">
        <v>5021891.49</v>
      </c>
      <c r="AA61" s="31" t="s">
        <v>147</v>
      </c>
    </row>
    <row r="62" spans="1:27" ht="24.75">
      <c r="A62" s="49">
        <v>58</v>
      </c>
      <c r="B62" s="35" t="s">
        <v>223</v>
      </c>
      <c r="C62" s="35" t="s">
        <v>126</v>
      </c>
      <c r="D62" s="35" t="s">
        <v>21</v>
      </c>
      <c r="E62" s="34">
        <v>45124</v>
      </c>
      <c r="F62" s="35" t="s">
        <v>144</v>
      </c>
      <c r="G62" s="32" t="s">
        <v>231</v>
      </c>
      <c r="H62" s="50">
        <v>0.75600000000000001</v>
      </c>
      <c r="I62" s="33">
        <v>374.7</v>
      </c>
      <c r="J62" s="33" t="s">
        <v>86</v>
      </c>
      <c r="K62" s="50">
        <v>42.854999999999997</v>
      </c>
      <c r="L62" s="33">
        <v>289000</v>
      </c>
      <c r="M62" s="33">
        <v>6418.44</v>
      </c>
      <c r="N62" s="33">
        <v>3418.802940147008</v>
      </c>
      <c r="O62" s="33">
        <v>882.04410220511045</v>
      </c>
      <c r="P62" s="33">
        <v>3270.6195309765494</v>
      </c>
      <c r="Q62" s="45">
        <v>160.5320266013301</v>
      </c>
      <c r="R62" s="33">
        <v>0</v>
      </c>
      <c r="S62" s="33">
        <v>4948.2674133706696</v>
      </c>
      <c r="T62" s="33">
        <v>0</v>
      </c>
      <c r="U62" s="34"/>
      <c r="V62" s="33">
        <v>308098.70601330069</v>
      </c>
      <c r="W62" s="33">
        <v>239.52</v>
      </c>
      <c r="X62" s="34">
        <v>45155</v>
      </c>
      <c r="Y62" s="33">
        <v>12089</v>
      </c>
      <c r="Z62" s="46">
        <v>2895557.2800000003</v>
      </c>
      <c r="AA62" s="31" t="s">
        <v>147</v>
      </c>
    </row>
    <row r="63" spans="1:27">
      <c r="A63" s="49">
        <v>59</v>
      </c>
      <c r="B63" s="35" t="s">
        <v>223</v>
      </c>
      <c r="C63" s="35" t="s">
        <v>126</v>
      </c>
      <c r="D63" s="35" t="s">
        <v>21</v>
      </c>
      <c r="E63" s="34">
        <v>45124</v>
      </c>
      <c r="F63" s="35" t="s">
        <v>99</v>
      </c>
      <c r="G63" s="32" t="s">
        <v>232</v>
      </c>
      <c r="H63" s="50">
        <v>0.20499999999999999</v>
      </c>
      <c r="I63" s="33">
        <v>21</v>
      </c>
      <c r="J63" s="33" t="s">
        <v>86</v>
      </c>
      <c r="K63" s="50">
        <v>42.854999999999997</v>
      </c>
      <c r="L63" s="33">
        <v>288000</v>
      </c>
      <c r="M63" s="33">
        <v>1740.4499999999998</v>
      </c>
      <c r="N63" s="33">
        <v>927.05635281764091</v>
      </c>
      <c r="O63" s="33">
        <v>239.17862559794659</v>
      </c>
      <c r="P63" s="33">
        <v>886.87434371718587</v>
      </c>
      <c r="Q63" s="45">
        <v>43.530509858826278</v>
      </c>
      <c r="R63" s="33">
        <v>0</v>
      </c>
      <c r="S63" s="33">
        <v>1341.7920896044802</v>
      </c>
      <c r="T63" s="33">
        <v>0</v>
      </c>
      <c r="U63" s="34"/>
      <c r="V63" s="33">
        <v>293178.88192159607</v>
      </c>
      <c r="W63" s="33">
        <v>227.92</v>
      </c>
      <c r="X63" s="34">
        <v>45155</v>
      </c>
      <c r="Y63" s="33">
        <v>12089</v>
      </c>
      <c r="Z63" s="46">
        <v>2755324.88</v>
      </c>
      <c r="AA63" s="31" t="s">
        <v>147</v>
      </c>
    </row>
    <row r="64" spans="1:27">
      <c r="A64" s="49">
        <v>60</v>
      </c>
      <c r="B64" s="35" t="s">
        <v>233</v>
      </c>
      <c r="C64" s="35" t="s">
        <v>126</v>
      </c>
      <c r="D64" s="35" t="s">
        <v>21</v>
      </c>
      <c r="E64" s="34">
        <v>45130</v>
      </c>
      <c r="F64" s="35" t="s">
        <v>152</v>
      </c>
      <c r="G64" s="32" t="s">
        <v>234</v>
      </c>
      <c r="H64" s="50">
        <v>26.97</v>
      </c>
      <c r="I64" s="33">
        <v>17900</v>
      </c>
      <c r="J64" s="33" t="s">
        <v>86</v>
      </c>
      <c r="K64" s="50">
        <v>52.369</v>
      </c>
      <c r="L64" s="33">
        <v>768000</v>
      </c>
      <c r="M64" s="33">
        <v>228975.3</v>
      </c>
      <c r="N64" s="33">
        <v>99806.870476808806</v>
      </c>
      <c r="O64" s="33">
        <v>25749.966583284</v>
      </c>
      <c r="P64" s="33">
        <v>95480.876090817095</v>
      </c>
      <c r="Q64" s="45">
        <v>4686.4939181576883</v>
      </c>
      <c r="R64" s="33">
        <v>0</v>
      </c>
      <c r="S64" s="33">
        <v>144457.31253222324</v>
      </c>
      <c r="T64" s="33">
        <v>0</v>
      </c>
      <c r="U64" s="34"/>
      <c r="V64" s="33">
        <v>1367156.8196012911</v>
      </c>
      <c r="W64" s="33">
        <v>1062.8599999999999</v>
      </c>
      <c r="X64" s="34">
        <v>45155</v>
      </c>
      <c r="Y64" s="33">
        <v>12089</v>
      </c>
      <c r="Z64" s="46">
        <v>12848914.539999999</v>
      </c>
      <c r="AA64" s="31" t="s">
        <v>147</v>
      </c>
    </row>
    <row r="65" spans="1:27">
      <c r="A65" s="49">
        <v>61</v>
      </c>
      <c r="B65" s="35" t="s">
        <v>233</v>
      </c>
      <c r="C65" s="35" t="s">
        <v>126</v>
      </c>
      <c r="D65" s="35" t="s">
        <v>21</v>
      </c>
      <c r="E65" s="34">
        <v>45130</v>
      </c>
      <c r="F65" s="35" t="s">
        <v>152</v>
      </c>
      <c r="G65" s="32" t="s">
        <v>235</v>
      </c>
      <c r="H65" s="50">
        <v>14.023999999999999</v>
      </c>
      <c r="I65" s="33">
        <v>1746.42</v>
      </c>
      <c r="J65" s="33" t="s">
        <v>86</v>
      </c>
      <c r="K65" s="50">
        <v>52.369</v>
      </c>
      <c r="L65" s="33">
        <v>332000</v>
      </c>
      <c r="M65" s="33">
        <v>119063.76</v>
      </c>
      <c r="N65" s="33">
        <v>51898.092382898278</v>
      </c>
      <c r="O65" s="33">
        <v>13389.600717982012</v>
      </c>
      <c r="P65" s="33">
        <v>49648.6394622773</v>
      </c>
      <c r="Q65" s="45">
        <v>2436.9073306727259</v>
      </c>
      <c r="R65" s="33">
        <v>0</v>
      </c>
      <c r="S65" s="33">
        <v>75115.660027879087</v>
      </c>
      <c r="T65" s="33">
        <v>0</v>
      </c>
      <c r="U65" s="34"/>
      <c r="V65" s="33">
        <v>643552.65992170933</v>
      </c>
      <c r="W65" s="33">
        <v>500.31</v>
      </c>
      <c r="X65" s="34">
        <v>45155</v>
      </c>
      <c r="Y65" s="33">
        <v>12089</v>
      </c>
      <c r="Z65" s="46">
        <v>6048247.5899999999</v>
      </c>
      <c r="AA65" s="31" t="s">
        <v>147</v>
      </c>
    </row>
    <row r="66" spans="1:27">
      <c r="A66" s="49">
        <v>62</v>
      </c>
      <c r="B66" s="35" t="s">
        <v>233</v>
      </c>
      <c r="C66" s="35" t="s">
        <v>126</v>
      </c>
      <c r="D66" s="35" t="s">
        <v>21</v>
      </c>
      <c r="E66" s="34">
        <v>45130</v>
      </c>
      <c r="F66" s="35" t="s">
        <v>152</v>
      </c>
      <c r="G66" s="32" t="s">
        <v>236</v>
      </c>
      <c r="H66" s="50">
        <v>5.3949999999999996</v>
      </c>
      <c r="I66" s="33">
        <v>424.4</v>
      </c>
      <c r="J66" s="33" t="s">
        <v>86</v>
      </c>
      <c r="K66" s="50">
        <v>52.369</v>
      </c>
      <c r="L66" s="33">
        <v>291100</v>
      </c>
      <c r="M66" s="33">
        <v>45803.55</v>
      </c>
      <c r="N66" s="33">
        <v>19965.074757967497</v>
      </c>
      <c r="O66" s="33">
        <v>5150.9480799709745</v>
      </c>
      <c r="P66" s="33">
        <v>19099.715480532373</v>
      </c>
      <c r="Q66" s="45">
        <v>937.47255055471749</v>
      </c>
      <c r="R66" s="33">
        <v>0</v>
      </c>
      <c r="S66" s="33">
        <v>28896.818728637169</v>
      </c>
      <c r="T66" s="33">
        <v>0</v>
      </c>
      <c r="U66" s="34"/>
      <c r="V66" s="33">
        <v>410953.57959766273</v>
      </c>
      <c r="W66" s="33">
        <v>319.49</v>
      </c>
      <c r="X66" s="34">
        <v>45155</v>
      </c>
      <c r="Y66" s="33">
        <v>12089</v>
      </c>
      <c r="Z66" s="46">
        <v>3862314.6100000003</v>
      </c>
      <c r="AA66" s="31" t="s">
        <v>147</v>
      </c>
    </row>
    <row r="67" spans="1:27">
      <c r="A67" s="49">
        <v>63</v>
      </c>
      <c r="B67" s="35" t="s">
        <v>233</v>
      </c>
      <c r="C67" s="35" t="s">
        <v>126</v>
      </c>
      <c r="D67" s="35" t="s">
        <v>21</v>
      </c>
      <c r="E67" s="34">
        <v>45130</v>
      </c>
      <c r="F67" s="35" t="s">
        <v>85</v>
      </c>
      <c r="G67" s="32" t="s">
        <v>237</v>
      </c>
      <c r="H67" s="50">
        <v>5.98</v>
      </c>
      <c r="I67" s="33">
        <v>2568</v>
      </c>
      <c r="J67" s="33" t="s">
        <v>86</v>
      </c>
      <c r="K67" s="50">
        <v>52.369</v>
      </c>
      <c r="L67" s="33">
        <v>478000</v>
      </c>
      <c r="M67" s="33">
        <v>50770.2</v>
      </c>
      <c r="N67" s="33">
        <v>22129.962382325422</v>
      </c>
      <c r="O67" s="33">
        <v>5709.4846187630092</v>
      </c>
      <c r="P67" s="33">
        <v>21170.768966373242</v>
      </c>
      <c r="Q67" s="45">
        <v>1039.1262006148677</v>
      </c>
      <c r="R67" s="33">
        <v>0</v>
      </c>
      <c r="S67" s="33">
        <v>32030.208711260479</v>
      </c>
      <c r="T67" s="33">
        <v>0</v>
      </c>
      <c r="U67" s="34"/>
      <c r="V67" s="33">
        <v>610849.75087933696</v>
      </c>
      <c r="W67" s="33">
        <v>474.89</v>
      </c>
      <c r="X67" s="34">
        <v>45155</v>
      </c>
      <c r="Y67" s="33">
        <v>12089</v>
      </c>
      <c r="Z67" s="46">
        <v>5740945.21</v>
      </c>
      <c r="AA67" s="31" t="s">
        <v>147</v>
      </c>
    </row>
    <row r="68" spans="1:27">
      <c r="A68" s="49">
        <v>64</v>
      </c>
      <c r="B68" s="35" t="s">
        <v>238</v>
      </c>
      <c r="C68" s="35" t="s">
        <v>126</v>
      </c>
      <c r="D68" s="35" t="s">
        <v>21</v>
      </c>
      <c r="E68" s="34">
        <v>45130</v>
      </c>
      <c r="F68" s="35" t="s">
        <v>152</v>
      </c>
      <c r="G68" s="32" t="s">
        <v>239</v>
      </c>
      <c r="H68" s="50">
        <v>22.654</v>
      </c>
      <c r="I68" s="33">
        <v>3330.18</v>
      </c>
      <c r="J68" s="33" t="s">
        <v>86</v>
      </c>
      <c r="K68" s="50">
        <v>64.730999999999995</v>
      </c>
      <c r="L68" s="33">
        <v>392000</v>
      </c>
      <c r="M68" s="33">
        <v>192332.46</v>
      </c>
      <c r="N68" s="33">
        <v>67824.461231867273</v>
      </c>
      <c r="O68" s="33">
        <v>17498.571009253683</v>
      </c>
      <c r="P68" s="33">
        <v>64884.701302312656</v>
      </c>
      <c r="Q68" s="45">
        <v>3184.7399236841702</v>
      </c>
      <c r="R68" s="33">
        <v>0</v>
      </c>
      <c r="S68" s="33">
        <v>98166.983361913168</v>
      </c>
      <c r="T68" s="33">
        <v>0</v>
      </c>
      <c r="U68" s="34"/>
      <c r="V68" s="33">
        <v>835891.91682903108</v>
      </c>
      <c r="W68" s="33">
        <v>649.84</v>
      </c>
      <c r="X68" s="34">
        <v>45155</v>
      </c>
      <c r="Y68" s="33">
        <v>12089</v>
      </c>
      <c r="Z68" s="46">
        <v>7855915.7600000007</v>
      </c>
      <c r="AA68" s="31" t="s">
        <v>147</v>
      </c>
    </row>
    <row r="69" spans="1:27">
      <c r="A69" s="49">
        <v>65</v>
      </c>
      <c r="B69" s="35" t="s">
        <v>238</v>
      </c>
      <c r="C69" s="35" t="s">
        <v>126</v>
      </c>
      <c r="D69" s="35" t="s">
        <v>21</v>
      </c>
      <c r="E69" s="34">
        <v>45130</v>
      </c>
      <c r="F69" s="35" t="s">
        <v>152</v>
      </c>
      <c r="G69" s="32" t="s">
        <v>240</v>
      </c>
      <c r="H69" s="50">
        <v>14.026999999999999</v>
      </c>
      <c r="I69" s="33">
        <v>12019.8</v>
      </c>
      <c r="J69" s="33" t="s">
        <v>86</v>
      </c>
      <c r="K69" s="50">
        <v>64.730999999999995</v>
      </c>
      <c r="L69" s="33">
        <v>624000</v>
      </c>
      <c r="M69" s="33">
        <v>119089.23</v>
      </c>
      <c r="N69" s="33">
        <v>41995.838161004773</v>
      </c>
      <c r="O69" s="33">
        <v>10834.839566822697</v>
      </c>
      <c r="P69" s="33">
        <v>40175.585113778565</v>
      </c>
      <c r="Q69" s="45">
        <v>1971.9408011617309</v>
      </c>
      <c r="R69" s="33">
        <v>0</v>
      </c>
      <c r="S69" s="33">
        <v>60783.449969875335</v>
      </c>
      <c r="T69" s="33">
        <v>0</v>
      </c>
      <c r="U69" s="34"/>
      <c r="V69" s="33">
        <v>898850.88361264323</v>
      </c>
      <c r="W69" s="33">
        <v>698.79</v>
      </c>
      <c r="X69" s="34">
        <v>45155</v>
      </c>
      <c r="Y69" s="33">
        <v>12089</v>
      </c>
      <c r="Z69" s="46">
        <v>8447672.3099999987</v>
      </c>
      <c r="AA69" s="31" t="s">
        <v>147</v>
      </c>
    </row>
    <row r="70" spans="1:27">
      <c r="A70" s="49">
        <v>66</v>
      </c>
      <c r="B70" s="35" t="s">
        <v>238</v>
      </c>
      <c r="C70" s="35" t="s">
        <v>126</v>
      </c>
      <c r="D70" s="35" t="s">
        <v>21</v>
      </c>
      <c r="E70" s="34">
        <v>45130</v>
      </c>
      <c r="F70" s="35" t="s">
        <v>152</v>
      </c>
      <c r="G70" s="32" t="s">
        <v>241</v>
      </c>
      <c r="H70" s="50">
        <v>8.6319999999999997</v>
      </c>
      <c r="I70" s="33">
        <v>4832</v>
      </c>
      <c r="J70" s="33" t="s">
        <v>86</v>
      </c>
      <c r="K70" s="50">
        <v>64.730999999999995</v>
      </c>
      <c r="L70" s="33">
        <v>332000</v>
      </c>
      <c r="M70" s="33">
        <v>73285.679999999993</v>
      </c>
      <c r="N70" s="33">
        <v>25843.592714464477</v>
      </c>
      <c r="O70" s="33">
        <v>6667.5935795831992</v>
      </c>
      <c r="P70" s="33">
        <v>24723.436993094503</v>
      </c>
      <c r="Q70" s="45">
        <v>1213.5020314841422</v>
      </c>
      <c r="R70" s="33">
        <v>0</v>
      </c>
      <c r="S70" s="33">
        <v>37405.199981461745</v>
      </c>
      <c r="T70" s="33">
        <v>0</v>
      </c>
      <c r="U70" s="34"/>
      <c r="V70" s="33">
        <v>501139.00530008809</v>
      </c>
      <c r="W70" s="33">
        <v>389.6</v>
      </c>
      <c r="X70" s="34">
        <v>45155</v>
      </c>
      <c r="Y70" s="33">
        <v>12089</v>
      </c>
      <c r="Z70" s="46">
        <v>4709874.4000000004</v>
      </c>
      <c r="AA70" s="31" t="s">
        <v>147</v>
      </c>
    </row>
    <row r="71" spans="1:27">
      <c r="A71" s="49">
        <v>67</v>
      </c>
      <c r="B71" s="35" t="s">
        <v>238</v>
      </c>
      <c r="C71" s="35" t="s">
        <v>126</v>
      </c>
      <c r="D71" s="35" t="s">
        <v>21</v>
      </c>
      <c r="E71" s="34">
        <v>45130</v>
      </c>
      <c r="F71" s="35" t="s">
        <v>152</v>
      </c>
      <c r="G71" s="32" t="s">
        <v>242</v>
      </c>
      <c r="H71" s="50">
        <v>19.417999999999999</v>
      </c>
      <c r="I71" s="33">
        <v>2418.12</v>
      </c>
      <c r="J71" s="33" t="s">
        <v>86</v>
      </c>
      <c r="K71" s="50">
        <v>64.730999999999995</v>
      </c>
      <c r="L71" s="33">
        <v>376000</v>
      </c>
      <c r="M71" s="33">
        <v>164858.82</v>
      </c>
      <c r="N71" s="33">
        <v>58136.10789266348</v>
      </c>
      <c r="O71" s="33">
        <v>14998.995844340425</v>
      </c>
      <c r="P71" s="33">
        <v>55616.27659081429</v>
      </c>
      <c r="Q71" s="45">
        <v>2729.817243669957</v>
      </c>
      <c r="R71" s="33">
        <v>0</v>
      </c>
      <c r="S71" s="33">
        <v>84144.366686749781</v>
      </c>
      <c r="T71" s="33">
        <v>0</v>
      </c>
      <c r="U71" s="34"/>
      <c r="V71" s="33">
        <v>756484.38425823813</v>
      </c>
      <c r="W71" s="33">
        <v>588.11</v>
      </c>
      <c r="X71" s="34">
        <v>45155</v>
      </c>
      <c r="Y71" s="33">
        <v>12089</v>
      </c>
      <c r="Z71" s="46">
        <v>7109661.79</v>
      </c>
      <c r="AA71" s="31" t="s">
        <v>147</v>
      </c>
    </row>
    <row r="72" spans="1:27">
      <c r="A72" s="49">
        <v>68</v>
      </c>
      <c r="B72" s="35" t="s">
        <v>243</v>
      </c>
      <c r="C72" s="35" t="s">
        <v>126</v>
      </c>
      <c r="D72" s="35" t="s">
        <v>21</v>
      </c>
      <c r="E72" s="34">
        <v>45130</v>
      </c>
      <c r="F72" s="35" t="s">
        <v>152</v>
      </c>
      <c r="G72" s="32" t="s">
        <v>244</v>
      </c>
      <c r="H72" s="50">
        <v>10.788</v>
      </c>
      <c r="I72" s="33">
        <v>1343.4</v>
      </c>
      <c r="J72" s="33" t="s">
        <v>86</v>
      </c>
      <c r="K72" s="50">
        <v>62.758000000000003</v>
      </c>
      <c r="L72" s="33">
        <v>332000</v>
      </c>
      <c r="M72" s="33">
        <v>91590.12</v>
      </c>
      <c r="N72" s="33">
        <v>33313.910577137576</v>
      </c>
      <c r="O72" s="33">
        <v>8594.9201695401389</v>
      </c>
      <c r="P72" s="33">
        <v>31869.963988654836</v>
      </c>
      <c r="Q72" s="45">
        <v>1564.2754708563054</v>
      </c>
      <c r="R72" s="33">
        <v>0</v>
      </c>
      <c r="S72" s="33">
        <v>48217.502151120178</v>
      </c>
      <c r="T72" s="33">
        <v>0</v>
      </c>
      <c r="U72" s="34"/>
      <c r="V72" s="33">
        <v>547150.69235730905</v>
      </c>
      <c r="W72" s="33">
        <v>425.37</v>
      </c>
      <c r="X72" s="34">
        <v>45155</v>
      </c>
      <c r="Y72" s="33">
        <v>12089</v>
      </c>
      <c r="Z72" s="46">
        <v>5142297.93</v>
      </c>
      <c r="AA72" s="31" t="s">
        <v>147</v>
      </c>
    </row>
    <row r="73" spans="1:27">
      <c r="A73" s="49">
        <v>69</v>
      </c>
      <c r="B73" s="35" t="s">
        <v>243</v>
      </c>
      <c r="C73" s="35" t="s">
        <v>126</v>
      </c>
      <c r="D73" s="35" t="s">
        <v>21</v>
      </c>
      <c r="E73" s="34">
        <v>45130</v>
      </c>
      <c r="F73" s="35" t="s">
        <v>152</v>
      </c>
      <c r="G73" s="32" t="s">
        <v>245</v>
      </c>
      <c r="H73" s="50">
        <v>10.79</v>
      </c>
      <c r="I73" s="33">
        <v>8614</v>
      </c>
      <c r="J73" s="33" t="s">
        <v>86</v>
      </c>
      <c r="K73" s="50">
        <v>62.758000000000003</v>
      </c>
      <c r="L73" s="33">
        <v>392000</v>
      </c>
      <c r="M73" s="33">
        <v>91607.099999999991</v>
      </c>
      <c r="N73" s="33">
        <v>33320.086682175977</v>
      </c>
      <c r="O73" s="33">
        <v>8596.5135918926662</v>
      </c>
      <c r="P73" s="33">
        <v>31875.872398738007</v>
      </c>
      <c r="Q73" s="45">
        <v>1564.5654737244654</v>
      </c>
      <c r="R73" s="33">
        <v>0</v>
      </c>
      <c r="S73" s="33">
        <v>48226.441250517862</v>
      </c>
      <c r="T73" s="33">
        <v>0</v>
      </c>
      <c r="U73" s="34"/>
      <c r="V73" s="33">
        <v>607190.57939704903</v>
      </c>
      <c r="W73" s="33">
        <v>472.04</v>
      </c>
      <c r="X73" s="34">
        <v>45155</v>
      </c>
      <c r="Y73" s="33">
        <v>12089</v>
      </c>
      <c r="Z73" s="46">
        <v>5706491.5600000005</v>
      </c>
      <c r="AA73" s="31" t="s">
        <v>147</v>
      </c>
    </row>
    <row r="74" spans="1:27">
      <c r="A74" s="49">
        <v>70</v>
      </c>
      <c r="B74" s="35" t="s">
        <v>243</v>
      </c>
      <c r="C74" s="35" t="s">
        <v>126</v>
      </c>
      <c r="D74" s="35" t="s">
        <v>21</v>
      </c>
      <c r="E74" s="34">
        <v>45130</v>
      </c>
      <c r="F74" s="35" t="s">
        <v>152</v>
      </c>
      <c r="G74" s="32" t="s">
        <v>246</v>
      </c>
      <c r="H74" s="50">
        <v>10.79</v>
      </c>
      <c r="I74" s="33">
        <v>8614</v>
      </c>
      <c r="J74" s="33" t="s">
        <v>86</v>
      </c>
      <c r="K74" s="50">
        <v>62.758000000000003</v>
      </c>
      <c r="L74" s="33">
        <v>392000</v>
      </c>
      <c r="M74" s="33">
        <v>91607.099999999991</v>
      </c>
      <c r="N74" s="33">
        <v>33320.086682175977</v>
      </c>
      <c r="O74" s="33">
        <v>8596.5135918926662</v>
      </c>
      <c r="P74" s="33">
        <v>31875.872398738007</v>
      </c>
      <c r="Q74" s="45">
        <v>1564.5654737244654</v>
      </c>
      <c r="R74" s="33">
        <v>0</v>
      </c>
      <c r="S74" s="33">
        <v>48226.441250517862</v>
      </c>
      <c r="T74" s="33">
        <v>0</v>
      </c>
      <c r="U74" s="34"/>
      <c r="V74" s="33">
        <v>607190.57939704903</v>
      </c>
      <c r="W74" s="33">
        <v>472.04</v>
      </c>
      <c r="X74" s="34">
        <v>45155</v>
      </c>
      <c r="Y74" s="33">
        <v>12089</v>
      </c>
      <c r="Z74" s="46">
        <v>5706491.5600000005</v>
      </c>
      <c r="AA74" s="31" t="s">
        <v>147</v>
      </c>
    </row>
    <row r="75" spans="1:27">
      <c r="A75" s="49">
        <v>71</v>
      </c>
      <c r="B75" s="35" t="s">
        <v>243</v>
      </c>
      <c r="C75" s="35" t="s">
        <v>126</v>
      </c>
      <c r="D75" s="35" t="s">
        <v>21</v>
      </c>
      <c r="E75" s="34">
        <v>45130</v>
      </c>
      <c r="F75" s="35" t="s">
        <v>100</v>
      </c>
      <c r="G75" s="32" t="s">
        <v>247</v>
      </c>
      <c r="H75" s="50">
        <v>30.39</v>
      </c>
      <c r="I75" s="33">
        <v>2486.4</v>
      </c>
      <c r="J75" s="33" t="s">
        <v>86</v>
      </c>
      <c r="K75" s="50">
        <v>62.758000000000003</v>
      </c>
      <c r="L75" s="33">
        <v>291000</v>
      </c>
      <c r="M75" s="33">
        <v>258011.1</v>
      </c>
      <c r="N75" s="33">
        <v>93845.916058510469</v>
      </c>
      <c r="O75" s="33">
        <v>24212.052646674529</v>
      </c>
      <c r="P75" s="33">
        <v>89778.291213869146</v>
      </c>
      <c r="Q75" s="45">
        <v>4406.593581694764</v>
      </c>
      <c r="R75" s="33">
        <v>0</v>
      </c>
      <c r="S75" s="33">
        <v>135829.61534784411</v>
      </c>
      <c r="T75" s="33">
        <v>0</v>
      </c>
      <c r="U75" s="34"/>
      <c r="V75" s="33">
        <v>897083.56884859293</v>
      </c>
      <c r="W75" s="33">
        <v>697.41</v>
      </c>
      <c r="X75" s="34">
        <v>45155</v>
      </c>
      <c r="Y75" s="33">
        <v>12089</v>
      </c>
      <c r="Z75" s="46">
        <v>8430989.4900000002</v>
      </c>
      <c r="AA75" s="31" t="s">
        <v>147</v>
      </c>
    </row>
    <row r="76" spans="1:27">
      <c r="A76" s="49">
        <v>72</v>
      </c>
      <c r="B76" s="35" t="s">
        <v>248</v>
      </c>
      <c r="C76" s="35" t="s">
        <v>126</v>
      </c>
      <c r="D76" s="35" t="s">
        <v>21</v>
      </c>
      <c r="E76" s="34">
        <v>45130</v>
      </c>
      <c r="F76" s="35" t="s">
        <v>152</v>
      </c>
      <c r="G76" s="32" t="s">
        <v>249</v>
      </c>
      <c r="H76" s="50">
        <v>31.327999999999999</v>
      </c>
      <c r="I76" s="33">
        <v>5218.3999999999996</v>
      </c>
      <c r="J76" s="33" t="s">
        <v>86</v>
      </c>
      <c r="K76" s="50">
        <v>64.341999999999999</v>
      </c>
      <c r="L76" s="33">
        <v>392000</v>
      </c>
      <c r="M76" s="33">
        <v>265974.71999999997</v>
      </c>
      <c r="N76" s="33">
        <v>94360.859158869789</v>
      </c>
      <c r="O76" s="33">
        <v>24344.906903733176</v>
      </c>
      <c r="P76" s="33">
        <v>90270.914799042614</v>
      </c>
      <c r="Q76" s="45">
        <v>4430.7730564794383</v>
      </c>
      <c r="R76" s="33">
        <v>0</v>
      </c>
      <c r="S76" s="33">
        <v>136574.92772994313</v>
      </c>
      <c r="T76" s="33">
        <v>0</v>
      </c>
      <c r="U76" s="34"/>
      <c r="V76" s="33">
        <v>1007957.1016480681</v>
      </c>
      <c r="W76" s="33">
        <v>783.61</v>
      </c>
      <c r="X76" s="34">
        <v>45155</v>
      </c>
      <c r="Y76" s="33">
        <v>12089</v>
      </c>
      <c r="Z76" s="46">
        <v>9473061.290000001</v>
      </c>
      <c r="AA76" s="31" t="s">
        <v>147</v>
      </c>
    </row>
    <row r="77" spans="1:27">
      <c r="A77" s="49">
        <v>73</v>
      </c>
      <c r="B77" s="35" t="s">
        <v>248</v>
      </c>
      <c r="C77" s="35" t="s">
        <v>126</v>
      </c>
      <c r="D77" s="35" t="s">
        <v>21</v>
      </c>
      <c r="E77" s="34">
        <v>45130</v>
      </c>
      <c r="F77" s="35" t="s">
        <v>152</v>
      </c>
      <c r="G77" s="32" t="s">
        <v>250</v>
      </c>
      <c r="H77" s="50">
        <v>21.361999999999998</v>
      </c>
      <c r="I77" s="33">
        <v>3254.16</v>
      </c>
      <c r="J77" s="33" t="s">
        <v>86</v>
      </c>
      <c r="K77" s="50">
        <v>64.341999999999999</v>
      </c>
      <c r="L77" s="33">
        <v>392000</v>
      </c>
      <c r="M77" s="33">
        <v>181363.38</v>
      </c>
      <c r="N77" s="33">
        <v>64342.973485437193</v>
      </c>
      <c r="O77" s="33">
        <v>16600.354356407945</v>
      </c>
      <c r="P77" s="33">
        <v>61554.113953560664</v>
      </c>
      <c r="Q77" s="45">
        <v>3021.2644928662462</v>
      </c>
      <c r="R77" s="33">
        <v>0</v>
      </c>
      <c r="S77" s="33">
        <v>93127.987939448576</v>
      </c>
      <c r="T77" s="33">
        <v>0</v>
      </c>
      <c r="U77" s="34"/>
      <c r="V77" s="33">
        <v>812010.07422772085</v>
      </c>
      <c r="W77" s="33">
        <v>631.28</v>
      </c>
      <c r="X77" s="34">
        <v>45155</v>
      </c>
      <c r="Y77" s="33">
        <v>12089</v>
      </c>
      <c r="Z77" s="46">
        <v>7631543.9199999999</v>
      </c>
      <c r="AA77" s="31" t="s">
        <v>147</v>
      </c>
    </row>
    <row r="78" spans="1:27">
      <c r="A78" s="49">
        <v>74</v>
      </c>
      <c r="B78" s="35" t="s">
        <v>248</v>
      </c>
      <c r="C78" s="35" t="s">
        <v>126</v>
      </c>
      <c r="D78" s="35" t="s">
        <v>21</v>
      </c>
      <c r="E78" s="34">
        <v>45130</v>
      </c>
      <c r="F78" s="35" t="s">
        <v>152</v>
      </c>
      <c r="G78" s="32" t="s">
        <v>251</v>
      </c>
      <c r="H78" s="50">
        <v>7.1210000000000004</v>
      </c>
      <c r="I78" s="33">
        <v>1084.72</v>
      </c>
      <c r="J78" s="33" t="s">
        <v>86</v>
      </c>
      <c r="K78" s="50">
        <v>64.341999999999999</v>
      </c>
      <c r="L78" s="33">
        <v>332000</v>
      </c>
      <c r="M78" s="33">
        <v>60457.29</v>
      </c>
      <c r="N78" s="33">
        <v>21448.661838301578</v>
      </c>
      <c r="O78" s="33">
        <v>5533.7104845979302</v>
      </c>
      <c r="P78" s="33">
        <v>20518.998476889126</v>
      </c>
      <c r="Q78" s="45">
        <v>1007.1353081968234</v>
      </c>
      <c r="R78" s="33">
        <v>0</v>
      </c>
      <c r="S78" s="33">
        <v>31044.11581859439</v>
      </c>
      <c r="T78" s="33">
        <v>0</v>
      </c>
      <c r="U78" s="34"/>
      <c r="V78" s="33">
        <v>472009.91192657984</v>
      </c>
      <c r="W78" s="33">
        <v>366.95</v>
      </c>
      <c r="X78" s="34">
        <v>45155</v>
      </c>
      <c r="Y78" s="33">
        <v>12089</v>
      </c>
      <c r="Z78" s="46">
        <v>4436058.55</v>
      </c>
      <c r="AA78" s="31" t="s">
        <v>147</v>
      </c>
    </row>
    <row r="79" spans="1:27">
      <c r="A79" s="49">
        <v>75</v>
      </c>
      <c r="B79" s="35" t="s">
        <v>248</v>
      </c>
      <c r="C79" s="35" t="s">
        <v>126</v>
      </c>
      <c r="D79" s="35" t="s">
        <v>21</v>
      </c>
      <c r="E79" s="34">
        <v>45130</v>
      </c>
      <c r="F79" s="35" t="s">
        <v>152</v>
      </c>
      <c r="G79" s="32" t="s">
        <v>252</v>
      </c>
      <c r="H79" s="50">
        <v>1.8129999999999999</v>
      </c>
      <c r="I79" s="33">
        <v>324.38</v>
      </c>
      <c r="J79" s="33" t="s">
        <v>86</v>
      </c>
      <c r="K79" s="50">
        <v>64.341999999999999</v>
      </c>
      <c r="L79" s="33">
        <v>232000</v>
      </c>
      <c r="M79" s="33">
        <v>15392.37</v>
      </c>
      <c r="N79" s="33">
        <v>5460.8094246370956</v>
      </c>
      <c r="O79" s="33">
        <v>1408.8775605358862</v>
      </c>
      <c r="P79" s="33">
        <v>5224.1179944670666</v>
      </c>
      <c r="Q79" s="45">
        <v>256.41571601753134</v>
      </c>
      <c r="R79" s="33">
        <v>0</v>
      </c>
      <c r="S79" s="33">
        <v>7903.8031146063213</v>
      </c>
      <c r="T79" s="33">
        <v>0</v>
      </c>
      <c r="U79" s="34"/>
      <c r="V79" s="33">
        <v>267646.39381026389</v>
      </c>
      <c r="W79" s="33">
        <v>208.07</v>
      </c>
      <c r="X79" s="34">
        <v>45155</v>
      </c>
      <c r="Y79" s="33">
        <v>12089</v>
      </c>
      <c r="Z79" s="46">
        <v>2515358.23</v>
      </c>
      <c r="AA79" s="31" t="s">
        <v>147</v>
      </c>
    </row>
    <row r="80" spans="1:27">
      <c r="A80" s="49">
        <v>76</v>
      </c>
      <c r="B80" s="35" t="s">
        <v>248</v>
      </c>
      <c r="C80" s="35" t="s">
        <v>126</v>
      </c>
      <c r="D80" s="35" t="s">
        <v>21</v>
      </c>
      <c r="E80" s="34">
        <v>45130</v>
      </c>
      <c r="F80" s="35" t="s">
        <v>152</v>
      </c>
      <c r="G80" s="32" t="s">
        <v>253</v>
      </c>
      <c r="H80" s="50">
        <v>2.718</v>
      </c>
      <c r="I80" s="33">
        <v>486.57</v>
      </c>
      <c r="J80" s="33" t="s">
        <v>86</v>
      </c>
      <c r="K80" s="50">
        <v>64.341999999999999</v>
      </c>
      <c r="L80" s="33">
        <v>232000</v>
      </c>
      <c r="M80" s="33">
        <v>23075.82</v>
      </c>
      <c r="N80" s="33">
        <v>8186.6960927543441</v>
      </c>
      <c r="O80" s="33">
        <v>2112.1506947250632</v>
      </c>
      <c r="P80" s="33">
        <v>7831.8547760405345</v>
      </c>
      <c r="Q80" s="45">
        <v>384.41142643996142</v>
      </c>
      <c r="R80" s="33">
        <v>0</v>
      </c>
      <c r="S80" s="33">
        <v>11849.165397407603</v>
      </c>
      <c r="T80" s="33">
        <v>0</v>
      </c>
      <c r="U80" s="34"/>
      <c r="V80" s="33">
        <v>285440.0983873675</v>
      </c>
      <c r="W80" s="33">
        <v>221.91</v>
      </c>
      <c r="X80" s="34">
        <v>45155</v>
      </c>
      <c r="Y80" s="33">
        <v>12089</v>
      </c>
      <c r="Z80" s="46">
        <v>2682669.9899999998</v>
      </c>
      <c r="AA80" s="31" t="s">
        <v>147</v>
      </c>
    </row>
    <row r="81" spans="1:27">
      <c r="A81" s="49">
        <v>77</v>
      </c>
      <c r="B81" s="35" t="s">
        <v>254</v>
      </c>
      <c r="C81" s="35" t="s">
        <v>126</v>
      </c>
      <c r="D81" s="35" t="s">
        <v>21</v>
      </c>
      <c r="E81" s="34">
        <v>45130</v>
      </c>
      <c r="F81" s="35" t="s">
        <v>152</v>
      </c>
      <c r="G81" s="32" t="s">
        <v>255</v>
      </c>
      <c r="H81" s="50">
        <v>54.834000000000003</v>
      </c>
      <c r="I81" s="33">
        <v>7091.1</v>
      </c>
      <c r="J81" s="33" t="s">
        <v>86</v>
      </c>
      <c r="K81" s="50">
        <v>55.917000000000009</v>
      </c>
      <c r="L81" s="33">
        <v>784000</v>
      </c>
      <c r="M81" s="33">
        <v>465540.66</v>
      </c>
      <c r="N81" s="33">
        <v>190046.48318042813</v>
      </c>
      <c r="O81" s="33">
        <v>49031.600407747195</v>
      </c>
      <c r="P81" s="33">
        <v>181809.17431192659</v>
      </c>
      <c r="Q81" s="45">
        <v>8923.7512742099898</v>
      </c>
      <c r="R81" s="33">
        <v>0</v>
      </c>
      <c r="S81" s="33">
        <v>275067.27828746178</v>
      </c>
      <c r="T81" s="33">
        <v>0</v>
      </c>
      <c r="U81" s="34"/>
      <c r="V81" s="33">
        <v>1954418.9474617736</v>
      </c>
      <c r="W81" s="33">
        <v>1519.41</v>
      </c>
      <c r="X81" s="34">
        <v>45155</v>
      </c>
      <c r="Y81" s="33">
        <v>12089</v>
      </c>
      <c r="Z81" s="46">
        <v>18368147.490000002</v>
      </c>
      <c r="AA81" s="31" t="s">
        <v>147</v>
      </c>
    </row>
    <row r="82" spans="1:27">
      <c r="A82" s="49">
        <v>78</v>
      </c>
      <c r="B82" s="35" t="s">
        <v>254</v>
      </c>
      <c r="C82" s="35" t="s">
        <v>126</v>
      </c>
      <c r="D82" s="35" t="s">
        <v>21</v>
      </c>
      <c r="E82" s="34">
        <v>45130</v>
      </c>
      <c r="F82" s="35" t="s">
        <v>152</v>
      </c>
      <c r="G82" s="32" t="s">
        <v>256</v>
      </c>
      <c r="H82" s="50">
        <v>0.627</v>
      </c>
      <c r="I82" s="33">
        <v>46.5</v>
      </c>
      <c r="J82" s="33" t="s">
        <v>86</v>
      </c>
      <c r="K82" s="50">
        <v>55.917000000000009</v>
      </c>
      <c r="L82" s="33">
        <v>232000</v>
      </c>
      <c r="M82" s="33">
        <v>5323.23</v>
      </c>
      <c r="N82" s="33">
        <v>2173.0886850152901</v>
      </c>
      <c r="O82" s="33">
        <v>560.65239551478078</v>
      </c>
      <c r="P82" s="33">
        <v>2078.899082568807</v>
      </c>
      <c r="Q82" s="45">
        <v>102.0387359836901</v>
      </c>
      <c r="R82" s="33">
        <v>0</v>
      </c>
      <c r="S82" s="33">
        <v>3145.2599388379199</v>
      </c>
      <c r="T82" s="33">
        <v>0</v>
      </c>
      <c r="U82" s="34"/>
      <c r="V82" s="33">
        <v>245383.1688379205</v>
      </c>
      <c r="W82" s="33">
        <v>190.77</v>
      </c>
      <c r="X82" s="34">
        <v>45155</v>
      </c>
      <c r="Y82" s="33">
        <v>12089</v>
      </c>
      <c r="Z82" s="46">
        <v>2306218.5300000003</v>
      </c>
      <c r="AA82" s="31" t="s">
        <v>147</v>
      </c>
    </row>
    <row r="83" spans="1:27">
      <c r="A83" s="49">
        <v>79</v>
      </c>
      <c r="B83" s="35" t="s">
        <v>254</v>
      </c>
      <c r="C83" s="35" t="s">
        <v>126</v>
      </c>
      <c r="D83" s="35" t="s">
        <v>21</v>
      </c>
      <c r="E83" s="34">
        <v>45130</v>
      </c>
      <c r="F83" s="35" t="s">
        <v>89</v>
      </c>
      <c r="G83" s="32" t="s">
        <v>257</v>
      </c>
      <c r="H83" s="50">
        <v>0.45600000000000002</v>
      </c>
      <c r="I83" s="33">
        <v>85</v>
      </c>
      <c r="J83" s="33" t="s">
        <v>86</v>
      </c>
      <c r="K83" s="50">
        <v>55.917000000000009</v>
      </c>
      <c r="L83" s="33">
        <v>265000</v>
      </c>
      <c r="M83" s="33">
        <v>3871.44</v>
      </c>
      <c r="N83" s="33">
        <v>1580.4281345565746</v>
      </c>
      <c r="O83" s="33">
        <v>407.7471967380223</v>
      </c>
      <c r="P83" s="33">
        <v>1511.9266055045869</v>
      </c>
      <c r="Q83" s="45">
        <v>74.209989806320067</v>
      </c>
      <c r="R83" s="33">
        <v>0</v>
      </c>
      <c r="S83" s="33">
        <v>2287.4617737003055</v>
      </c>
      <c r="T83" s="33">
        <v>0</v>
      </c>
      <c r="U83" s="34"/>
      <c r="V83" s="33">
        <v>274733.21370030585</v>
      </c>
      <c r="W83" s="33">
        <v>213.58</v>
      </c>
      <c r="X83" s="34">
        <v>45155</v>
      </c>
      <c r="Y83" s="33">
        <v>12089</v>
      </c>
      <c r="Z83" s="46">
        <v>2581968.62</v>
      </c>
      <c r="AA83" s="31" t="s">
        <v>147</v>
      </c>
    </row>
    <row r="84" spans="1:27">
      <c r="A84" s="49">
        <v>80</v>
      </c>
      <c r="B84" s="35" t="s">
        <v>258</v>
      </c>
      <c r="C84" s="35" t="s">
        <v>126</v>
      </c>
      <c r="D84" s="35" t="s">
        <v>21</v>
      </c>
      <c r="E84" s="34">
        <v>45130</v>
      </c>
      <c r="F84" s="35" t="s">
        <v>152</v>
      </c>
      <c r="G84" s="32" t="s">
        <v>259</v>
      </c>
      <c r="H84" s="50">
        <v>24.812000000000001</v>
      </c>
      <c r="I84" s="33">
        <v>3089.82</v>
      </c>
      <c r="J84" s="33" t="s">
        <v>86</v>
      </c>
      <c r="K84" s="50">
        <v>60.662999999999997</v>
      </c>
      <c r="L84" s="33">
        <v>392000</v>
      </c>
      <c r="M84" s="33">
        <v>210653.88</v>
      </c>
      <c r="N84" s="33">
        <v>79266.861183917717</v>
      </c>
      <c r="O84" s="33">
        <v>20450.686579958132</v>
      </c>
      <c r="P84" s="33">
        <v>75831.14583848475</v>
      </c>
      <c r="Q84" s="45">
        <v>3722.0249575523799</v>
      </c>
      <c r="R84" s="33">
        <v>0</v>
      </c>
      <c r="S84" s="33">
        <v>114728.35171356512</v>
      </c>
      <c r="T84" s="33">
        <v>0</v>
      </c>
      <c r="U84" s="34"/>
      <c r="V84" s="33">
        <v>896652.95027347829</v>
      </c>
      <c r="W84" s="33">
        <v>697.08</v>
      </c>
      <c r="X84" s="34">
        <v>45155</v>
      </c>
      <c r="Y84" s="33">
        <v>12089</v>
      </c>
      <c r="Z84" s="46">
        <v>8427000.120000001</v>
      </c>
      <c r="AA84" s="31" t="s">
        <v>147</v>
      </c>
    </row>
    <row r="85" spans="1:27">
      <c r="A85" s="49">
        <v>81</v>
      </c>
      <c r="B85" s="35" t="s">
        <v>258</v>
      </c>
      <c r="C85" s="35" t="s">
        <v>126</v>
      </c>
      <c r="D85" s="35" t="s">
        <v>21</v>
      </c>
      <c r="E85" s="34">
        <v>45130</v>
      </c>
      <c r="F85" s="35" t="s">
        <v>152</v>
      </c>
      <c r="G85" s="32" t="s">
        <v>260</v>
      </c>
      <c r="H85" s="50">
        <v>14.026999999999999</v>
      </c>
      <c r="I85" s="33">
        <v>12019.8</v>
      </c>
      <c r="J85" s="33" t="s">
        <v>86</v>
      </c>
      <c r="K85" s="50">
        <v>60.662999999999997</v>
      </c>
      <c r="L85" s="33">
        <v>624000</v>
      </c>
      <c r="M85" s="33">
        <v>119089.23</v>
      </c>
      <c r="N85" s="33">
        <v>44812.036991246721</v>
      </c>
      <c r="O85" s="33">
        <v>11561.413052437234</v>
      </c>
      <c r="P85" s="33">
        <v>42869.719598437267</v>
      </c>
      <c r="Q85" s="45">
        <v>2104.1771755435766</v>
      </c>
      <c r="R85" s="33">
        <v>0</v>
      </c>
      <c r="S85" s="33">
        <v>64859.527224172889</v>
      </c>
      <c r="T85" s="33">
        <v>0</v>
      </c>
      <c r="U85" s="34"/>
      <c r="V85" s="33">
        <v>909296.10404183774</v>
      </c>
      <c r="W85" s="33">
        <v>706.91</v>
      </c>
      <c r="X85" s="34">
        <v>45155</v>
      </c>
      <c r="Y85" s="33">
        <v>12089</v>
      </c>
      <c r="Z85" s="46">
        <v>8545834.9900000002</v>
      </c>
      <c r="AA85" s="31" t="s">
        <v>147</v>
      </c>
    </row>
    <row r="86" spans="1:27">
      <c r="A86" s="49">
        <v>82</v>
      </c>
      <c r="B86" s="35" t="s">
        <v>258</v>
      </c>
      <c r="C86" s="35" t="s">
        <v>126</v>
      </c>
      <c r="D86" s="35" t="s">
        <v>21</v>
      </c>
      <c r="E86" s="34">
        <v>45130</v>
      </c>
      <c r="F86" s="35" t="s">
        <v>152</v>
      </c>
      <c r="G86" s="32" t="s">
        <v>261</v>
      </c>
      <c r="H86" s="50">
        <v>21.824000000000002</v>
      </c>
      <c r="I86" s="33">
        <v>7810</v>
      </c>
      <c r="J86" s="33" t="s">
        <v>86</v>
      </c>
      <c r="K86" s="50">
        <v>60.662999999999997</v>
      </c>
      <c r="L86" s="33">
        <v>392000</v>
      </c>
      <c r="M86" s="33">
        <v>185285.76000000001</v>
      </c>
      <c r="N86" s="33">
        <v>69721.101824835569</v>
      </c>
      <c r="O86" s="33">
        <v>17987.900367604638</v>
      </c>
      <c r="P86" s="33">
        <v>66699.134563077998</v>
      </c>
      <c r="Q86" s="45">
        <v>3273.797866904044</v>
      </c>
      <c r="R86" s="33">
        <v>0</v>
      </c>
      <c r="S86" s="33">
        <v>100912.121062262</v>
      </c>
      <c r="T86" s="33">
        <v>0</v>
      </c>
      <c r="U86" s="34"/>
      <c r="V86" s="33">
        <v>835879.8156846842</v>
      </c>
      <c r="W86" s="33">
        <v>649.83000000000004</v>
      </c>
      <c r="X86" s="34">
        <v>45155</v>
      </c>
      <c r="Y86" s="33">
        <v>12089</v>
      </c>
      <c r="Z86" s="46">
        <v>7855794.8700000001</v>
      </c>
      <c r="AA86" s="31" t="s">
        <v>147</v>
      </c>
    </row>
    <row r="87" spans="1:27">
      <c r="A87" s="49">
        <v>83</v>
      </c>
      <c r="B87" s="35" t="s">
        <v>262</v>
      </c>
      <c r="C87" s="35" t="s">
        <v>126</v>
      </c>
      <c r="D87" s="35" t="s">
        <v>21</v>
      </c>
      <c r="E87" s="34">
        <v>45130</v>
      </c>
      <c r="F87" s="35" t="s">
        <v>152</v>
      </c>
      <c r="G87" s="32" t="s">
        <v>263</v>
      </c>
      <c r="H87" s="50">
        <v>20.010000000000002</v>
      </c>
      <c r="I87" s="33">
        <v>8250</v>
      </c>
      <c r="J87" s="33" t="s">
        <v>86</v>
      </c>
      <c r="K87" s="50">
        <v>61.136000000000003</v>
      </c>
      <c r="L87" s="33">
        <v>392000</v>
      </c>
      <c r="M87" s="33">
        <v>169884.90000000002</v>
      </c>
      <c r="N87" s="33">
        <v>63431.333420570525</v>
      </c>
      <c r="O87" s="33">
        <v>16365.153101282389</v>
      </c>
      <c r="P87" s="33">
        <v>60681.987699555088</v>
      </c>
      <c r="Q87" s="45">
        <v>2978.4578644333942</v>
      </c>
      <c r="R87" s="33">
        <v>0</v>
      </c>
      <c r="S87" s="33">
        <v>91808.508898194195</v>
      </c>
      <c r="T87" s="33">
        <v>0</v>
      </c>
      <c r="U87" s="34"/>
      <c r="V87" s="33">
        <v>797150.34098403563</v>
      </c>
      <c r="W87" s="33">
        <v>619.72</v>
      </c>
      <c r="X87" s="34">
        <v>45155</v>
      </c>
      <c r="Y87" s="33">
        <v>12089</v>
      </c>
      <c r="Z87" s="46">
        <v>7491795.0800000001</v>
      </c>
      <c r="AA87" s="31" t="s">
        <v>147</v>
      </c>
    </row>
    <row r="88" spans="1:27">
      <c r="A88" s="49">
        <v>84</v>
      </c>
      <c r="B88" s="35" t="s">
        <v>262</v>
      </c>
      <c r="C88" s="35" t="s">
        <v>126</v>
      </c>
      <c r="D88" s="35" t="s">
        <v>21</v>
      </c>
      <c r="E88" s="34">
        <v>45130</v>
      </c>
      <c r="F88" s="35" t="s">
        <v>152</v>
      </c>
      <c r="G88" s="32" t="s">
        <v>264</v>
      </c>
      <c r="H88" s="50">
        <v>7.9359999999999999</v>
      </c>
      <c r="I88" s="33">
        <v>2840</v>
      </c>
      <c r="J88" s="33" t="s">
        <v>86</v>
      </c>
      <c r="K88" s="50">
        <v>61.136000000000003</v>
      </c>
      <c r="L88" s="33">
        <v>332000</v>
      </c>
      <c r="M88" s="33">
        <v>67376.639999999999</v>
      </c>
      <c r="N88" s="33">
        <v>25156.974613975399</v>
      </c>
      <c r="O88" s="33">
        <v>6490.4475268254382</v>
      </c>
      <c r="P88" s="33">
        <v>24066.579429468729</v>
      </c>
      <c r="Q88" s="45">
        <v>1181.2614498822295</v>
      </c>
      <c r="R88" s="33">
        <v>0</v>
      </c>
      <c r="S88" s="33">
        <v>36411.410625490709</v>
      </c>
      <c r="T88" s="33">
        <v>0</v>
      </c>
      <c r="U88" s="34"/>
      <c r="V88" s="33">
        <v>492683.31364564248</v>
      </c>
      <c r="W88" s="33">
        <v>383.02</v>
      </c>
      <c r="X88" s="34">
        <v>45155</v>
      </c>
      <c r="Y88" s="33">
        <v>12089</v>
      </c>
      <c r="Z88" s="46">
        <v>4630328.7799999993</v>
      </c>
      <c r="AA88" s="31" t="s">
        <v>147</v>
      </c>
    </row>
    <row r="89" spans="1:27">
      <c r="A89" s="49">
        <v>85</v>
      </c>
      <c r="B89" s="35" t="s">
        <v>262</v>
      </c>
      <c r="C89" s="35" t="s">
        <v>126</v>
      </c>
      <c r="D89" s="35" t="s">
        <v>21</v>
      </c>
      <c r="E89" s="34">
        <v>45130</v>
      </c>
      <c r="F89" s="35" t="s">
        <v>152</v>
      </c>
      <c r="G89" s="32" t="s">
        <v>265</v>
      </c>
      <c r="H89" s="50">
        <v>19.84</v>
      </c>
      <c r="I89" s="33">
        <v>7100</v>
      </c>
      <c r="J89" s="33" t="s">
        <v>86</v>
      </c>
      <c r="K89" s="50">
        <v>61.136000000000003</v>
      </c>
      <c r="L89" s="33">
        <v>376000</v>
      </c>
      <c r="M89" s="33">
        <v>168441.60000000001</v>
      </c>
      <c r="N89" s="33">
        <v>62892.436534938497</v>
      </c>
      <c r="O89" s="33">
        <v>16226.118817063594</v>
      </c>
      <c r="P89" s="33">
        <v>60166.448573671805</v>
      </c>
      <c r="Q89" s="45">
        <v>2953.1536247055742</v>
      </c>
      <c r="R89" s="33">
        <v>0</v>
      </c>
      <c r="S89" s="33">
        <v>91028.526563726773</v>
      </c>
      <c r="T89" s="33">
        <v>0</v>
      </c>
      <c r="U89" s="34"/>
      <c r="V89" s="33">
        <v>777708.28411410644</v>
      </c>
      <c r="W89" s="33">
        <v>604.61</v>
      </c>
      <c r="X89" s="34">
        <v>45155</v>
      </c>
      <c r="Y89" s="33">
        <v>12089</v>
      </c>
      <c r="Z89" s="46">
        <v>7309130.29</v>
      </c>
      <c r="AA89" s="31" t="s">
        <v>147</v>
      </c>
    </row>
    <row r="90" spans="1:27">
      <c r="A90" s="49">
        <v>86</v>
      </c>
      <c r="B90" s="35" t="s">
        <v>262</v>
      </c>
      <c r="C90" s="35" t="s">
        <v>126</v>
      </c>
      <c r="D90" s="35" t="s">
        <v>21</v>
      </c>
      <c r="E90" s="34">
        <v>45130</v>
      </c>
      <c r="F90" s="35" t="s">
        <v>152</v>
      </c>
      <c r="G90" s="32" t="s">
        <v>266</v>
      </c>
      <c r="H90" s="50">
        <v>13.35</v>
      </c>
      <c r="I90" s="33">
        <v>5480</v>
      </c>
      <c r="J90" s="33" t="s">
        <v>86</v>
      </c>
      <c r="K90" s="50">
        <v>61.136000000000003</v>
      </c>
      <c r="L90" s="33">
        <v>376000</v>
      </c>
      <c r="M90" s="33">
        <v>113341.5</v>
      </c>
      <c r="N90" s="33">
        <v>42319.255430515565</v>
      </c>
      <c r="O90" s="33">
        <v>10918.280554828578</v>
      </c>
      <c r="P90" s="33">
        <v>40484.984297304371</v>
      </c>
      <c r="Q90" s="45">
        <v>1987.1270609788016</v>
      </c>
      <c r="R90" s="33">
        <v>0</v>
      </c>
      <c r="S90" s="33">
        <v>61251.553912588322</v>
      </c>
      <c r="T90" s="33">
        <v>0</v>
      </c>
      <c r="U90" s="34"/>
      <c r="V90" s="33">
        <v>646302.70125621569</v>
      </c>
      <c r="W90" s="33">
        <v>502.45</v>
      </c>
      <c r="X90" s="34">
        <v>45155</v>
      </c>
      <c r="Y90" s="33">
        <v>12089</v>
      </c>
      <c r="Z90" s="46">
        <v>6074118.0499999998</v>
      </c>
      <c r="AA90" s="31" t="s">
        <v>147</v>
      </c>
    </row>
    <row r="91" spans="1:27">
      <c r="A91" s="49">
        <v>87</v>
      </c>
      <c r="B91" s="35" t="s">
        <v>267</v>
      </c>
      <c r="C91" s="35" t="s">
        <v>126</v>
      </c>
      <c r="D91" s="35" t="s">
        <v>21</v>
      </c>
      <c r="E91" s="34">
        <v>45130</v>
      </c>
      <c r="F91" s="35" t="s">
        <v>152</v>
      </c>
      <c r="G91" s="32" t="s">
        <v>268</v>
      </c>
      <c r="H91" s="50">
        <v>66.432000000000002</v>
      </c>
      <c r="I91" s="33">
        <v>11352</v>
      </c>
      <c r="J91" s="33" t="s">
        <v>86</v>
      </c>
      <c r="K91" s="50">
        <v>66.432000000000002</v>
      </c>
      <c r="L91" s="33">
        <v>1016000</v>
      </c>
      <c r="M91" s="33">
        <v>564007.68000000005</v>
      </c>
      <c r="N91" s="33">
        <v>193800</v>
      </c>
      <c r="O91" s="33">
        <v>50000</v>
      </c>
      <c r="P91" s="33">
        <v>185400</v>
      </c>
      <c r="Q91" s="45">
        <v>9100</v>
      </c>
      <c r="R91" s="33">
        <v>0</v>
      </c>
      <c r="S91" s="33">
        <v>280500</v>
      </c>
      <c r="T91" s="33">
        <v>0</v>
      </c>
      <c r="U91" s="34"/>
      <c r="V91" s="33">
        <v>2298807.6800000002</v>
      </c>
      <c r="W91" s="33">
        <v>1787.15</v>
      </c>
      <c r="X91" s="34">
        <v>45155</v>
      </c>
      <c r="Y91" s="33">
        <v>12089</v>
      </c>
      <c r="Z91" s="46">
        <v>21604856.350000001</v>
      </c>
      <c r="AA91" s="31" t="s">
        <v>147</v>
      </c>
    </row>
    <row r="92" spans="1:27">
      <c r="A92" s="49">
        <v>88</v>
      </c>
      <c r="B92" s="35" t="s">
        <v>269</v>
      </c>
      <c r="C92" s="35" t="s">
        <v>126</v>
      </c>
      <c r="D92" s="35" t="s">
        <v>21</v>
      </c>
      <c r="E92" s="34">
        <v>45130</v>
      </c>
      <c r="F92" s="35" t="s">
        <v>152</v>
      </c>
      <c r="G92" s="32" t="s">
        <v>270</v>
      </c>
      <c r="H92" s="50">
        <v>23.527999999999999</v>
      </c>
      <c r="I92" s="33">
        <v>4020.5</v>
      </c>
      <c r="J92" s="33" t="s">
        <v>86</v>
      </c>
      <c r="K92" s="50">
        <v>62.363999999999997</v>
      </c>
      <c r="L92" s="33">
        <v>392000</v>
      </c>
      <c r="M92" s="33">
        <v>199752.72</v>
      </c>
      <c r="N92" s="33">
        <v>73114.720030786993</v>
      </c>
      <c r="O92" s="33">
        <v>18863.44686036816</v>
      </c>
      <c r="P92" s="33">
        <v>69945.660958245135</v>
      </c>
      <c r="Q92" s="45">
        <v>3433.1473285870052</v>
      </c>
      <c r="R92" s="33">
        <v>0</v>
      </c>
      <c r="S92" s="33">
        <v>105823.93688666538</v>
      </c>
      <c r="T92" s="33">
        <v>0</v>
      </c>
      <c r="U92" s="34"/>
      <c r="V92" s="33">
        <v>862933.63206465263</v>
      </c>
      <c r="W92" s="33">
        <v>670.87</v>
      </c>
      <c r="X92" s="34">
        <v>45155</v>
      </c>
      <c r="Y92" s="33">
        <v>12089</v>
      </c>
      <c r="Z92" s="46">
        <v>8110147.4299999997</v>
      </c>
      <c r="AA92" s="31" t="s">
        <v>147</v>
      </c>
    </row>
    <row r="93" spans="1:27">
      <c r="A93" s="49">
        <v>89</v>
      </c>
      <c r="B93" s="35" t="s">
        <v>269</v>
      </c>
      <c r="C93" s="35" t="s">
        <v>126</v>
      </c>
      <c r="D93" s="35" t="s">
        <v>21</v>
      </c>
      <c r="E93" s="34">
        <v>45130</v>
      </c>
      <c r="F93" s="35" t="s">
        <v>152</v>
      </c>
      <c r="G93" s="32" t="s">
        <v>271</v>
      </c>
      <c r="H93" s="50">
        <v>30.206</v>
      </c>
      <c r="I93" s="33">
        <v>5096</v>
      </c>
      <c r="J93" s="33" t="s">
        <v>86</v>
      </c>
      <c r="K93" s="50">
        <v>62.363999999999997</v>
      </c>
      <c r="L93" s="33">
        <v>392000</v>
      </c>
      <c r="M93" s="33">
        <v>256448.94</v>
      </c>
      <c r="N93" s="33">
        <v>93867.019434289017</v>
      </c>
      <c r="O93" s="33">
        <v>24217.497274068373</v>
      </c>
      <c r="P93" s="33">
        <v>89798.479892245523</v>
      </c>
      <c r="Q93" s="45">
        <v>4407.5845038804437</v>
      </c>
      <c r="R93" s="33">
        <v>0</v>
      </c>
      <c r="S93" s="33">
        <v>135860.15970752356</v>
      </c>
      <c r="T93" s="33">
        <v>0</v>
      </c>
      <c r="U93" s="34"/>
      <c r="V93" s="33">
        <v>996599.68081200693</v>
      </c>
      <c r="W93" s="33">
        <v>774.78</v>
      </c>
      <c r="X93" s="34">
        <v>45155</v>
      </c>
      <c r="Y93" s="33">
        <v>12089</v>
      </c>
      <c r="Z93" s="46">
        <v>9366315.4199999999</v>
      </c>
      <c r="AA93" s="31" t="s">
        <v>147</v>
      </c>
    </row>
    <row r="94" spans="1:27">
      <c r="A94" s="49">
        <v>90</v>
      </c>
      <c r="B94" s="35" t="s">
        <v>269</v>
      </c>
      <c r="C94" s="35" t="s">
        <v>126</v>
      </c>
      <c r="D94" s="35" t="s">
        <v>21</v>
      </c>
      <c r="E94" s="34">
        <v>45130</v>
      </c>
      <c r="F94" s="35" t="s">
        <v>152</v>
      </c>
      <c r="G94" s="32" t="s">
        <v>272</v>
      </c>
      <c r="H94" s="50">
        <v>8.6300000000000008</v>
      </c>
      <c r="I94" s="33">
        <v>4832</v>
      </c>
      <c r="J94" s="33" t="s">
        <v>86</v>
      </c>
      <c r="K94" s="50">
        <v>62.363999999999997</v>
      </c>
      <c r="L94" s="33">
        <v>332000</v>
      </c>
      <c r="M94" s="33">
        <v>73268.700000000012</v>
      </c>
      <c r="N94" s="33">
        <v>26818.260534923997</v>
      </c>
      <c r="O94" s="33">
        <v>6919.0558655634668</v>
      </c>
      <c r="P94" s="33">
        <v>25655.859149509335</v>
      </c>
      <c r="Q94" s="45">
        <v>1259.2681675325507</v>
      </c>
      <c r="R94" s="33">
        <v>0</v>
      </c>
      <c r="S94" s="33">
        <v>38815.903405811048</v>
      </c>
      <c r="T94" s="33">
        <v>0</v>
      </c>
      <c r="U94" s="34"/>
      <c r="V94" s="33">
        <v>504737.04712334042</v>
      </c>
      <c r="W94" s="33">
        <v>392.39</v>
      </c>
      <c r="X94" s="34">
        <v>45155</v>
      </c>
      <c r="Y94" s="33">
        <v>12089</v>
      </c>
      <c r="Z94" s="46">
        <v>4743602.71</v>
      </c>
      <c r="AA94" s="31" t="s">
        <v>147</v>
      </c>
    </row>
    <row r="95" spans="1:27">
      <c r="A95" s="49">
        <v>91</v>
      </c>
      <c r="B95" s="35" t="s">
        <v>273</v>
      </c>
      <c r="C95" s="35" t="s">
        <v>126</v>
      </c>
      <c r="D95" s="35" t="s">
        <v>21</v>
      </c>
      <c r="E95" s="34">
        <v>45130</v>
      </c>
      <c r="F95" s="35" t="s">
        <v>152</v>
      </c>
      <c r="G95" s="32" t="s">
        <v>274</v>
      </c>
      <c r="H95" s="50">
        <v>30.206</v>
      </c>
      <c r="I95" s="33">
        <v>5096</v>
      </c>
      <c r="J95" s="33" t="s">
        <v>86</v>
      </c>
      <c r="K95" s="50">
        <v>64.733999999999995</v>
      </c>
      <c r="L95" s="33">
        <v>392000</v>
      </c>
      <c r="M95" s="33">
        <v>256448.94</v>
      </c>
      <c r="N95" s="33">
        <v>90430.419872091952</v>
      </c>
      <c r="O95" s="33">
        <v>23330.861680106282</v>
      </c>
      <c r="P95" s="33">
        <v>86510.835109834094</v>
      </c>
      <c r="Q95" s="45">
        <v>4246.2168257793437</v>
      </c>
      <c r="R95" s="33">
        <v>0</v>
      </c>
      <c r="S95" s="33">
        <v>130886.13402539624</v>
      </c>
      <c r="T95" s="33">
        <v>0</v>
      </c>
      <c r="U95" s="34"/>
      <c r="V95" s="33">
        <v>983853.40751320764</v>
      </c>
      <c r="W95" s="33">
        <v>764.87</v>
      </c>
      <c r="X95" s="34">
        <v>45155</v>
      </c>
      <c r="Y95" s="33">
        <v>12089</v>
      </c>
      <c r="Z95" s="46">
        <v>9246513.4299999997</v>
      </c>
      <c r="AA95" s="31" t="s">
        <v>147</v>
      </c>
    </row>
    <row r="96" spans="1:27">
      <c r="A96" s="49">
        <v>92</v>
      </c>
      <c r="B96" s="35" t="s">
        <v>273</v>
      </c>
      <c r="C96" s="35" t="s">
        <v>126</v>
      </c>
      <c r="D96" s="35" t="s">
        <v>21</v>
      </c>
      <c r="E96" s="34">
        <v>45130</v>
      </c>
      <c r="F96" s="35" t="s">
        <v>152</v>
      </c>
      <c r="G96" s="32" t="s">
        <v>275</v>
      </c>
      <c r="H96" s="50">
        <v>17.263999999999999</v>
      </c>
      <c r="I96" s="33">
        <v>5136</v>
      </c>
      <c r="J96" s="33" t="s">
        <v>86</v>
      </c>
      <c r="K96" s="50">
        <v>64.733999999999995</v>
      </c>
      <c r="L96" s="33">
        <v>376000</v>
      </c>
      <c r="M96" s="33">
        <v>146571.35999999999</v>
      </c>
      <c r="N96" s="33">
        <v>51684.790063954031</v>
      </c>
      <c r="O96" s="33">
        <v>13334.569159946859</v>
      </c>
      <c r="P96" s="33">
        <v>49444.58244508296</v>
      </c>
      <c r="Q96" s="45">
        <v>2426.8915871103286</v>
      </c>
      <c r="R96" s="33">
        <v>0</v>
      </c>
      <c r="S96" s="33">
        <v>74806.932987301887</v>
      </c>
      <c r="T96" s="33">
        <v>0</v>
      </c>
      <c r="U96" s="34"/>
      <c r="V96" s="33">
        <v>714269.12624339608</v>
      </c>
      <c r="W96" s="33">
        <v>555.29</v>
      </c>
      <c r="X96" s="34">
        <v>45155</v>
      </c>
      <c r="Y96" s="33">
        <v>12089</v>
      </c>
      <c r="Z96" s="46">
        <v>6712900.8099999996</v>
      </c>
      <c r="AA96" s="31" t="s">
        <v>147</v>
      </c>
    </row>
    <row r="97" spans="1:27">
      <c r="A97" s="49">
        <v>93</v>
      </c>
      <c r="B97" s="35" t="s">
        <v>273</v>
      </c>
      <c r="C97" s="35" t="s">
        <v>126</v>
      </c>
      <c r="D97" s="35" t="s">
        <v>21</v>
      </c>
      <c r="E97" s="34">
        <v>45130</v>
      </c>
      <c r="F97" s="35" t="s">
        <v>152</v>
      </c>
      <c r="G97" s="32" t="s">
        <v>276</v>
      </c>
      <c r="H97" s="50">
        <v>17.263999999999999</v>
      </c>
      <c r="I97" s="33">
        <v>5136</v>
      </c>
      <c r="J97" s="33" t="s">
        <v>86</v>
      </c>
      <c r="K97" s="50">
        <v>64.733999999999995</v>
      </c>
      <c r="L97" s="33">
        <v>376000</v>
      </c>
      <c r="M97" s="33">
        <v>146571.35999999999</v>
      </c>
      <c r="N97" s="33">
        <v>51684.790063954031</v>
      </c>
      <c r="O97" s="33">
        <v>13334.569159946859</v>
      </c>
      <c r="P97" s="33">
        <v>49444.58244508296</v>
      </c>
      <c r="Q97" s="45">
        <v>2426.8915871103286</v>
      </c>
      <c r="R97" s="33">
        <v>0</v>
      </c>
      <c r="S97" s="33">
        <v>74806.932987301887</v>
      </c>
      <c r="T97" s="33">
        <v>0</v>
      </c>
      <c r="U97" s="34"/>
      <c r="V97" s="33">
        <v>714269.12624339608</v>
      </c>
      <c r="W97" s="33">
        <v>555.29</v>
      </c>
      <c r="X97" s="34">
        <v>45155</v>
      </c>
      <c r="Y97" s="33">
        <v>12089</v>
      </c>
      <c r="Z97" s="46">
        <v>6712900.8099999996</v>
      </c>
      <c r="AA97" s="31" t="s">
        <v>147</v>
      </c>
    </row>
    <row r="98" spans="1:27">
      <c r="A98" s="49">
        <v>94</v>
      </c>
      <c r="B98" s="35" t="s">
        <v>277</v>
      </c>
      <c r="C98" s="35" t="s">
        <v>126</v>
      </c>
      <c r="D98" s="35" t="s">
        <v>21</v>
      </c>
      <c r="E98" s="34">
        <v>45130</v>
      </c>
      <c r="F98" s="35" t="s">
        <v>95</v>
      </c>
      <c r="G98" s="32" t="s">
        <v>278</v>
      </c>
      <c r="H98" s="50">
        <v>54.673999999999999</v>
      </c>
      <c r="I98" s="33">
        <v>3815.36</v>
      </c>
      <c r="J98" s="33" t="s">
        <v>86</v>
      </c>
      <c r="K98" s="50">
        <v>54.673999999999999</v>
      </c>
      <c r="L98" s="33">
        <v>1504000</v>
      </c>
      <c r="M98" s="33">
        <v>464182.26</v>
      </c>
      <c r="N98" s="33">
        <v>193800</v>
      </c>
      <c r="O98" s="33">
        <v>50000</v>
      </c>
      <c r="P98" s="33">
        <v>185400</v>
      </c>
      <c r="Q98" s="45">
        <v>9100</v>
      </c>
      <c r="R98" s="33">
        <v>0</v>
      </c>
      <c r="S98" s="33">
        <v>280500</v>
      </c>
      <c r="T98" s="33">
        <v>0</v>
      </c>
      <c r="U98" s="34"/>
      <c r="V98" s="33">
        <v>2686982.26</v>
      </c>
      <c r="W98" s="33">
        <v>2088.92</v>
      </c>
      <c r="X98" s="34">
        <v>45155</v>
      </c>
      <c r="Y98" s="33">
        <v>12089</v>
      </c>
      <c r="Z98" s="46">
        <v>25252953.880000003</v>
      </c>
      <c r="AA98" s="31" t="s">
        <v>147</v>
      </c>
    </row>
    <row r="99" spans="1:27">
      <c r="A99" s="49">
        <v>95</v>
      </c>
      <c r="B99" s="35" t="s">
        <v>279</v>
      </c>
      <c r="C99" s="35" t="s">
        <v>126</v>
      </c>
      <c r="D99" s="35" t="s">
        <v>21</v>
      </c>
      <c r="E99" s="34">
        <v>45130</v>
      </c>
      <c r="F99" s="35" t="s">
        <v>95</v>
      </c>
      <c r="G99" s="32" t="s">
        <v>280</v>
      </c>
      <c r="H99" s="50">
        <v>34.170999999999999</v>
      </c>
      <c r="I99" s="33">
        <v>2384.6</v>
      </c>
      <c r="J99" s="33" t="s">
        <v>86</v>
      </c>
      <c r="K99" s="50">
        <v>59.970999999999997</v>
      </c>
      <c r="L99" s="33">
        <v>1164000</v>
      </c>
      <c r="M99" s="33">
        <v>290111.78999999998</v>
      </c>
      <c r="N99" s="33">
        <v>110425.7024228377</v>
      </c>
      <c r="O99" s="33">
        <v>28489.603308265661</v>
      </c>
      <c r="P99" s="33">
        <v>105639.44906704906</v>
      </c>
      <c r="Q99" s="45">
        <v>5185.1078021043504</v>
      </c>
      <c r="R99" s="33">
        <v>0</v>
      </c>
      <c r="S99" s="33">
        <v>159826.67455937035</v>
      </c>
      <c r="T99" s="33">
        <v>0</v>
      </c>
      <c r="U99" s="34"/>
      <c r="V99" s="33">
        <v>1863678.3271596271</v>
      </c>
      <c r="W99" s="33">
        <v>1448.87</v>
      </c>
      <c r="X99" s="34">
        <v>45155</v>
      </c>
      <c r="Y99" s="33">
        <v>12089</v>
      </c>
      <c r="Z99" s="46">
        <v>17515389.43</v>
      </c>
      <c r="AA99" s="31" t="s">
        <v>147</v>
      </c>
    </row>
    <row r="100" spans="1:27">
      <c r="A100" s="49">
        <v>96</v>
      </c>
      <c r="B100" s="35" t="s">
        <v>279</v>
      </c>
      <c r="C100" s="35" t="s">
        <v>126</v>
      </c>
      <c r="D100" s="35" t="s">
        <v>21</v>
      </c>
      <c r="E100" s="34">
        <v>45130</v>
      </c>
      <c r="F100" s="35" t="s">
        <v>97</v>
      </c>
      <c r="G100" s="32" t="s">
        <v>281</v>
      </c>
      <c r="H100" s="50">
        <v>25.8</v>
      </c>
      <c r="I100" s="33">
        <v>4738.5600000000004</v>
      </c>
      <c r="J100" s="33" t="s">
        <v>86</v>
      </c>
      <c r="K100" s="50">
        <v>59.970999999999997</v>
      </c>
      <c r="L100" s="33">
        <v>549000</v>
      </c>
      <c r="M100" s="33">
        <v>219042</v>
      </c>
      <c r="N100" s="33">
        <v>83374.297577162288</v>
      </c>
      <c r="O100" s="33">
        <v>21510.396691734339</v>
      </c>
      <c r="P100" s="33">
        <v>79760.550932950922</v>
      </c>
      <c r="Q100" s="45">
        <v>3914.8921978956496</v>
      </c>
      <c r="R100" s="33">
        <v>0</v>
      </c>
      <c r="S100" s="33">
        <v>120673.32544062963</v>
      </c>
      <c r="T100" s="33">
        <v>0</v>
      </c>
      <c r="U100" s="34"/>
      <c r="V100" s="33">
        <v>1077275.4628403727</v>
      </c>
      <c r="W100" s="33">
        <v>837.5</v>
      </c>
      <c r="X100" s="34">
        <v>45155</v>
      </c>
      <c r="Y100" s="33">
        <v>12089</v>
      </c>
      <c r="Z100" s="46">
        <v>10124537.5</v>
      </c>
      <c r="AA100" s="31" t="s">
        <v>147</v>
      </c>
    </row>
    <row r="101" spans="1:27">
      <c r="A101" s="49">
        <v>97</v>
      </c>
      <c r="B101" s="35" t="s">
        <v>282</v>
      </c>
      <c r="C101" s="35" t="s">
        <v>126</v>
      </c>
      <c r="D101" s="35" t="s">
        <v>21</v>
      </c>
      <c r="E101" s="34">
        <v>45130</v>
      </c>
      <c r="F101" s="35" t="s">
        <v>85</v>
      </c>
      <c r="G101" s="32" t="s">
        <v>283</v>
      </c>
      <c r="H101" s="50">
        <v>12.349</v>
      </c>
      <c r="I101" s="33">
        <v>9240</v>
      </c>
      <c r="J101" s="33" t="s">
        <v>86</v>
      </c>
      <c r="K101" s="50">
        <v>57.853999999999999</v>
      </c>
      <c r="L101" s="33">
        <v>752000</v>
      </c>
      <c r="M101" s="33">
        <v>104843.01</v>
      </c>
      <c r="N101" s="33">
        <v>41366.823382998584</v>
      </c>
      <c r="O101" s="33">
        <v>10672.555052373216</v>
      </c>
      <c r="P101" s="33">
        <v>39573.834134199882</v>
      </c>
      <c r="Q101" s="45">
        <v>1942.4050195319253</v>
      </c>
      <c r="R101" s="33">
        <v>0</v>
      </c>
      <c r="S101" s="33">
        <v>59873.033843813741</v>
      </c>
      <c r="T101" s="33">
        <v>0</v>
      </c>
      <c r="U101" s="34"/>
      <c r="V101" s="33">
        <v>1010271.6614329172</v>
      </c>
      <c r="W101" s="33">
        <v>785.41</v>
      </c>
      <c r="X101" s="34">
        <v>45155</v>
      </c>
      <c r="Y101" s="33">
        <v>12089</v>
      </c>
      <c r="Z101" s="46">
        <v>9494821.4900000002</v>
      </c>
      <c r="AA101" s="31" t="s">
        <v>147</v>
      </c>
    </row>
    <row r="102" spans="1:27">
      <c r="A102" s="49">
        <v>98</v>
      </c>
      <c r="B102" s="35" t="s">
        <v>282</v>
      </c>
      <c r="C102" s="35" t="s">
        <v>126</v>
      </c>
      <c r="D102" s="35" t="s">
        <v>21</v>
      </c>
      <c r="E102" s="34">
        <v>45130</v>
      </c>
      <c r="F102" s="35" t="s">
        <v>95</v>
      </c>
      <c r="G102" s="32" t="s">
        <v>284</v>
      </c>
      <c r="H102" s="50">
        <v>45.505000000000003</v>
      </c>
      <c r="I102" s="33">
        <v>3998.8</v>
      </c>
      <c r="J102" s="33" t="s">
        <v>86</v>
      </c>
      <c r="K102" s="50">
        <v>57.853999999999999</v>
      </c>
      <c r="L102" s="33">
        <v>1384500</v>
      </c>
      <c r="M102" s="33">
        <v>386337.45</v>
      </c>
      <c r="N102" s="33">
        <v>152433.17661700145</v>
      </c>
      <c r="O102" s="33">
        <v>39327.444947626791</v>
      </c>
      <c r="P102" s="33">
        <v>145826.16586580014</v>
      </c>
      <c r="Q102" s="45">
        <v>7157.5949804680758</v>
      </c>
      <c r="R102" s="33">
        <v>0</v>
      </c>
      <c r="S102" s="33">
        <v>220626.96615618627</v>
      </c>
      <c r="T102" s="33">
        <v>0</v>
      </c>
      <c r="U102" s="34"/>
      <c r="V102" s="33">
        <v>2336208.7985670827</v>
      </c>
      <c r="W102" s="33">
        <v>1816.22</v>
      </c>
      <c r="X102" s="34">
        <v>45155</v>
      </c>
      <c r="Y102" s="33">
        <v>12089</v>
      </c>
      <c r="Z102" s="46">
        <v>21956283.580000002</v>
      </c>
      <c r="AA102" s="31" t="s">
        <v>147</v>
      </c>
    </row>
    <row r="103" spans="1:27">
      <c r="A103" s="49">
        <v>99</v>
      </c>
      <c r="B103" s="35" t="s">
        <v>285</v>
      </c>
      <c r="C103" s="35" t="s">
        <v>126</v>
      </c>
      <c r="D103" s="35" t="s">
        <v>21</v>
      </c>
      <c r="E103" s="34">
        <v>45130</v>
      </c>
      <c r="F103" s="35" t="s">
        <v>85</v>
      </c>
      <c r="G103" s="32" t="s">
        <v>286</v>
      </c>
      <c r="H103" s="50">
        <v>10.291</v>
      </c>
      <c r="I103" s="33">
        <v>7700</v>
      </c>
      <c r="J103" s="33" t="s">
        <v>86</v>
      </c>
      <c r="K103" s="50">
        <v>57.068000000000005</v>
      </c>
      <c r="L103" s="33">
        <v>698500</v>
      </c>
      <c r="M103" s="33">
        <v>87370.59</v>
      </c>
      <c r="N103" s="33">
        <v>34947.707997476697</v>
      </c>
      <c r="O103" s="33">
        <v>9016.4365318567325</v>
      </c>
      <c r="P103" s="33">
        <v>33432.946660124762</v>
      </c>
      <c r="Q103" s="45">
        <v>1640.9914487979252</v>
      </c>
      <c r="R103" s="33">
        <v>0</v>
      </c>
      <c r="S103" s="33">
        <v>50582.208943716265</v>
      </c>
      <c r="T103" s="33">
        <v>0</v>
      </c>
      <c r="U103" s="34"/>
      <c r="V103" s="33">
        <v>915490.88158197235</v>
      </c>
      <c r="W103" s="33">
        <v>711.72</v>
      </c>
      <c r="X103" s="34">
        <v>45155</v>
      </c>
      <c r="Y103" s="33">
        <v>12089</v>
      </c>
      <c r="Z103" s="46">
        <v>8603983.0800000001</v>
      </c>
      <c r="AA103" s="31" t="s">
        <v>147</v>
      </c>
    </row>
    <row r="104" spans="1:27">
      <c r="A104" s="49">
        <v>100</v>
      </c>
      <c r="B104" s="35" t="s">
        <v>285</v>
      </c>
      <c r="C104" s="35" t="s">
        <v>126</v>
      </c>
      <c r="D104" s="35" t="s">
        <v>21</v>
      </c>
      <c r="E104" s="34">
        <v>45130</v>
      </c>
      <c r="F104" s="35" t="s">
        <v>207</v>
      </c>
      <c r="G104" s="32" t="s">
        <v>287</v>
      </c>
      <c r="H104" s="50">
        <v>26.257000000000001</v>
      </c>
      <c r="I104" s="33">
        <v>3570</v>
      </c>
      <c r="J104" s="33" t="s">
        <v>86</v>
      </c>
      <c r="K104" s="50">
        <v>57.068000000000005</v>
      </c>
      <c r="L104" s="33">
        <v>370000</v>
      </c>
      <c r="M104" s="33">
        <v>222921.93</v>
      </c>
      <c r="N104" s="33">
        <v>89167.424826522736</v>
      </c>
      <c r="O104" s="33">
        <v>23005.011565150347</v>
      </c>
      <c r="P104" s="33">
        <v>85302.582883577488</v>
      </c>
      <c r="Q104" s="45">
        <v>4186.9121048573634</v>
      </c>
      <c r="R104" s="33">
        <v>0</v>
      </c>
      <c r="S104" s="33">
        <v>129058.11488049343</v>
      </c>
      <c r="T104" s="33">
        <v>0</v>
      </c>
      <c r="U104" s="34"/>
      <c r="V104" s="33">
        <v>923641.97626060143</v>
      </c>
      <c r="W104" s="33">
        <v>718.06</v>
      </c>
      <c r="X104" s="34">
        <v>45155</v>
      </c>
      <c r="Y104" s="33">
        <v>12089</v>
      </c>
      <c r="Z104" s="46">
        <v>8680627.3399999999</v>
      </c>
      <c r="AA104" s="31" t="s">
        <v>147</v>
      </c>
    </row>
    <row r="105" spans="1:27">
      <c r="A105" s="49">
        <v>101</v>
      </c>
      <c r="B105" s="35" t="s">
        <v>285</v>
      </c>
      <c r="C105" s="35" t="s">
        <v>126</v>
      </c>
      <c r="D105" s="35" t="s">
        <v>21</v>
      </c>
      <c r="E105" s="34">
        <v>45130</v>
      </c>
      <c r="F105" s="35" t="s">
        <v>289</v>
      </c>
      <c r="G105" s="32" t="s">
        <v>288</v>
      </c>
      <c r="H105" s="50">
        <v>8.3460000000000001</v>
      </c>
      <c r="I105" s="33">
        <v>586.79999999999995</v>
      </c>
      <c r="J105" s="33" t="s">
        <v>86</v>
      </c>
      <c r="K105" s="50">
        <v>57.068000000000005</v>
      </c>
      <c r="L105" s="33">
        <v>448000</v>
      </c>
      <c r="M105" s="33">
        <v>70857.539999999994</v>
      </c>
      <c r="N105" s="33">
        <v>28342.587790004905</v>
      </c>
      <c r="O105" s="33">
        <v>7312.3291511880561</v>
      </c>
      <c r="P105" s="33">
        <v>27114.11649260531</v>
      </c>
      <c r="Q105" s="45">
        <v>1330.8439055162262</v>
      </c>
      <c r="R105" s="33">
        <v>0</v>
      </c>
      <c r="S105" s="33">
        <v>41022.166538164995</v>
      </c>
      <c r="T105" s="33">
        <v>0</v>
      </c>
      <c r="U105" s="34"/>
      <c r="V105" s="33">
        <v>623979.58387747931</v>
      </c>
      <c r="W105" s="33">
        <v>485.1</v>
      </c>
      <c r="X105" s="34">
        <v>45155</v>
      </c>
      <c r="Y105" s="33">
        <v>12089</v>
      </c>
      <c r="Z105" s="46">
        <v>5864373.9000000004</v>
      </c>
      <c r="AA105" s="31" t="s">
        <v>147</v>
      </c>
    </row>
    <row r="106" spans="1:27">
      <c r="A106" s="49">
        <v>102</v>
      </c>
      <c r="B106" s="35" t="s">
        <v>285</v>
      </c>
      <c r="C106" s="35" t="s">
        <v>126</v>
      </c>
      <c r="D106" s="35" t="s">
        <v>21</v>
      </c>
      <c r="E106" s="34">
        <v>45130</v>
      </c>
      <c r="F106" s="35" t="s">
        <v>87</v>
      </c>
      <c r="G106" s="32" t="s">
        <v>290</v>
      </c>
      <c r="H106" s="50">
        <v>3.65</v>
      </c>
      <c r="I106" s="33">
        <v>666</v>
      </c>
      <c r="J106" s="33" t="s">
        <v>86</v>
      </c>
      <c r="K106" s="50">
        <v>57.068000000000005</v>
      </c>
      <c r="L106" s="33">
        <v>147000</v>
      </c>
      <c r="M106" s="33">
        <v>30988.5</v>
      </c>
      <c r="N106" s="33">
        <v>12395.212728674564</v>
      </c>
      <c r="O106" s="33">
        <v>3197.9393004836338</v>
      </c>
      <c r="P106" s="33">
        <v>11857.958926193312</v>
      </c>
      <c r="Q106" s="45">
        <v>582.02495268802124</v>
      </c>
      <c r="R106" s="33">
        <v>0</v>
      </c>
      <c r="S106" s="33">
        <v>17940.439475713185</v>
      </c>
      <c r="T106" s="33">
        <v>0</v>
      </c>
      <c r="U106" s="34"/>
      <c r="V106" s="33">
        <v>223962.0753837527</v>
      </c>
      <c r="W106" s="33">
        <v>174.11</v>
      </c>
      <c r="X106" s="34">
        <v>45155</v>
      </c>
      <c r="Y106" s="33">
        <v>12089</v>
      </c>
      <c r="Z106" s="46">
        <v>2104815.79</v>
      </c>
      <c r="AA106" s="31" t="s">
        <v>147</v>
      </c>
    </row>
    <row r="107" spans="1:27">
      <c r="A107" s="49">
        <v>103</v>
      </c>
      <c r="B107" s="35" t="s">
        <v>285</v>
      </c>
      <c r="C107" s="35" t="s">
        <v>126</v>
      </c>
      <c r="D107" s="35" t="s">
        <v>21</v>
      </c>
      <c r="E107" s="34">
        <v>45130</v>
      </c>
      <c r="F107" s="35" t="s">
        <v>87</v>
      </c>
      <c r="G107" s="32" t="s">
        <v>291</v>
      </c>
      <c r="H107" s="50">
        <v>8.5239999999999991</v>
      </c>
      <c r="I107" s="33">
        <v>540</v>
      </c>
      <c r="J107" s="33" t="s">
        <v>86</v>
      </c>
      <c r="K107" s="50">
        <v>57.068000000000005</v>
      </c>
      <c r="L107" s="33">
        <v>232000</v>
      </c>
      <c r="M107" s="33">
        <v>72368.759999999995</v>
      </c>
      <c r="N107" s="33">
        <v>28947.066657321087</v>
      </c>
      <c r="O107" s="33">
        <v>7468.2834513212292</v>
      </c>
      <c r="P107" s="33">
        <v>27692.395037499118</v>
      </c>
      <c r="Q107" s="45">
        <v>1359.2275881404637</v>
      </c>
      <c r="R107" s="33">
        <v>0</v>
      </c>
      <c r="S107" s="33">
        <v>41897.070161912096</v>
      </c>
      <c r="T107" s="33">
        <v>0</v>
      </c>
      <c r="U107" s="34"/>
      <c r="V107" s="33">
        <v>411732.8028961941</v>
      </c>
      <c r="W107" s="33">
        <v>320.08999999999997</v>
      </c>
      <c r="X107" s="34">
        <v>45155</v>
      </c>
      <c r="Y107" s="33">
        <v>12089</v>
      </c>
      <c r="Z107" s="46">
        <v>3869568.01</v>
      </c>
      <c r="AA107" s="31" t="s">
        <v>147</v>
      </c>
    </row>
    <row r="108" spans="1:27">
      <c r="A108" s="49">
        <v>104</v>
      </c>
      <c r="B108" s="35" t="s">
        <v>292</v>
      </c>
      <c r="C108" s="35" t="s">
        <v>126</v>
      </c>
      <c r="D108" s="35" t="s">
        <v>21</v>
      </c>
      <c r="E108" s="34">
        <v>45130</v>
      </c>
      <c r="F108" s="35" t="s">
        <v>85</v>
      </c>
      <c r="G108" s="32" t="s">
        <v>293</v>
      </c>
      <c r="H108" s="50">
        <v>17.940000000000001</v>
      </c>
      <c r="I108" s="33">
        <v>7704</v>
      </c>
      <c r="J108" s="33" t="s">
        <v>86</v>
      </c>
      <c r="K108" s="50">
        <v>66.493000000000009</v>
      </c>
      <c r="L108" s="33">
        <v>698500</v>
      </c>
      <c r="M108" s="33">
        <v>152310.6</v>
      </c>
      <c r="N108" s="33">
        <v>52287.789692148035</v>
      </c>
      <c r="O108" s="33">
        <v>13490.141819439636</v>
      </c>
      <c r="P108" s="33">
        <v>50021.44586648218</v>
      </c>
      <c r="Q108" s="45">
        <v>2455.2058111380143</v>
      </c>
      <c r="R108" s="33">
        <v>0</v>
      </c>
      <c r="S108" s="33">
        <v>75679.69560705639</v>
      </c>
      <c r="T108" s="33">
        <v>0</v>
      </c>
      <c r="U108" s="34"/>
      <c r="V108" s="33">
        <v>1044744.8787962642</v>
      </c>
      <c r="W108" s="33">
        <v>812.21</v>
      </c>
      <c r="X108" s="34">
        <v>45155</v>
      </c>
      <c r="Y108" s="33">
        <v>12089</v>
      </c>
      <c r="Z108" s="46">
        <v>9818806.6900000013</v>
      </c>
      <c r="AA108" s="31" t="s">
        <v>147</v>
      </c>
    </row>
    <row r="109" spans="1:27">
      <c r="A109" s="49">
        <v>105</v>
      </c>
      <c r="B109" s="35" t="s">
        <v>292</v>
      </c>
      <c r="C109" s="35" t="s">
        <v>126</v>
      </c>
      <c r="D109" s="35" t="s">
        <v>21</v>
      </c>
      <c r="E109" s="34">
        <v>45130</v>
      </c>
      <c r="F109" s="35" t="s">
        <v>90</v>
      </c>
      <c r="G109" s="32" t="s">
        <v>294</v>
      </c>
      <c r="H109" s="50">
        <v>23.359000000000002</v>
      </c>
      <c r="I109" s="33">
        <v>4979</v>
      </c>
      <c r="J109" s="33" t="s">
        <v>86</v>
      </c>
      <c r="K109" s="50">
        <v>66.493000000000009</v>
      </c>
      <c r="L109" s="33">
        <v>635000</v>
      </c>
      <c r="M109" s="33">
        <v>198317.91</v>
      </c>
      <c r="N109" s="33">
        <v>68081.966522791874</v>
      </c>
      <c r="O109" s="33">
        <v>17565.006842825558</v>
      </c>
      <c r="P109" s="33">
        <v>65131.045373197165</v>
      </c>
      <c r="Q109" s="45">
        <v>3196.8312453942517</v>
      </c>
      <c r="R109" s="33">
        <v>0</v>
      </c>
      <c r="S109" s="33">
        <v>98539.688388251379</v>
      </c>
      <c r="T109" s="33">
        <v>0</v>
      </c>
      <c r="U109" s="34"/>
      <c r="V109" s="33">
        <v>1085832.4483724604</v>
      </c>
      <c r="W109" s="33">
        <v>844.15</v>
      </c>
      <c r="X109" s="34">
        <v>45155</v>
      </c>
      <c r="Y109" s="33">
        <v>12089</v>
      </c>
      <c r="Z109" s="46">
        <v>10204929.35</v>
      </c>
      <c r="AA109" s="31" t="s">
        <v>147</v>
      </c>
    </row>
    <row r="110" spans="1:27">
      <c r="A110" s="49">
        <v>106</v>
      </c>
      <c r="B110" s="35" t="s">
        <v>292</v>
      </c>
      <c r="C110" s="35" t="s">
        <v>126</v>
      </c>
      <c r="D110" s="35" t="s">
        <v>21</v>
      </c>
      <c r="E110" s="34">
        <v>45130</v>
      </c>
      <c r="F110" s="35" t="s">
        <v>88</v>
      </c>
      <c r="G110" s="32" t="s">
        <v>295</v>
      </c>
      <c r="H110" s="50">
        <v>25.193999999999999</v>
      </c>
      <c r="I110" s="33">
        <v>3542.4</v>
      </c>
      <c r="J110" s="33" t="s">
        <v>86</v>
      </c>
      <c r="K110" s="50">
        <v>66.493000000000009</v>
      </c>
      <c r="L110" s="33">
        <v>603000</v>
      </c>
      <c r="M110" s="33">
        <v>213897.06</v>
      </c>
      <c r="N110" s="33">
        <v>73430.243785060069</v>
      </c>
      <c r="O110" s="33">
        <v>18944.851337734795</v>
      </c>
      <c r="P110" s="33">
        <v>70247.508760320634</v>
      </c>
      <c r="Q110" s="45">
        <v>3447.9629434677331</v>
      </c>
      <c r="R110" s="33">
        <v>0</v>
      </c>
      <c r="S110" s="33">
        <v>106280.61600469222</v>
      </c>
      <c r="T110" s="33">
        <v>0</v>
      </c>
      <c r="U110" s="34"/>
      <c r="V110" s="33">
        <v>1089248.2428312756</v>
      </c>
      <c r="W110" s="33">
        <v>846.81</v>
      </c>
      <c r="X110" s="34">
        <v>45155</v>
      </c>
      <c r="Y110" s="33">
        <v>12089</v>
      </c>
      <c r="Z110" s="46">
        <v>10237086.09</v>
      </c>
      <c r="AA110" s="31" t="s">
        <v>147</v>
      </c>
    </row>
    <row r="111" spans="1:27">
      <c r="A111" s="49">
        <v>107</v>
      </c>
      <c r="B111" s="35" t="s">
        <v>296</v>
      </c>
      <c r="C111" s="35" t="s">
        <v>126</v>
      </c>
      <c r="D111" s="35" t="s">
        <v>21</v>
      </c>
      <c r="E111" s="34">
        <v>45130</v>
      </c>
      <c r="F111" s="35" t="s">
        <v>85</v>
      </c>
      <c r="G111" s="32" t="s">
        <v>297</v>
      </c>
      <c r="H111" s="50">
        <v>7.26</v>
      </c>
      <c r="I111" s="33">
        <v>3272</v>
      </c>
      <c r="J111" s="33" t="s">
        <v>86</v>
      </c>
      <c r="K111" s="50">
        <v>59.45</v>
      </c>
      <c r="L111" s="33">
        <v>632500</v>
      </c>
      <c r="M111" s="33">
        <v>61637.4</v>
      </c>
      <c r="N111" s="33">
        <v>23666.745164003365</v>
      </c>
      <c r="O111" s="33">
        <v>6105.9714045416322</v>
      </c>
      <c r="P111" s="33">
        <v>22640.94196804037</v>
      </c>
      <c r="Q111" s="45">
        <v>1111.286795626577</v>
      </c>
      <c r="R111" s="33">
        <v>0</v>
      </c>
      <c r="S111" s="33">
        <v>34254.499579478557</v>
      </c>
      <c r="T111" s="33">
        <v>0</v>
      </c>
      <c r="U111" s="34"/>
      <c r="V111" s="33">
        <v>781916.84491169057</v>
      </c>
      <c r="W111" s="33">
        <v>607.88</v>
      </c>
      <c r="X111" s="34">
        <v>45155</v>
      </c>
      <c r="Y111" s="33">
        <v>12089</v>
      </c>
      <c r="Z111" s="46">
        <v>7348661.3200000003</v>
      </c>
      <c r="AA111" s="31" t="s">
        <v>147</v>
      </c>
    </row>
    <row r="112" spans="1:27">
      <c r="A112" s="49">
        <v>108</v>
      </c>
      <c r="B112" s="35" t="s">
        <v>296</v>
      </c>
      <c r="C112" s="35" t="s">
        <v>126</v>
      </c>
      <c r="D112" s="35" t="s">
        <v>21</v>
      </c>
      <c r="E112" s="34">
        <v>45130</v>
      </c>
      <c r="F112" s="35" t="s">
        <v>91</v>
      </c>
      <c r="G112" s="32" t="s">
        <v>298</v>
      </c>
      <c r="H112" s="50">
        <v>52.19</v>
      </c>
      <c r="I112" s="33">
        <v>10370</v>
      </c>
      <c r="J112" s="33" t="s">
        <v>86</v>
      </c>
      <c r="K112" s="50">
        <v>59.45</v>
      </c>
      <c r="L112" s="33">
        <v>1148000</v>
      </c>
      <c r="M112" s="33">
        <v>443093.1</v>
      </c>
      <c r="N112" s="33">
        <v>170133.25483599663</v>
      </c>
      <c r="O112" s="33">
        <v>43894.028595458367</v>
      </c>
      <c r="P112" s="33">
        <v>162759.05803195963</v>
      </c>
      <c r="Q112" s="45">
        <v>7988.7132043734227</v>
      </c>
      <c r="R112" s="33">
        <v>0</v>
      </c>
      <c r="S112" s="33">
        <v>246245.50042052145</v>
      </c>
      <c r="T112" s="33">
        <v>0</v>
      </c>
      <c r="U112" s="34"/>
      <c r="V112" s="33">
        <v>2222113.6550883097</v>
      </c>
      <c r="W112" s="33">
        <v>1727.52</v>
      </c>
      <c r="X112" s="34">
        <v>45155</v>
      </c>
      <c r="Y112" s="33">
        <v>12089</v>
      </c>
      <c r="Z112" s="46">
        <v>20883989.280000001</v>
      </c>
      <c r="AA112" s="31" t="s">
        <v>147</v>
      </c>
    </row>
    <row r="113" spans="1:27" ht="24.75">
      <c r="A113" s="49">
        <v>109</v>
      </c>
      <c r="B113" s="35" t="s">
        <v>299</v>
      </c>
      <c r="C113" s="35" t="s">
        <v>126</v>
      </c>
      <c r="D113" s="35" t="s">
        <v>21</v>
      </c>
      <c r="E113" s="34">
        <v>45130</v>
      </c>
      <c r="F113" s="35" t="s">
        <v>301</v>
      </c>
      <c r="G113" s="32" t="s">
        <v>300</v>
      </c>
      <c r="H113" s="50">
        <v>16.28</v>
      </c>
      <c r="I113" s="33">
        <v>5562</v>
      </c>
      <c r="J113" s="33" t="s">
        <v>93</v>
      </c>
      <c r="K113" s="50">
        <v>33.043999999999997</v>
      </c>
      <c r="L113" s="33">
        <v>0</v>
      </c>
      <c r="M113" s="33">
        <v>0</v>
      </c>
      <c r="N113" s="33">
        <v>0</v>
      </c>
      <c r="O113" s="33">
        <v>0</v>
      </c>
      <c r="P113" s="33">
        <v>0</v>
      </c>
      <c r="Q113" s="45">
        <v>0</v>
      </c>
      <c r="R113" s="33">
        <v>0</v>
      </c>
      <c r="S113" s="33">
        <v>0</v>
      </c>
      <c r="T113" s="33">
        <v>0</v>
      </c>
      <c r="U113" s="34"/>
      <c r="V113" s="33">
        <f>SUM(Шаблон_Формулы_2[[#This Row],[12]:[20]])</f>
        <v>0</v>
      </c>
      <c r="W113" s="33">
        <v>0</v>
      </c>
      <c r="X113" s="34">
        <v>45155</v>
      </c>
      <c r="Y113" s="33">
        <v>12089</v>
      </c>
      <c r="Z113" s="46">
        <v>0</v>
      </c>
      <c r="AA113" s="31" t="s">
        <v>147</v>
      </c>
    </row>
    <row r="114" spans="1:27" ht="24.75">
      <c r="A114" s="49">
        <v>110</v>
      </c>
      <c r="B114" s="35" t="s">
        <v>299</v>
      </c>
      <c r="C114" s="35" t="s">
        <v>126</v>
      </c>
      <c r="D114" s="35" t="s">
        <v>21</v>
      </c>
      <c r="E114" s="34">
        <v>45130</v>
      </c>
      <c r="F114" s="35" t="s">
        <v>303</v>
      </c>
      <c r="G114" s="32" t="s">
        <v>302</v>
      </c>
      <c r="H114" s="50">
        <v>16.763999999999999</v>
      </c>
      <c r="I114" s="33">
        <v>3660</v>
      </c>
      <c r="J114" s="33" t="s">
        <v>86</v>
      </c>
      <c r="K114" s="50">
        <v>33.043999999999997</v>
      </c>
      <c r="L114" s="33">
        <v>0</v>
      </c>
      <c r="M114" s="33">
        <v>0</v>
      </c>
      <c r="N114" s="33">
        <v>0</v>
      </c>
      <c r="O114" s="33">
        <v>0</v>
      </c>
      <c r="P114" s="33">
        <v>0</v>
      </c>
      <c r="Q114" s="45">
        <v>0</v>
      </c>
      <c r="R114" s="33">
        <v>0</v>
      </c>
      <c r="S114" s="33">
        <v>0</v>
      </c>
      <c r="T114" s="33">
        <v>0</v>
      </c>
      <c r="U114" s="34"/>
      <c r="V114" s="33">
        <f>SUM(Шаблон_Формулы_2[[#This Row],[12]:[20]])</f>
        <v>0</v>
      </c>
      <c r="W114" s="33">
        <v>0</v>
      </c>
      <c r="X114" s="34">
        <v>45155</v>
      </c>
      <c r="Y114" s="33">
        <v>12089</v>
      </c>
      <c r="Z114" s="46">
        <v>0</v>
      </c>
      <c r="AA114" s="31" t="s">
        <v>147</v>
      </c>
    </row>
    <row r="115" spans="1:27">
      <c r="A115" s="49">
        <v>111</v>
      </c>
      <c r="B115" s="35" t="s">
        <v>304</v>
      </c>
      <c r="C115" s="35" t="s">
        <v>126</v>
      </c>
      <c r="D115" s="35" t="s">
        <v>21</v>
      </c>
      <c r="E115" s="34">
        <v>45130</v>
      </c>
      <c r="F115" s="35" t="s">
        <v>142</v>
      </c>
      <c r="G115" s="32" t="s">
        <v>305</v>
      </c>
      <c r="H115" s="50">
        <v>13.957000000000001</v>
      </c>
      <c r="I115" s="33">
        <v>4569.6000000000004</v>
      </c>
      <c r="J115" s="33" t="s">
        <v>86</v>
      </c>
      <c r="K115" s="50">
        <v>44.828000000000003</v>
      </c>
      <c r="L115" s="33">
        <v>485000</v>
      </c>
      <c r="M115" s="33">
        <v>118494.93</v>
      </c>
      <c r="N115" s="33">
        <v>60338.774872847323</v>
      </c>
      <c r="O115" s="33">
        <v>15567.279378959578</v>
      </c>
      <c r="P115" s="33">
        <v>57723.471937182119</v>
      </c>
      <c r="Q115" s="45">
        <v>2833.2448469706433</v>
      </c>
      <c r="R115" s="33">
        <v>0</v>
      </c>
      <c r="S115" s="33">
        <v>87332.437315963238</v>
      </c>
      <c r="T115" s="33">
        <v>0</v>
      </c>
      <c r="U115" s="34"/>
      <c r="V115" s="33">
        <v>827290.13835192309</v>
      </c>
      <c r="W115" s="33">
        <v>643.16</v>
      </c>
      <c r="X115" s="34">
        <v>45155</v>
      </c>
      <c r="Y115" s="33">
        <v>12089</v>
      </c>
      <c r="Z115" s="46">
        <v>7775161.2399999993</v>
      </c>
      <c r="AA115" s="31" t="s">
        <v>147</v>
      </c>
    </row>
    <row r="116" spans="1:27">
      <c r="A116" s="49">
        <v>112</v>
      </c>
      <c r="B116" s="35" t="s">
        <v>304</v>
      </c>
      <c r="C116" s="35" t="s">
        <v>126</v>
      </c>
      <c r="D116" s="35" t="s">
        <v>21</v>
      </c>
      <c r="E116" s="34">
        <v>45130</v>
      </c>
      <c r="F116" s="35" t="s">
        <v>143</v>
      </c>
      <c r="G116" s="32" t="s">
        <v>306</v>
      </c>
      <c r="H116" s="50">
        <v>28.725999999999999</v>
      </c>
      <c r="I116" s="33">
        <v>16299</v>
      </c>
      <c r="J116" s="33" t="s">
        <v>86</v>
      </c>
      <c r="K116" s="50">
        <v>44.828000000000003</v>
      </c>
      <c r="L116" s="33">
        <v>1148000</v>
      </c>
      <c r="M116" s="33">
        <v>243883.74</v>
      </c>
      <c r="N116" s="33">
        <v>124187.98072633176</v>
      </c>
      <c r="O116" s="33">
        <v>32040.24270545195</v>
      </c>
      <c r="P116" s="33">
        <v>118805.21995181584</v>
      </c>
      <c r="Q116" s="45">
        <v>5831.3241723922547</v>
      </c>
      <c r="R116" s="33">
        <v>0</v>
      </c>
      <c r="S116" s="33">
        <v>179745.76157758542</v>
      </c>
      <c r="T116" s="33">
        <v>0</v>
      </c>
      <c r="U116" s="34"/>
      <c r="V116" s="33">
        <v>1852494.2691335776</v>
      </c>
      <c r="W116" s="33">
        <v>1440.17</v>
      </c>
      <c r="X116" s="34">
        <v>45155</v>
      </c>
      <c r="Y116" s="33">
        <v>12089</v>
      </c>
      <c r="Z116" s="46">
        <v>17410215.130000003</v>
      </c>
      <c r="AA116" s="31" t="s">
        <v>147</v>
      </c>
    </row>
    <row r="117" spans="1:27" ht="24.75">
      <c r="A117" s="49">
        <v>113</v>
      </c>
      <c r="B117" s="35" t="s">
        <v>304</v>
      </c>
      <c r="C117" s="35" t="s">
        <v>126</v>
      </c>
      <c r="D117" s="35" t="s">
        <v>21</v>
      </c>
      <c r="E117" s="34">
        <v>45130</v>
      </c>
      <c r="F117" s="35" t="s">
        <v>308</v>
      </c>
      <c r="G117" s="32" t="s">
        <v>307</v>
      </c>
      <c r="H117" s="50">
        <v>2.145</v>
      </c>
      <c r="I117" s="33">
        <v>1395</v>
      </c>
      <c r="J117" s="33" t="s">
        <v>93</v>
      </c>
      <c r="K117" s="50">
        <v>44.828000000000003</v>
      </c>
      <c r="L117" s="33">
        <v>0</v>
      </c>
      <c r="M117" s="33">
        <v>0</v>
      </c>
      <c r="N117" s="33">
        <v>0</v>
      </c>
      <c r="O117" s="33">
        <v>0</v>
      </c>
      <c r="P117" s="33">
        <v>0</v>
      </c>
      <c r="Q117" s="45">
        <v>0</v>
      </c>
      <c r="R117" s="33">
        <v>0</v>
      </c>
      <c r="S117" s="33">
        <v>0</v>
      </c>
      <c r="T117" s="33">
        <v>0</v>
      </c>
      <c r="U117" s="34"/>
      <c r="V117" s="33">
        <v>0</v>
      </c>
      <c r="W117" s="33">
        <v>0</v>
      </c>
      <c r="X117" s="34">
        <v>45155</v>
      </c>
      <c r="Y117" s="33">
        <v>12089</v>
      </c>
      <c r="Z117" s="46">
        <v>0</v>
      </c>
      <c r="AA117" s="31" t="s">
        <v>147</v>
      </c>
    </row>
    <row r="118" spans="1:27">
      <c r="A118" s="49">
        <v>114</v>
      </c>
      <c r="B118" s="35" t="s">
        <v>309</v>
      </c>
      <c r="C118" s="35" t="s">
        <v>126</v>
      </c>
      <c r="D118" s="35" t="s">
        <v>21</v>
      </c>
      <c r="E118" s="34">
        <v>45130</v>
      </c>
      <c r="F118" s="35" t="s">
        <v>311</v>
      </c>
      <c r="G118" s="32" t="s">
        <v>310</v>
      </c>
      <c r="H118" s="50">
        <v>2.16</v>
      </c>
      <c r="I118" s="33">
        <v>1710</v>
      </c>
      <c r="J118" s="33" t="s">
        <v>86</v>
      </c>
      <c r="K118" s="50">
        <v>40.307000000000002</v>
      </c>
      <c r="L118" s="33">
        <v>408000</v>
      </c>
      <c r="M118" s="33">
        <v>18338.400000000001</v>
      </c>
      <c r="N118" s="33">
        <v>10385.491353859132</v>
      </c>
      <c r="O118" s="33">
        <v>2679.4353338129854</v>
      </c>
      <c r="P118" s="33">
        <v>9935.3462177785495</v>
      </c>
      <c r="Q118" s="45">
        <v>487.65723075396335</v>
      </c>
      <c r="R118" s="33">
        <v>0</v>
      </c>
      <c r="S118" s="33">
        <v>15031.632222690849</v>
      </c>
      <c r="T118" s="33">
        <v>0</v>
      </c>
      <c r="U118" s="34"/>
      <c r="V118" s="33">
        <v>464857.96235889551</v>
      </c>
      <c r="W118" s="33">
        <v>361.39</v>
      </c>
      <c r="X118" s="34">
        <v>45155</v>
      </c>
      <c r="Y118" s="33">
        <v>12089</v>
      </c>
      <c r="Z118" s="46">
        <v>4368843.71</v>
      </c>
      <c r="AA118" s="31" t="s">
        <v>147</v>
      </c>
    </row>
    <row r="119" spans="1:27">
      <c r="A119" s="49">
        <v>115</v>
      </c>
      <c r="B119" s="35" t="s">
        <v>309</v>
      </c>
      <c r="C119" s="35" t="s">
        <v>126</v>
      </c>
      <c r="D119" s="35" t="s">
        <v>21</v>
      </c>
      <c r="E119" s="34">
        <v>45130</v>
      </c>
      <c r="F119" s="35" t="s">
        <v>92</v>
      </c>
      <c r="G119" s="32" t="s">
        <v>312</v>
      </c>
      <c r="H119" s="50">
        <v>6.4909999999999997</v>
      </c>
      <c r="I119" s="33">
        <v>2270.31</v>
      </c>
      <c r="J119" s="33" t="s">
        <v>93</v>
      </c>
      <c r="K119" s="50">
        <v>40.307000000000002</v>
      </c>
      <c r="L119" s="33">
        <v>0</v>
      </c>
      <c r="M119" s="33">
        <v>0</v>
      </c>
      <c r="N119" s="33">
        <v>0</v>
      </c>
      <c r="O119" s="33">
        <v>0</v>
      </c>
      <c r="P119" s="33">
        <v>0</v>
      </c>
      <c r="Q119" s="45">
        <v>0</v>
      </c>
      <c r="R119" s="33">
        <v>0</v>
      </c>
      <c r="S119" s="33">
        <v>0</v>
      </c>
      <c r="T119" s="33">
        <v>0</v>
      </c>
      <c r="U119" s="34"/>
      <c r="V119" s="33">
        <v>0</v>
      </c>
      <c r="W119" s="33">
        <v>0</v>
      </c>
      <c r="X119" s="34">
        <v>45155</v>
      </c>
      <c r="Y119" s="33">
        <v>12089</v>
      </c>
      <c r="Z119" s="46">
        <v>0</v>
      </c>
      <c r="AA119" s="31" t="s">
        <v>147</v>
      </c>
    </row>
    <row r="120" spans="1:27">
      <c r="A120" s="49">
        <v>116</v>
      </c>
      <c r="B120" s="35" t="s">
        <v>309</v>
      </c>
      <c r="C120" s="35" t="s">
        <v>126</v>
      </c>
      <c r="D120" s="35" t="s">
        <v>21</v>
      </c>
      <c r="E120" s="34">
        <v>45130</v>
      </c>
      <c r="F120" s="35" t="s">
        <v>314</v>
      </c>
      <c r="G120" s="32" t="s">
        <v>313</v>
      </c>
      <c r="H120" s="50">
        <v>22.54</v>
      </c>
      <c r="I120" s="33">
        <v>7868</v>
      </c>
      <c r="J120" s="33" t="s">
        <v>93</v>
      </c>
      <c r="K120" s="50">
        <v>40.307000000000002</v>
      </c>
      <c r="L120" s="33">
        <v>0</v>
      </c>
      <c r="M120" s="33">
        <v>0</v>
      </c>
      <c r="N120" s="33">
        <v>0</v>
      </c>
      <c r="O120" s="33">
        <v>0</v>
      </c>
      <c r="P120" s="33">
        <v>0</v>
      </c>
      <c r="Q120" s="45">
        <v>0</v>
      </c>
      <c r="R120" s="33">
        <v>0</v>
      </c>
      <c r="S120" s="33">
        <v>0</v>
      </c>
      <c r="T120" s="33">
        <v>0</v>
      </c>
      <c r="U120" s="34"/>
      <c r="V120" s="33">
        <v>0</v>
      </c>
      <c r="W120" s="33">
        <v>0</v>
      </c>
      <c r="X120" s="34">
        <v>45155</v>
      </c>
      <c r="Y120" s="33">
        <v>12089</v>
      </c>
      <c r="Z120" s="46">
        <v>0</v>
      </c>
      <c r="AA120" s="31" t="s">
        <v>147</v>
      </c>
    </row>
    <row r="121" spans="1:27" ht="24.75">
      <c r="A121" s="49">
        <v>117</v>
      </c>
      <c r="B121" s="35" t="s">
        <v>309</v>
      </c>
      <c r="C121" s="35" t="s">
        <v>126</v>
      </c>
      <c r="D121" s="35" t="s">
        <v>21</v>
      </c>
      <c r="E121" s="34">
        <v>45130</v>
      </c>
      <c r="F121" s="35" t="s">
        <v>144</v>
      </c>
      <c r="G121" s="32" t="s">
        <v>315</v>
      </c>
      <c r="H121" s="50">
        <v>3.2280000000000002</v>
      </c>
      <c r="I121" s="33">
        <v>3306.73</v>
      </c>
      <c r="J121" s="33" t="s">
        <v>86</v>
      </c>
      <c r="K121" s="50">
        <v>40.307000000000002</v>
      </c>
      <c r="L121" s="33">
        <v>465000</v>
      </c>
      <c r="M121" s="33">
        <v>27405.72</v>
      </c>
      <c r="N121" s="33">
        <v>15520.539856600592</v>
      </c>
      <c r="O121" s="33">
        <v>4004.2672488649614</v>
      </c>
      <c r="P121" s="33">
        <v>14847.822958791276</v>
      </c>
      <c r="Q121" s="45">
        <v>728.77663929342305</v>
      </c>
      <c r="R121" s="33">
        <v>0</v>
      </c>
      <c r="S121" s="33">
        <v>22463.939266132435</v>
      </c>
      <c r="T121" s="33">
        <v>0</v>
      </c>
      <c r="U121" s="34"/>
      <c r="V121" s="33">
        <v>549971.06596968265</v>
      </c>
      <c r="W121" s="33">
        <v>427.56</v>
      </c>
      <c r="X121" s="34">
        <v>45155</v>
      </c>
      <c r="Y121" s="33">
        <v>12089</v>
      </c>
      <c r="Z121" s="46">
        <v>5168772.84</v>
      </c>
      <c r="AA121" s="31" t="s">
        <v>147</v>
      </c>
    </row>
    <row r="122" spans="1:27" ht="24.75">
      <c r="A122" s="49">
        <v>118</v>
      </c>
      <c r="B122" s="35" t="s">
        <v>309</v>
      </c>
      <c r="C122" s="35" t="s">
        <v>126</v>
      </c>
      <c r="D122" s="35" t="s">
        <v>21</v>
      </c>
      <c r="E122" s="34">
        <v>45130</v>
      </c>
      <c r="F122" s="35" t="s">
        <v>144</v>
      </c>
      <c r="G122" s="32" t="s">
        <v>316</v>
      </c>
      <c r="H122" s="50">
        <v>0.58399999999999996</v>
      </c>
      <c r="I122" s="33">
        <v>359.7</v>
      </c>
      <c r="J122" s="33" t="s">
        <v>86</v>
      </c>
      <c r="K122" s="50">
        <v>40.307000000000002</v>
      </c>
      <c r="L122" s="33">
        <v>289000</v>
      </c>
      <c r="M122" s="33">
        <v>4958.16</v>
      </c>
      <c r="N122" s="33">
        <v>2807.9291438211721</v>
      </c>
      <c r="O122" s="33">
        <v>724.4399235864737</v>
      </c>
      <c r="P122" s="33">
        <v>2686.2232366586445</v>
      </c>
      <c r="Q122" s="45">
        <v>131.84806609273821</v>
      </c>
      <c r="R122" s="33">
        <v>0</v>
      </c>
      <c r="S122" s="33">
        <v>4064.1079713201175</v>
      </c>
      <c r="T122" s="33">
        <v>0</v>
      </c>
      <c r="U122" s="34"/>
      <c r="V122" s="33">
        <v>304372.70834147919</v>
      </c>
      <c r="W122" s="33">
        <v>236.63</v>
      </c>
      <c r="X122" s="34">
        <v>45155</v>
      </c>
      <c r="Y122" s="33">
        <v>12089</v>
      </c>
      <c r="Z122" s="46">
        <v>2860620.07</v>
      </c>
      <c r="AA122" s="31" t="s">
        <v>147</v>
      </c>
    </row>
    <row r="123" spans="1:27" ht="24.75">
      <c r="A123" s="49">
        <v>119</v>
      </c>
      <c r="B123" s="35" t="s">
        <v>309</v>
      </c>
      <c r="C123" s="35" t="s">
        <v>126</v>
      </c>
      <c r="D123" s="35" t="s">
        <v>21</v>
      </c>
      <c r="E123" s="34">
        <v>45130</v>
      </c>
      <c r="F123" s="35" t="s">
        <v>228</v>
      </c>
      <c r="G123" s="32" t="s">
        <v>317</v>
      </c>
      <c r="H123" s="50">
        <v>4.8600000000000003</v>
      </c>
      <c r="I123" s="33">
        <v>5155</v>
      </c>
      <c r="J123" s="33" t="s">
        <v>86</v>
      </c>
      <c r="K123" s="50">
        <v>40.307000000000002</v>
      </c>
      <c r="L123" s="33">
        <v>698500</v>
      </c>
      <c r="M123" s="33">
        <v>41261.4</v>
      </c>
      <c r="N123" s="33">
        <v>23367.355546183044</v>
      </c>
      <c r="O123" s="33">
        <v>6028.7295010792168</v>
      </c>
      <c r="P123" s="33">
        <v>22354.528990001734</v>
      </c>
      <c r="Q123" s="45">
        <v>1097.2287691964175</v>
      </c>
      <c r="R123" s="33">
        <v>0</v>
      </c>
      <c r="S123" s="33">
        <v>33821.172501054411</v>
      </c>
      <c r="T123" s="33">
        <v>0</v>
      </c>
      <c r="U123" s="34"/>
      <c r="V123" s="33">
        <v>826430.41530751484</v>
      </c>
      <c r="W123" s="33">
        <v>642.49</v>
      </c>
      <c r="X123" s="34">
        <v>45155</v>
      </c>
      <c r="Y123" s="33">
        <v>12089</v>
      </c>
      <c r="Z123" s="46">
        <v>7767061.6100000003</v>
      </c>
      <c r="AA123" s="31" t="s">
        <v>147</v>
      </c>
    </row>
    <row r="124" spans="1:27" ht="24.75">
      <c r="A124" s="49">
        <v>120</v>
      </c>
      <c r="B124" s="35" t="s">
        <v>309</v>
      </c>
      <c r="C124" s="35" t="s">
        <v>126</v>
      </c>
      <c r="D124" s="35" t="s">
        <v>21</v>
      </c>
      <c r="E124" s="34">
        <v>45130</v>
      </c>
      <c r="F124" s="35" t="s">
        <v>98</v>
      </c>
      <c r="G124" s="32" t="s">
        <v>318</v>
      </c>
      <c r="H124" s="50">
        <v>0.44400000000000001</v>
      </c>
      <c r="I124" s="33">
        <v>84.3</v>
      </c>
      <c r="J124" s="33" t="s">
        <v>86</v>
      </c>
      <c r="K124" s="50">
        <v>40.307000000000002</v>
      </c>
      <c r="L124" s="33">
        <v>289000</v>
      </c>
      <c r="M124" s="33">
        <v>3769.56</v>
      </c>
      <c r="N124" s="33">
        <v>2134.7954449599324</v>
      </c>
      <c r="O124" s="33">
        <v>550.77281861711367</v>
      </c>
      <c r="P124" s="33">
        <v>2042.2656114322576</v>
      </c>
      <c r="Q124" s="45">
        <v>100.24065298831468</v>
      </c>
      <c r="R124" s="33">
        <v>0</v>
      </c>
      <c r="S124" s="33">
        <v>3089.8355124420077</v>
      </c>
      <c r="T124" s="33">
        <v>0</v>
      </c>
      <c r="U124" s="34"/>
      <c r="V124" s="33">
        <v>300687.47004043963</v>
      </c>
      <c r="W124" s="33">
        <v>233.76</v>
      </c>
      <c r="X124" s="34">
        <v>45155</v>
      </c>
      <c r="Y124" s="33">
        <v>12089</v>
      </c>
      <c r="Z124" s="46">
        <v>2825924.6399999997</v>
      </c>
      <c r="AA124" s="31" t="s">
        <v>147</v>
      </c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</sheetData>
  <mergeCells count="3">
    <mergeCell ref="A1:C1"/>
    <mergeCell ref="D1:G1"/>
    <mergeCell ref="H1:X1"/>
  </mergeCells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9287-3E48-4401-A881-31418E0F37E3}">
  <sheetPr>
    <pageSetUpPr fitToPage="1"/>
  </sheetPr>
  <dimension ref="A1:AE141"/>
  <sheetViews>
    <sheetView view="pageBreakPreview" zoomScaleNormal="100" zoomScaleSheetLayoutView="100" workbookViewId="0">
      <selection activeCell="F106" sqref="F106"/>
    </sheetView>
  </sheetViews>
  <sheetFormatPr defaultColWidth="9" defaultRowHeight="14.25" outlineLevelRow="1" outlineLevelCol="1"/>
  <cols>
    <col min="1" max="1" width="5.7109375" style="56" customWidth="1"/>
    <col min="2" max="2" width="17.42578125" style="56" customWidth="1"/>
    <col min="3" max="3" width="15.85546875" style="55" customWidth="1"/>
    <col min="4" max="4" width="16.28515625" style="55" customWidth="1"/>
    <col min="5" max="5" width="23.140625" style="55" customWidth="1"/>
    <col min="6" max="6" width="31.140625" style="56" customWidth="1"/>
    <col min="7" max="7" width="39.7109375" style="55" customWidth="1"/>
    <col min="8" max="8" width="12" style="220" customWidth="1"/>
    <col min="9" max="9" width="16.140625" style="221" customWidth="1"/>
    <col min="10" max="11" width="8" style="221" hidden="1" customWidth="1" outlineLevel="1"/>
    <col min="12" max="12" width="16.28515625" style="221" hidden="1" customWidth="1" outlineLevel="1"/>
    <col min="13" max="13" width="18.85546875" style="55" customWidth="1" collapsed="1"/>
    <col min="14" max="14" width="16.5703125" style="55" customWidth="1"/>
    <col min="15" max="15" width="12.7109375" style="55" customWidth="1"/>
    <col min="16" max="16" width="13.7109375" style="55" customWidth="1"/>
    <col min="17" max="17" width="13.140625" style="55" customWidth="1"/>
    <col min="18" max="19" width="11" style="55" customWidth="1"/>
    <col min="20" max="20" width="21.5703125" style="55" customWidth="1"/>
    <col min="21" max="21" width="14" style="55" customWidth="1"/>
    <col min="22" max="22" width="18.7109375" style="55" customWidth="1"/>
    <col min="23" max="23" width="18" style="55" customWidth="1"/>
    <col min="24" max="24" width="8.42578125" style="55" hidden="1" customWidth="1" outlineLevel="1"/>
    <col min="25" max="25" width="6.85546875" style="55" hidden="1" customWidth="1" outlineLevel="1"/>
    <col min="26" max="26" width="11.5703125" style="55" customWidth="1" collapsed="1"/>
    <col min="27" max="28" width="9" style="55" customWidth="1"/>
    <col min="29" max="29" width="15.5703125" style="55" bestFit="1" customWidth="1"/>
    <col min="30" max="30" width="12.42578125" style="55" bestFit="1" customWidth="1"/>
    <col min="31" max="16384" width="9" style="55"/>
  </cols>
  <sheetData>
    <row r="1" spans="1:29" ht="20.25">
      <c r="A1" s="326" t="s">
        <v>319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52" t="str">
        <f>'[2]Cover Letter'!E21</f>
        <v>No. 468 LCL</v>
      </c>
      <c r="O1" s="53"/>
      <c r="P1" s="53"/>
      <c r="Q1" s="53"/>
      <c r="R1" s="53"/>
      <c r="S1" s="53"/>
      <c r="T1" s="53"/>
      <c r="U1" s="53"/>
      <c r="V1" s="53"/>
      <c r="W1" s="53"/>
      <c r="X1" s="54"/>
    </row>
    <row r="2" spans="1:29" ht="20.25">
      <c r="A2" s="327" t="s">
        <v>320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54"/>
    </row>
    <row r="3" spans="1:29" ht="15" thickBot="1">
      <c r="C3" s="57"/>
      <c r="D3" s="57"/>
      <c r="E3" s="57"/>
      <c r="G3" s="57"/>
      <c r="H3" s="58"/>
      <c r="I3" s="59"/>
      <c r="J3" s="59"/>
      <c r="K3" s="59"/>
      <c r="L3" s="59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9" ht="161.25" customHeight="1">
      <c r="A4" s="60" t="s">
        <v>57</v>
      </c>
      <c r="B4" s="61" t="s">
        <v>58</v>
      </c>
      <c r="C4" s="61" t="s">
        <v>59</v>
      </c>
      <c r="D4" s="61" t="s">
        <v>321</v>
      </c>
      <c r="E4" s="61" t="s">
        <v>322</v>
      </c>
      <c r="F4" s="61" t="s">
        <v>323</v>
      </c>
      <c r="G4" s="61" t="s">
        <v>61</v>
      </c>
      <c r="H4" s="62" t="s">
        <v>62</v>
      </c>
      <c r="I4" s="63" t="s">
        <v>63</v>
      </c>
      <c r="J4" s="328" t="s">
        <v>64</v>
      </c>
      <c r="K4" s="329"/>
      <c r="L4" s="64" t="s">
        <v>66</v>
      </c>
      <c r="M4" s="65" t="s">
        <v>67</v>
      </c>
      <c r="N4" s="66" t="s">
        <v>68</v>
      </c>
      <c r="O4" s="66" t="s">
        <v>69</v>
      </c>
      <c r="P4" s="66" t="s">
        <v>70</v>
      </c>
      <c r="Q4" s="66" t="s">
        <v>71</v>
      </c>
      <c r="R4" s="66" t="s">
        <v>72</v>
      </c>
      <c r="S4" s="66" t="s">
        <v>324</v>
      </c>
      <c r="T4" s="67" t="s">
        <v>74</v>
      </c>
      <c r="U4" s="67" t="s">
        <v>75</v>
      </c>
      <c r="V4" s="67" t="s">
        <v>76</v>
      </c>
      <c r="W4" s="68" t="s">
        <v>77</v>
      </c>
      <c r="X4" s="69"/>
      <c r="AC4" s="55" t="s">
        <v>325</v>
      </c>
    </row>
    <row r="5" spans="1:29" ht="15.75" customHeight="1" thickBot="1">
      <c r="A5" s="70">
        <v>1</v>
      </c>
      <c r="B5" s="71">
        <v>2</v>
      </c>
      <c r="C5" s="71">
        <v>3</v>
      </c>
      <c r="D5" s="71">
        <v>4</v>
      </c>
      <c r="E5" s="71">
        <v>5</v>
      </c>
      <c r="F5" s="71">
        <v>6</v>
      </c>
      <c r="G5" s="71">
        <v>7</v>
      </c>
      <c r="H5" s="72">
        <v>8</v>
      </c>
      <c r="I5" s="72">
        <v>9</v>
      </c>
      <c r="J5" s="72"/>
      <c r="K5" s="72"/>
      <c r="L5" s="72"/>
      <c r="M5" s="73">
        <v>10</v>
      </c>
      <c r="N5" s="71">
        <v>11</v>
      </c>
      <c r="O5" s="71">
        <v>12</v>
      </c>
      <c r="P5" s="71">
        <v>13</v>
      </c>
      <c r="Q5" s="71">
        <v>14</v>
      </c>
      <c r="R5" s="71">
        <v>15</v>
      </c>
      <c r="S5" s="71"/>
      <c r="T5" s="71">
        <v>16</v>
      </c>
      <c r="U5" s="71">
        <v>17</v>
      </c>
      <c r="V5" s="71">
        <v>17</v>
      </c>
      <c r="W5" s="74">
        <v>18</v>
      </c>
      <c r="X5" s="54"/>
      <c r="AC5" s="55" t="s">
        <v>326</v>
      </c>
    </row>
    <row r="6" spans="1:29" s="87" customFormat="1" ht="15">
      <c r="A6" s="316">
        <v>1</v>
      </c>
      <c r="B6" s="75" t="s">
        <v>327</v>
      </c>
      <c r="C6" s="76" t="s">
        <v>21</v>
      </c>
      <c r="D6" s="77">
        <v>45124</v>
      </c>
      <c r="E6" s="76" t="s">
        <v>84</v>
      </c>
      <c r="F6" s="78" t="s">
        <v>151</v>
      </c>
      <c r="G6" s="78" t="s">
        <v>328</v>
      </c>
      <c r="H6" s="79">
        <v>26.97</v>
      </c>
      <c r="I6" s="80">
        <v>17900</v>
      </c>
      <c r="J6" s="76" t="str">
        <f>VLOOKUP(G6,'[2]Vendor list'!$A$3:$D$406,4,0)</f>
        <v>FCA</v>
      </c>
      <c r="K6" s="76">
        <f t="shared" ref="K6:K69" si="0">IF(AND(J6="FCA"),1,IF(AND(J6="FOB"),0,"No data"))</f>
        <v>1</v>
      </c>
      <c r="L6" s="81">
        <f t="shared" ref="L6:L69" si="1">SUMIF($B$6:$B$1048576,B6,$H$6:$H$1048576)</f>
        <v>41.120999999999995</v>
      </c>
      <c r="M6" s="82">
        <f>VLOOKUP(F6,Appendix!$B$7:$N$1048576,13,0)</f>
        <v>768000</v>
      </c>
      <c r="N6" s="82">
        <f>K6*H6*[2]Add.fees!$F$11</f>
        <v>228975.3</v>
      </c>
      <c r="O6" s="82">
        <f>IF(AND(C6=[2]Add.fees!$G$4),[2]Add.fees!$E$7,IF(AND(C6=[2]Add.fees!$G$5),[2]Add.fees!$E$7,IF(AND(C6=[2]Add.fees!$G$6),[2]Add.fees!$F$7,0)))*(H6/L6*K6)</f>
        <v>127107.46333989933</v>
      </c>
      <c r="P6" s="82">
        <f>IF(AND(C6=[2]Add.fees!$G$4),[2]Add.fees!$E$4,IF(AND(C6=[2]Add.fees!$G$5),[2]Add.fees!$E$4,IF(AND(C6=[2]Add.fees!$G$6),[2]Add.fees!$F$4,0)))*(H6/L6*K6)</f>
        <v>32793.463193988478</v>
      </c>
      <c r="Q6" s="82">
        <f>IF(AND(C6=[2]Add.fees!$G$4),[2]Add.fees!$E$5,IF(AND(C6=[2]Add.fees!$G$5),[2]Add.fees!$E$5,IF(AND(C6=[2]Add.fees!$G$6),[2]Add.fees!$F$5,0)))*(H6/L6*K6)</f>
        <v>121598.16152330927</v>
      </c>
      <c r="R6" s="82">
        <f>IF(AND(C6=[2]Add.fees!$G$4),[2]Add.fees!$E$6,IF(AND(C6=[2]Add.fees!$G$5),[2]Add.fees!$E$6,IF(AND(C6=[2]Add.fees!$G$6),[2]Add.fees!$F$6,0)))*(H6/L6*K6)</f>
        <v>5968.410301305903</v>
      </c>
      <c r="S6" s="82">
        <v>0</v>
      </c>
      <c r="T6" s="82">
        <f>IF(AND(C6=[2]Add.fees!$G$4,Appendix!D7=[2]Add.fees!$G$8),[2]Add.fees!$E$8,IF(AND(C6=[2]Add.fees!$G$5,Appendix!D7=[2]Add.fees!$G$8),[2]Add.fees!$E$8,IF(AND(C6=[2]Add.fees!$G$6,Appendix!D7=[2]Add.fees!$G$8),[2]Add.fees!$F$8,IF(AND(C6=[2]Add.fees!$G$4,Appendix!D7=[2]Add.fees!$G$9),[2]Add.fees!$E$9,IF(AND(C6=[2]Add.fees!$G$5,Appendix!D7=[2]Add.fees!$G$9),[2]Add.fees!$E$9,IF(AND(C6=[2]Add.fees!$G$6,Appendix!D7=[2]Add.fees!$G$9),[2]Add.fees!$F$9,0))))))*(H6/L6*K6)</f>
        <v>183971.32851827535</v>
      </c>
      <c r="U6" s="82">
        <v>0</v>
      </c>
      <c r="V6" s="82">
        <f t="shared" ref="V6:V32" si="2">SUM(M6:U6)</f>
        <v>1468414.1268767784</v>
      </c>
      <c r="W6" s="83">
        <f t="shared" ref="W6:W69" si="3">ROUND(V6*$C$129,2)</f>
        <v>1141.58</v>
      </c>
      <c r="X6" s="84">
        <f t="shared" ref="X6:X69" si="4">SUMIF($B$6:$B$1048576,B6,$W$6:$W$1048576)</f>
        <v>1880.8600000000001</v>
      </c>
      <c r="Y6" s="85">
        <f t="shared" ref="Y6:Y69" si="5">IF(B6=B5,0,1)</f>
        <v>1</v>
      </c>
      <c r="Z6" s="86">
        <f t="shared" ref="Z6:Z69" si="6">X6*Y6</f>
        <v>1880.8600000000001</v>
      </c>
      <c r="AC6" s="88">
        <v>40080</v>
      </c>
    </row>
    <row r="7" spans="1:29" s="85" customFormat="1" ht="15">
      <c r="A7" s="316"/>
      <c r="B7" s="89" t="s">
        <v>327</v>
      </c>
      <c r="C7" s="90" t="s">
        <v>21</v>
      </c>
      <c r="D7" s="91">
        <v>45124</v>
      </c>
      <c r="E7" s="90" t="s">
        <v>84</v>
      </c>
      <c r="F7" s="92" t="s">
        <v>153</v>
      </c>
      <c r="G7" s="92" t="s">
        <v>328</v>
      </c>
      <c r="H7" s="93">
        <v>1.81</v>
      </c>
      <c r="I7" s="94">
        <v>324.38</v>
      </c>
      <c r="J7" s="76" t="str">
        <f>VLOOKUP(G7,'[2]Vendor list'!$A$3:$D$406,4,0)</f>
        <v>FCA</v>
      </c>
      <c r="K7" s="76">
        <f t="shared" si="0"/>
        <v>1</v>
      </c>
      <c r="L7" s="95">
        <f t="shared" si="1"/>
        <v>41.120999999999995</v>
      </c>
      <c r="M7" s="82">
        <f>VLOOKUP(F7,Appendix!$B$7:$N$1048576,13,0)</f>
        <v>232000</v>
      </c>
      <c r="N7" s="82">
        <f>K7*H7*[2]Add.fees!$F$11</f>
        <v>15366.9</v>
      </c>
      <c r="O7" s="96">
        <f>IF(AND(C7=[2]Add.fees!$G$4),[2]Add.fees!$E$7,IF(AND(C7=[2]Add.fees!$G$5),[2]Add.fees!$E$7,IF(AND(C7=[2]Add.fees!$G$6),[2]Add.fees!$F$7,0)))*(H7/L7*K7)</f>
        <v>8530.3859341942079</v>
      </c>
      <c r="P7" s="96">
        <f>IF(AND(C7=[2]Add.fees!$G$4),[2]Add.fees!$E$4,IF(AND(C7=[2]Add.fees!$G$5),[2]Add.fees!$E$4,IF(AND(C7=[2]Add.fees!$G$6),[2]Add.fees!$F$4,0)))*(H7/L7*K7)</f>
        <v>2200.8219644463902</v>
      </c>
      <c r="Q7" s="96">
        <f>IF(AND(C7=[2]Add.fees!$G$4),[2]Add.fees!$E$5,IF(AND(C7=[2]Add.fees!$G$5),[2]Add.fees!$E$5,IF(AND(C7=[2]Add.fees!$G$6),[2]Add.fees!$F$5,0)))*(H7/L7*K7)</f>
        <v>8160.6478441672143</v>
      </c>
      <c r="R7" s="96">
        <f>IF(AND(C7=[2]Add.fees!$G$4),[2]Add.fees!$E$6,IF(AND(C7=[2]Add.fees!$G$5),[2]Add.fees!$E$6,IF(AND(C7=[2]Add.fees!$G$6),[2]Add.fees!$F$6,0)))*(H7/L7*K7)</f>
        <v>400.54959752924299</v>
      </c>
      <c r="S7" s="82">
        <v>0</v>
      </c>
      <c r="T7" s="96">
        <f>IF(AND(C7=[2]Add.fees!$G$4,Appendix!D8=[2]Add.fees!$G$8),[2]Add.fees!$E$8,IF(AND(C7=[2]Add.fees!$G$5,Appendix!D8=[2]Add.fees!$G$8),[2]Add.fees!$E$8,IF(AND(C7=[2]Add.fees!$G$6,Appendix!D8=[2]Add.fees!$G$8),[2]Add.fees!$F$8,IF(AND(C7=[2]Add.fees!$G$4,Appendix!D8=[2]Add.fees!$G$9),[2]Add.fees!$E$9,IF(AND(C7=[2]Add.fees!$G$5,Appendix!D8=[2]Add.fees!$G$9),[2]Add.fees!$E$9,IF(AND(C7=[2]Add.fees!$G$6,Appendix!D8=[2]Add.fees!$G$9),[2]Add.fees!$F$9,0))))))*(H7/L7*K7)</f>
        <v>12346.611220544248</v>
      </c>
      <c r="U7" s="96">
        <v>0</v>
      </c>
      <c r="V7" s="96">
        <f t="shared" si="2"/>
        <v>279005.91656088131</v>
      </c>
      <c r="W7" s="97">
        <f t="shared" si="3"/>
        <v>216.91</v>
      </c>
      <c r="X7" s="84">
        <f t="shared" si="4"/>
        <v>1880.8600000000001</v>
      </c>
      <c r="Y7" s="85">
        <f t="shared" si="5"/>
        <v>0</v>
      </c>
      <c r="Z7" s="86">
        <f t="shared" si="6"/>
        <v>0</v>
      </c>
      <c r="AC7" s="88">
        <v>34485.119999999995</v>
      </c>
    </row>
    <row r="8" spans="1:29" s="85" customFormat="1" ht="15">
      <c r="A8" s="316"/>
      <c r="B8" s="89" t="s">
        <v>327</v>
      </c>
      <c r="C8" s="90" t="s">
        <v>21</v>
      </c>
      <c r="D8" s="91">
        <v>45124</v>
      </c>
      <c r="E8" s="90" t="s">
        <v>84</v>
      </c>
      <c r="F8" s="92" t="s">
        <v>154</v>
      </c>
      <c r="G8" s="92" t="s">
        <v>329</v>
      </c>
      <c r="H8" s="93">
        <v>5.85</v>
      </c>
      <c r="I8" s="94">
        <v>2415</v>
      </c>
      <c r="J8" s="76" t="str">
        <f>VLOOKUP(G8,'[2]Vendor list'!$A$3:$D$406,4,0)</f>
        <v>FCA</v>
      </c>
      <c r="K8" s="76">
        <f t="shared" si="0"/>
        <v>1</v>
      </c>
      <c r="L8" s="95">
        <f t="shared" si="1"/>
        <v>41.120999999999995</v>
      </c>
      <c r="M8" s="82">
        <f>VLOOKUP(F8,Appendix!$B$7:$N$1048576,13,0)</f>
        <v>520000</v>
      </c>
      <c r="N8" s="82">
        <f>K8*H8*[2]Add.fees!$F$11</f>
        <v>49666.5</v>
      </c>
      <c r="O8" s="96">
        <f>IF(AND(C8=[2]Add.fees!$G$4),[2]Add.fees!$E$7,IF(AND(C8=[2]Add.fees!$G$5),[2]Add.fees!$E$7,IF(AND(C8=[2]Add.fees!$G$6),[2]Add.fees!$F$7,0)))*(H8/L8*K8)</f>
        <v>27570.584372948131</v>
      </c>
      <c r="P8" s="96">
        <f>IF(AND(C8=[2]Add.fees!$G$4),[2]Add.fees!$E$4,IF(AND(C8=[2]Add.fees!$G$5),[2]Add.fees!$E$4,IF(AND(C8=[2]Add.fees!$G$6),[2]Add.fees!$F$4,0)))*(H8/L8*K8)</f>
        <v>7113.1538629897141</v>
      </c>
      <c r="Q8" s="96">
        <f>IF(AND(C8=[2]Add.fees!$G$4),[2]Add.fees!$E$5,IF(AND(C8=[2]Add.fees!$G$5),[2]Add.fees!$E$5,IF(AND(C8=[2]Add.fees!$G$6),[2]Add.fees!$F$5,0)))*(H8/L8*K8)</f>
        <v>26375.574523965861</v>
      </c>
      <c r="R8" s="96">
        <f>IF(AND(C8=[2]Add.fees!$G$4),[2]Add.fees!$E$6,IF(AND(C8=[2]Add.fees!$G$5),[2]Add.fees!$E$6,IF(AND(C8=[2]Add.fees!$G$6),[2]Add.fees!$F$6,0)))*(H8/L8*K8)</f>
        <v>1294.5940030641279</v>
      </c>
      <c r="S8" s="82">
        <v>0</v>
      </c>
      <c r="T8" s="96">
        <f>IF(AND(C8=[2]Add.fees!$G$4,Appendix!D9=[2]Add.fees!$G$8),[2]Add.fees!$E$8,IF(AND(C8=[2]Add.fees!$G$5,Appendix!D9=[2]Add.fees!$G$8),[2]Add.fees!$E$8,IF(AND(C8=[2]Add.fees!$G$6,Appendix!D9=[2]Add.fees!$G$8),[2]Add.fees!$F$8,IF(AND(C8=[2]Add.fees!$G$4,Appendix!D9=[2]Add.fees!$G$9),[2]Add.fees!$E$9,IF(AND(C8=[2]Add.fees!$G$5,Appendix!D9=[2]Add.fees!$G$9),[2]Add.fees!$E$9,IF(AND(C8=[2]Add.fees!$G$6,Appendix!D9=[2]Add.fees!$G$9),[2]Add.fees!$F$9,0))))))*(H8/L8*K8)</f>
        <v>39904.793171372294</v>
      </c>
      <c r="U8" s="96">
        <v>0</v>
      </c>
      <c r="V8" s="96">
        <f t="shared" si="2"/>
        <v>671925.19993434008</v>
      </c>
      <c r="W8" s="97">
        <f t="shared" si="3"/>
        <v>522.37</v>
      </c>
      <c r="X8" s="84">
        <f t="shared" si="4"/>
        <v>1880.8600000000001</v>
      </c>
      <c r="Y8" s="85">
        <f t="shared" si="5"/>
        <v>0</v>
      </c>
      <c r="Z8" s="86">
        <f t="shared" si="6"/>
        <v>0</v>
      </c>
      <c r="AC8" s="88">
        <v>8890</v>
      </c>
    </row>
    <row r="9" spans="1:29" s="108" customFormat="1" ht="15">
      <c r="A9" s="325"/>
      <c r="B9" s="98" t="s">
        <v>327</v>
      </c>
      <c r="C9" s="99" t="s">
        <v>21</v>
      </c>
      <c r="D9" s="100">
        <v>45124</v>
      </c>
      <c r="E9" s="99" t="s">
        <v>84</v>
      </c>
      <c r="F9" s="101" t="s">
        <v>155</v>
      </c>
      <c r="G9" s="101" t="s">
        <v>330</v>
      </c>
      <c r="H9" s="102">
        <v>6.4909999999999997</v>
      </c>
      <c r="I9" s="103">
        <v>2270.31</v>
      </c>
      <c r="J9" s="76" t="str">
        <f>VLOOKUP(G9,'[2]Vendor list'!$A$3:$D$406,4,0)</f>
        <v>FOB</v>
      </c>
      <c r="K9" s="76">
        <f t="shared" si="0"/>
        <v>0</v>
      </c>
      <c r="L9" s="95">
        <f t="shared" si="1"/>
        <v>41.120999999999995</v>
      </c>
      <c r="M9" s="104">
        <f>VLOOKUP(F9,Appendix!$B$7:$N$1048576,13,0)</f>
        <v>0</v>
      </c>
      <c r="N9" s="104">
        <f>K9*H9*[2]Add.fees!$F$11</f>
        <v>0</v>
      </c>
      <c r="O9" s="105">
        <f>IF(AND(C9=[2]Add.fees!$G$4),[2]Add.fees!$E$7,IF(AND(C9=[2]Add.fees!$G$5),[2]Add.fees!$E$7,IF(AND(C9=[2]Add.fees!$G$6),[2]Add.fees!$F$7,0)))*(H9/L9*K9)</f>
        <v>0</v>
      </c>
      <c r="P9" s="105">
        <f>IF(AND(C9=[2]Add.fees!$G$4),[2]Add.fees!$E$4,IF(AND(C9=[2]Add.fees!$G$5),[2]Add.fees!$E$4,IF(AND(C9=[2]Add.fees!$G$6),[2]Add.fees!$F$4,0)))*(H9/L9*K9)</f>
        <v>0</v>
      </c>
      <c r="Q9" s="105">
        <f>IF(AND(C9=[2]Add.fees!$G$4),[2]Add.fees!$E$5,IF(AND(C9=[2]Add.fees!$G$5),[2]Add.fees!$E$5,IF(AND(C9=[2]Add.fees!$G$6),[2]Add.fees!$F$5,0)))*(H9/L9*K9)</f>
        <v>0</v>
      </c>
      <c r="R9" s="105">
        <f>IF(AND(C9=[2]Add.fees!$G$4),[2]Add.fees!$E$6,IF(AND(C9=[2]Add.fees!$G$5),[2]Add.fees!$E$6,IF(AND(C9=[2]Add.fees!$G$6),[2]Add.fees!$F$6,0)))*(H9/L9*K9)</f>
        <v>0</v>
      </c>
      <c r="S9" s="104">
        <v>0</v>
      </c>
      <c r="T9" s="105">
        <f>IF(AND(C9=[2]Add.fees!$G$4,Appendix!D10=[2]Add.fees!$G$8),[2]Add.fees!$E$8,IF(AND(C9=[2]Add.fees!$G$5,Appendix!D10=[2]Add.fees!$G$8),[2]Add.fees!$E$8,IF(AND(C9=[2]Add.fees!$G$6,Appendix!D10=[2]Add.fees!$G$8),[2]Add.fees!$F$8,IF(AND(C9=[2]Add.fees!$G$4,Appendix!D10=[2]Add.fees!$G$9),[2]Add.fees!$E$9,IF(AND(C9=[2]Add.fees!$G$5,Appendix!D10=[2]Add.fees!$G$9),[2]Add.fees!$E$9,IF(AND(C9=[2]Add.fees!$G$6,Appendix!D10=[2]Add.fees!$G$9),[2]Add.fees!$F$9,0))))))*(H9/L9*K9)</f>
        <v>0</v>
      </c>
      <c r="U9" s="105">
        <v>0</v>
      </c>
      <c r="V9" s="105">
        <f t="shared" si="2"/>
        <v>0</v>
      </c>
      <c r="W9" s="106">
        <f t="shared" si="3"/>
        <v>0</v>
      </c>
      <c r="X9" s="84">
        <f t="shared" si="4"/>
        <v>1880.8600000000001</v>
      </c>
      <c r="Y9" s="85">
        <f t="shared" si="5"/>
        <v>0</v>
      </c>
      <c r="Z9" s="107">
        <f t="shared" si="6"/>
        <v>0</v>
      </c>
      <c r="AC9" s="109">
        <v>20160</v>
      </c>
    </row>
    <row r="10" spans="1:29" s="85" customFormat="1" ht="15">
      <c r="A10" s="314">
        <v>2</v>
      </c>
      <c r="B10" s="89" t="s">
        <v>331</v>
      </c>
      <c r="C10" s="90" t="s">
        <v>21</v>
      </c>
      <c r="D10" s="91">
        <v>45124</v>
      </c>
      <c r="E10" s="90" t="s">
        <v>84</v>
      </c>
      <c r="F10" s="92" t="s">
        <v>157</v>
      </c>
      <c r="G10" s="110" t="s">
        <v>328</v>
      </c>
      <c r="H10" s="111">
        <v>7.9359999999999999</v>
      </c>
      <c r="I10" s="94">
        <v>2840</v>
      </c>
      <c r="J10" s="76" t="str">
        <f>VLOOKUP(G10,'[2]Vendor list'!$A$3:$D$406,4,0)</f>
        <v>FCA</v>
      </c>
      <c r="K10" s="76">
        <f t="shared" si="0"/>
        <v>1</v>
      </c>
      <c r="L10" s="95">
        <f t="shared" si="1"/>
        <v>64.121000000000009</v>
      </c>
      <c r="M10" s="82">
        <f>VLOOKUP(F10,Appendix!$B$7:$N$1048576,13,0)</f>
        <v>332000</v>
      </c>
      <c r="N10" s="82">
        <f>K10*H10*[2]Add.fees!$F$11</f>
        <v>67376.639999999999</v>
      </c>
      <c r="O10" s="96">
        <f>IF(AND(C10=[2]Add.fees!$G$4),[2]Add.fees!$E$7,IF(AND(C10=[2]Add.fees!$G$5),[2]Add.fees!$E$7,IF(AND(C10=[2]Add.fees!$G$6),[2]Add.fees!$F$7,0)))*(H10/L10*K10)</f>
        <v>23985.851749036974</v>
      </c>
      <c r="P10" s="96">
        <f>IF(AND(C10=[2]Add.fees!$G$4),[2]Add.fees!$E$4,IF(AND(C10=[2]Add.fees!$G$5),[2]Add.fees!$E$4,IF(AND(C10=[2]Add.fees!$G$6),[2]Add.fees!$F$4,0)))*(H10/L10*K10)</f>
        <v>6188.3002448495799</v>
      </c>
      <c r="Q10" s="96">
        <f>IF(AND(C10=[2]Add.fees!$G$4),[2]Add.fees!$E$5,IF(AND(C10=[2]Add.fees!$G$5),[2]Add.fees!$E$5,IF(AND(C10=[2]Add.fees!$G$6),[2]Add.fees!$F$5,0)))*(H10/L10*K10)</f>
        <v>22946.217307902243</v>
      </c>
      <c r="R10" s="96">
        <f>IF(AND(C10=[2]Add.fees!$G$4),[2]Add.fees!$E$6,IF(AND(C10=[2]Add.fees!$G$5),[2]Add.fees!$E$6,IF(AND(C10=[2]Add.fees!$G$6),[2]Add.fees!$F$6,0)))*(H10/L10*K10)</f>
        <v>1126.2706445626236</v>
      </c>
      <c r="S10" s="82">
        <v>0</v>
      </c>
      <c r="T10" s="96">
        <f>IF(AND(C10=[2]Add.fees!$G$4,Appendix!D11=[2]Add.fees!$G$8),[2]Add.fees!$E$8,IF(AND(C10=[2]Add.fees!$G$5,Appendix!D11=[2]Add.fees!$G$8),[2]Add.fees!$E$8,IF(AND(C10=[2]Add.fees!$G$6,Appendix!D11=[2]Add.fees!$G$8),[2]Add.fees!$F$8,IF(AND(C10=[2]Add.fees!$G$4,Appendix!D11=[2]Add.fees!$G$9),[2]Add.fees!$E$9,IF(AND(C10=[2]Add.fees!$G$5,Appendix!D11=[2]Add.fees!$G$9),[2]Add.fees!$E$9,IF(AND(C10=[2]Add.fees!$G$6,Appendix!D11=[2]Add.fees!$G$9),[2]Add.fees!$F$9,0))))))*(H10/L10*K10)</f>
        <v>34716.364373606142</v>
      </c>
      <c r="U10" s="96">
        <v>0</v>
      </c>
      <c r="V10" s="96">
        <f t="shared" si="2"/>
        <v>488339.64431995759</v>
      </c>
      <c r="W10" s="97">
        <f t="shared" si="3"/>
        <v>379.65</v>
      </c>
      <c r="X10" s="84">
        <f t="shared" si="4"/>
        <v>2433.1</v>
      </c>
      <c r="Y10" s="85">
        <f t="shared" si="5"/>
        <v>1</v>
      </c>
      <c r="Z10" s="86">
        <f t="shared" si="6"/>
        <v>2433.1</v>
      </c>
      <c r="AC10" s="88">
        <v>17111.04</v>
      </c>
    </row>
    <row r="11" spans="1:29" s="116" customFormat="1" ht="15">
      <c r="A11" s="316"/>
      <c r="B11" s="89" t="s">
        <v>331</v>
      </c>
      <c r="C11" s="90" t="s">
        <v>21</v>
      </c>
      <c r="D11" s="91">
        <v>45124</v>
      </c>
      <c r="E11" s="90" t="s">
        <v>84</v>
      </c>
      <c r="F11" s="112" t="s">
        <v>158</v>
      </c>
      <c r="G11" s="110" t="s">
        <v>328</v>
      </c>
      <c r="H11" s="93">
        <v>7.12</v>
      </c>
      <c r="I11" s="94">
        <v>1186</v>
      </c>
      <c r="J11" s="76" t="str">
        <f>VLOOKUP(G11,'[2]Vendor list'!$A$3:$D$406,4,0)</f>
        <v>FCA</v>
      </c>
      <c r="K11" s="76">
        <f t="shared" si="0"/>
        <v>1</v>
      </c>
      <c r="L11" s="113">
        <f t="shared" si="1"/>
        <v>64.121000000000009</v>
      </c>
      <c r="M11" s="82">
        <f>VLOOKUP(F11,Appendix!$B$7:$N$1048576,13,0)</f>
        <v>332000</v>
      </c>
      <c r="N11" s="82">
        <f>K11*H11*[2]Add.fees!$F$11</f>
        <v>60448.800000000003</v>
      </c>
      <c r="O11" s="114">
        <f>IF(AND(C11=[2]Add.fees!$G$4),[2]Add.fees!$E$7,IF(AND(C11=[2]Add.fees!$G$5),[2]Add.fees!$E$7,IF(AND(C11=[2]Add.fees!$G$6),[2]Add.fees!$F$7,0)))*(H11/L11*K11)</f>
        <v>21519.564573228738</v>
      </c>
      <c r="P11" s="114">
        <f>IF(AND(C11=[2]Add.fees!$G$4),[2]Add.fees!$E$4,IF(AND(C11=[2]Add.fees!$G$5),[2]Add.fees!$E$4,IF(AND(C11=[2]Add.fees!$G$6),[2]Add.fees!$F$4,0)))*(H11/L11*K11)</f>
        <v>5552.0032438670632</v>
      </c>
      <c r="Q11" s="114">
        <f>IF(AND(C11=[2]Add.fees!$G$4),[2]Add.fees!$E$5,IF(AND(C11=[2]Add.fees!$G$5),[2]Add.fees!$E$5,IF(AND(C11=[2]Add.fees!$G$6),[2]Add.fees!$F$5,0)))*(H11/L11*K11)</f>
        <v>20586.828028259071</v>
      </c>
      <c r="R11" s="114">
        <f>IF(AND(C11=[2]Add.fees!$G$4),[2]Add.fees!$E$6,IF(AND(C11=[2]Add.fees!$G$5),[2]Add.fees!$E$6,IF(AND(C11=[2]Add.fees!$G$6),[2]Add.fees!$F$6,0)))*(H11/L11*K11)</f>
        <v>1010.4645903838054</v>
      </c>
      <c r="S11" s="82">
        <v>0</v>
      </c>
      <c r="T11" s="96">
        <f>IF(AND(C11=[2]Add.fees!$G$4,Appendix!D12=[2]Add.fees!$G$8),[2]Add.fees!$E$8,IF(AND(C11=[2]Add.fees!$G$5,Appendix!D12=[2]Add.fees!$G$8),[2]Add.fees!$E$8,IF(AND(C11=[2]Add.fees!$G$6,Appendix!D12=[2]Add.fees!$G$8),[2]Add.fees!$F$8,IF(AND(C11=[2]Add.fees!$G$4,Appendix!D12=[2]Add.fees!$G$9),[2]Add.fees!$E$9,IF(AND(C11=[2]Add.fees!$G$5,Appendix!D12=[2]Add.fees!$G$9),[2]Add.fees!$E$9,IF(AND(C11=[2]Add.fees!$G$6,Appendix!D12=[2]Add.fees!$G$9),[2]Add.fees!$F$9,0))))))*(H11/L11*K11)</f>
        <v>31146.738198094223</v>
      </c>
      <c r="U11" s="114">
        <v>0</v>
      </c>
      <c r="V11" s="114">
        <f t="shared" si="2"/>
        <v>472264.39863383299</v>
      </c>
      <c r="W11" s="115">
        <f t="shared" si="3"/>
        <v>367.15</v>
      </c>
      <c r="X11" s="84">
        <f t="shared" si="4"/>
        <v>2433.1</v>
      </c>
      <c r="Y11" s="85">
        <f t="shared" si="5"/>
        <v>0</v>
      </c>
      <c r="Z11" s="86">
        <f t="shared" si="6"/>
        <v>0</v>
      </c>
      <c r="AC11" s="88">
        <v>7579.2</v>
      </c>
    </row>
    <row r="12" spans="1:29" s="85" customFormat="1" ht="15">
      <c r="A12" s="316"/>
      <c r="B12" s="89" t="s">
        <v>331</v>
      </c>
      <c r="C12" s="90" t="s">
        <v>21</v>
      </c>
      <c r="D12" s="91">
        <v>45124</v>
      </c>
      <c r="E12" s="90" t="s">
        <v>84</v>
      </c>
      <c r="F12" s="112" t="s">
        <v>159</v>
      </c>
      <c r="G12" s="110" t="s">
        <v>90</v>
      </c>
      <c r="H12" s="117">
        <v>23.359000000000002</v>
      </c>
      <c r="I12" s="94">
        <v>4979</v>
      </c>
      <c r="J12" s="76" t="str">
        <f>VLOOKUP(G12,'[2]Vendor list'!$A$3:$D$406,4,0)</f>
        <v>FCA</v>
      </c>
      <c r="K12" s="76">
        <f t="shared" si="0"/>
        <v>1</v>
      </c>
      <c r="L12" s="95">
        <f t="shared" si="1"/>
        <v>64.121000000000009</v>
      </c>
      <c r="M12" s="82">
        <f>VLOOKUP(F12,Appendix!$B$7:$N$1048576,13,0)</f>
        <v>635000</v>
      </c>
      <c r="N12" s="82">
        <f>K12*H12*[2]Add.fees!$F$11</f>
        <v>198317.91</v>
      </c>
      <c r="O12" s="96">
        <f>IF(AND(C12=[2]Add.fees!$G$4),[2]Add.fees!$E$7,IF(AND(C12=[2]Add.fees!$G$5),[2]Add.fees!$E$7,IF(AND(C12=[2]Add.fees!$G$6),[2]Add.fees!$F$7,0)))*(H12/L12*K12)</f>
        <v>70600.492818265455</v>
      </c>
      <c r="P12" s="96">
        <f>IF(AND(C12=[2]Add.fees!$G$4),[2]Add.fees!$E$4,IF(AND(C12=[2]Add.fees!$G$5),[2]Add.fees!$E$4,IF(AND(C12=[2]Add.fees!$G$6),[2]Add.fees!$F$4,0)))*(H12/L12*K12)</f>
        <v>18214.781428861057</v>
      </c>
      <c r="Q12" s="96">
        <f>IF(AND(C12=[2]Add.fees!$G$4),[2]Add.fees!$E$5,IF(AND(C12=[2]Add.fees!$G$5),[2]Add.fees!$E$5,IF(AND(C12=[2]Add.fees!$G$6),[2]Add.fees!$F$5,0)))*(H12/L12*K12)</f>
        <v>67540.409538216802</v>
      </c>
      <c r="R12" s="96">
        <f>IF(AND(C12=[2]Add.fees!$G$4),[2]Add.fees!$E$6,IF(AND(C12=[2]Add.fees!$G$5),[2]Add.fees!$E$6,IF(AND(C12=[2]Add.fees!$G$6),[2]Add.fees!$F$6,0)))*(H12/L12*K12)</f>
        <v>3315.0902200527125</v>
      </c>
      <c r="S12" s="82">
        <v>0</v>
      </c>
      <c r="T12" s="96">
        <f>IF(AND(C12=[2]Add.fees!$G$4,Appendix!D13=[2]Add.fees!$G$8),[2]Add.fees!$E$8,IF(AND(C12=[2]Add.fees!$G$5,Appendix!D13=[2]Add.fees!$G$8),[2]Add.fees!$E$8,IF(AND(C12=[2]Add.fees!$G$6,Appendix!D13=[2]Add.fees!$G$8),[2]Add.fees!$F$8,IF(AND(C12=[2]Add.fees!$G$4,Appendix!D13=[2]Add.fees!$G$9),[2]Add.fees!$E$9,IF(AND(C12=[2]Add.fees!$G$5,Appendix!D13=[2]Add.fees!$G$9),[2]Add.fees!$E$9,IF(AND(C12=[2]Add.fees!$G$6,Appendix!D13=[2]Add.fees!$G$9),[2]Add.fees!$F$9,0))))))*(H12/L12*K12)</f>
        <v>102184.92381591053</v>
      </c>
      <c r="U12" s="96">
        <v>0</v>
      </c>
      <c r="V12" s="96">
        <f t="shared" si="2"/>
        <v>1095173.6078213067</v>
      </c>
      <c r="W12" s="97">
        <f t="shared" si="3"/>
        <v>851.41</v>
      </c>
      <c r="X12" s="84">
        <f t="shared" si="4"/>
        <v>2433.1</v>
      </c>
      <c r="Y12" s="85">
        <f t="shared" si="5"/>
        <v>0</v>
      </c>
      <c r="Z12" s="86">
        <f t="shared" si="6"/>
        <v>0</v>
      </c>
      <c r="AC12" s="88">
        <v>23184</v>
      </c>
    </row>
    <row r="13" spans="1:29" s="85" customFormat="1" ht="15">
      <c r="A13" s="316"/>
      <c r="B13" s="89" t="s">
        <v>331</v>
      </c>
      <c r="C13" s="90" t="s">
        <v>21</v>
      </c>
      <c r="D13" s="91">
        <v>45124</v>
      </c>
      <c r="E13" s="90" t="s">
        <v>84</v>
      </c>
      <c r="F13" s="92" t="s">
        <v>160</v>
      </c>
      <c r="G13" s="110" t="s">
        <v>94</v>
      </c>
      <c r="H13" s="111">
        <v>14.747</v>
      </c>
      <c r="I13" s="94">
        <v>3012</v>
      </c>
      <c r="J13" s="76" t="str">
        <f>VLOOKUP(G13,'[2]Vendor list'!$A$3:$D$406,4,0)</f>
        <v>FCA</v>
      </c>
      <c r="K13" s="76">
        <f t="shared" si="0"/>
        <v>1</v>
      </c>
      <c r="L13" s="95">
        <f t="shared" si="1"/>
        <v>64.121000000000009</v>
      </c>
      <c r="M13" s="82">
        <f>VLOOKUP(F13,Appendix!$B$7:$N$1048576,13,0)</f>
        <v>216500</v>
      </c>
      <c r="N13" s="82">
        <f>K13*H13*[2]Add.fees!$F$11</f>
        <v>125202.03</v>
      </c>
      <c r="O13" s="96">
        <f>IF(AND(C13=[2]Add.fees!$G$4),[2]Add.fees!$E$7,IF(AND(C13=[2]Add.fees!$G$5),[2]Add.fees!$E$7,IF(AND(C13=[2]Add.fees!$G$6),[2]Add.fees!$F$7,0)))*(H13/L13*K13)</f>
        <v>44571.491399073617</v>
      </c>
      <c r="P13" s="96">
        <f>IF(AND(C13=[2]Add.fees!$G$4),[2]Add.fees!$E$4,IF(AND(C13=[2]Add.fees!$G$5),[2]Add.fees!$E$4,IF(AND(C13=[2]Add.fees!$G$6),[2]Add.fees!$F$4,0)))*(H13/L13*K13)</f>
        <v>11499.352786138705</v>
      </c>
      <c r="Q13" s="96">
        <f>IF(AND(C13=[2]Add.fees!$G$4),[2]Add.fees!$E$5,IF(AND(C13=[2]Add.fees!$G$5),[2]Add.fees!$E$5,IF(AND(C13=[2]Add.fees!$G$6),[2]Add.fees!$F$5,0)))*(H13/L13*K13)</f>
        <v>42639.600131002313</v>
      </c>
      <c r="R13" s="96">
        <f>IF(AND(C13=[2]Add.fees!$G$4),[2]Add.fees!$E$6,IF(AND(C13=[2]Add.fees!$G$5),[2]Add.fees!$E$6,IF(AND(C13=[2]Add.fees!$G$6),[2]Add.fees!$F$6,0)))*(H13/L13*K13)</f>
        <v>2092.8822070772444</v>
      </c>
      <c r="S13" s="82">
        <v>0</v>
      </c>
      <c r="T13" s="96">
        <f>IF(AND(C13=[2]Add.fees!$G$4,Appendix!D14=[2]Add.fees!$G$8),[2]Add.fees!$E$8,IF(AND(C13=[2]Add.fees!$G$5,Appendix!D14=[2]Add.fees!$G$8),[2]Add.fees!$E$8,IF(AND(C13=[2]Add.fees!$G$6,Appendix!D14=[2]Add.fees!$G$8),[2]Add.fees!$F$8,IF(AND(C13=[2]Add.fees!$G$4,Appendix!D14=[2]Add.fees!$G$9),[2]Add.fees!$E$9,IF(AND(C13=[2]Add.fees!$G$5,Appendix!D14=[2]Add.fees!$G$9),[2]Add.fees!$E$9,IF(AND(C13=[2]Add.fees!$G$6,Appendix!D14=[2]Add.fees!$G$9),[2]Add.fees!$F$9,0))))))*(H13/L13*K13)</f>
        <v>64511.369130238134</v>
      </c>
      <c r="U13" s="96">
        <v>0</v>
      </c>
      <c r="V13" s="96">
        <f t="shared" si="2"/>
        <v>507016.72565353004</v>
      </c>
      <c r="W13" s="97">
        <f t="shared" si="3"/>
        <v>394.17</v>
      </c>
      <c r="X13" s="84">
        <f t="shared" si="4"/>
        <v>2433.1</v>
      </c>
      <c r="Y13" s="85">
        <f t="shared" si="5"/>
        <v>0</v>
      </c>
      <c r="Z13" s="86">
        <f t="shared" si="6"/>
        <v>0</v>
      </c>
      <c r="AC13" s="88">
        <v>18720</v>
      </c>
    </row>
    <row r="14" spans="1:29" s="85" customFormat="1" ht="15">
      <c r="A14" s="316"/>
      <c r="B14" s="89" t="s">
        <v>331</v>
      </c>
      <c r="C14" s="90" t="s">
        <v>21</v>
      </c>
      <c r="D14" s="91">
        <v>45124</v>
      </c>
      <c r="E14" s="90" t="s">
        <v>84</v>
      </c>
      <c r="F14" s="92" t="s">
        <v>161</v>
      </c>
      <c r="G14" s="110" t="s">
        <v>87</v>
      </c>
      <c r="H14" s="118">
        <v>2.4350000000000001</v>
      </c>
      <c r="I14" s="119">
        <v>549</v>
      </c>
      <c r="J14" s="76" t="str">
        <f>VLOOKUP(G14,'[2]Vendor list'!$A$3:$D$406,4,0)</f>
        <v>FCA</v>
      </c>
      <c r="K14" s="76">
        <f t="shared" si="0"/>
        <v>1</v>
      </c>
      <c r="L14" s="95">
        <f t="shared" si="1"/>
        <v>64.121000000000009</v>
      </c>
      <c r="M14" s="82">
        <f>VLOOKUP(F14,Appendix!$B$7:$N$1048576,13,0)</f>
        <v>119000</v>
      </c>
      <c r="N14" s="82">
        <f>K14*H14*[2]Add.fees!$F$11</f>
        <v>20673.150000000001</v>
      </c>
      <c r="O14" s="96">
        <f>IF(AND(C14=[2]Add.fees!$G$4),[2]Add.fees!$E$7,IF(AND(C14=[2]Add.fees!$G$5),[2]Add.fees!$E$7,IF(AND(C14=[2]Add.fees!$G$6),[2]Add.fees!$F$7,0)))*(H14/L14*K14)</f>
        <v>7359.570187614042</v>
      </c>
      <c r="P14" s="96">
        <f>IF(AND(C14=[2]Add.fees!$G$4),[2]Add.fees!$E$4,IF(AND(C14=[2]Add.fees!$G$5),[2]Add.fees!$E$4,IF(AND(C14=[2]Add.fees!$G$6),[2]Add.fees!$F$4,0)))*(H14/L14*K14)</f>
        <v>1898.7539183730757</v>
      </c>
      <c r="Q14" s="96">
        <f>IF(AND(C14=[2]Add.fees!$G$4),[2]Add.fees!$E$5,IF(AND(C14=[2]Add.fees!$G$5),[2]Add.fees!$E$5,IF(AND(C14=[2]Add.fees!$G$6),[2]Add.fees!$F$5,0)))*(H14/L14*K14)</f>
        <v>7040.579529327365</v>
      </c>
      <c r="R14" s="96">
        <f>IF(AND(C14=[2]Add.fees!$G$4),[2]Add.fees!$E$6,IF(AND(C14=[2]Add.fees!$G$5),[2]Add.fees!$E$6,IF(AND(C14=[2]Add.fees!$G$6),[2]Add.fees!$F$6,0)))*(H14/L14*K14)</f>
        <v>345.57321314389981</v>
      </c>
      <c r="S14" s="82">
        <v>0</v>
      </c>
      <c r="T14" s="96">
        <f>IF(AND(C14=[2]Add.fees!$G$4,Appendix!D15=[2]Add.fees!$G$8),[2]Add.fees!$E$8,IF(AND(C14=[2]Add.fees!$G$5,Appendix!D15=[2]Add.fees!$G$8),[2]Add.fees!$E$8,IF(AND(C14=[2]Add.fees!$G$6,Appendix!D15=[2]Add.fees!$G$8),[2]Add.fees!$F$8,IF(AND(C14=[2]Add.fees!$G$4,Appendix!D15=[2]Add.fees!$G$9),[2]Add.fees!$E$9,IF(AND(C14=[2]Add.fees!$G$5,Appendix!D15=[2]Add.fees!$G$9),[2]Add.fees!$E$9,IF(AND(C14=[2]Add.fees!$G$6,Appendix!D15=[2]Add.fees!$G$9),[2]Add.fees!$F$9,0))))))*(H14/L14*K14)</f>
        <v>10652.009482072956</v>
      </c>
      <c r="U14" s="96">
        <v>0</v>
      </c>
      <c r="V14" s="96">
        <f t="shared" si="2"/>
        <v>166969.63633053133</v>
      </c>
      <c r="W14" s="97">
        <f t="shared" si="3"/>
        <v>129.81</v>
      </c>
      <c r="X14" s="84">
        <f t="shared" si="4"/>
        <v>2433.1</v>
      </c>
      <c r="Y14" s="85">
        <f t="shared" si="5"/>
        <v>0</v>
      </c>
      <c r="Z14" s="86">
        <f t="shared" si="6"/>
        <v>0</v>
      </c>
      <c r="AC14" s="88">
        <v>7520</v>
      </c>
    </row>
    <row r="15" spans="1:29" s="85" customFormat="1" ht="15">
      <c r="A15" s="317"/>
      <c r="B15" s="89" t="s">
        <v>331</v>
      </c>
      <c r="C15" s="90" t="s">
        <v>21</v>
      </c>
      <c r="D15" s="91">
        <v>45124</v>
      </c>
      <c r="E15" s="90" t="s">
        <v>84</v>
      </c>
      <c r="F15" s="92" t="s">
        <v>162</v>
      </c>
      <c r="G15" s="110" t="s">
        <v>87</v>
      </c>
      <c r="H15" s="118">
        <v>8.5239999999999991</v>
      </c>
      <c r="I15" s="119">
        <v>540</v>
      </c>
      <c r="J15" s="76" t="str">
        <f>VLOOKUP(G15,'[2]Vendor list'!$A$3:$D$406,4,0)</f>
        <v>FCA</v>
      </c>
      <c r="K15" s="76">
        <f t="shared" si="0"/>
        <v>1</v>
      </c>
      <c r="L15" s="95">
        <f t="shared" si="1"/>
        <v>64.121000000000009</v>
      </c>
      <c r="M15" s="82">
        <f>VLOOKUP(F15,Appendix!$B$7:$N$1048576,13,0)</f>
        <v>232000</v>
      </c>
      <c r="N15" s="82">
        <f>K15*H15*[2]Add.fees!$F$11</f>
        <v>72368.759999999995</v>
      </c>
      <c r="O15" s="96">
        <f>IF(AND(C15=[2]Add.fees!$G$4),[2]Add.fees!$E$7,IF(AND(C15=[2]Add.fees!$G$5),[2]Add.fees!$E$7,IF(AND(C15=[2]Add.fees!$G$6),[2]Add.fees!$F$7,0)))*(H15/L15*K15)</f>
        <v>25763.029272781139</v>
      </c>
      <c r="P15" s="96">
        <f>IF(AND(C15=[2]Add.fees!$G$4),[2]Add.fees!$E$4,IF(AND(C15=[2]Add.fees!$G$5),[2]Add.fees!$E$4,IF(AND(C15=[2]Add.fees!$G$6),[2]Add.fees!$F$4,0)))*(H15/L15*K15)</f>
        <v>6646.8083779105109</v>
      </c>
      <c r="Q15" s="96">
        <f>IF(AND(C15=[2]Add.fees!$G$4),[2]Add.fees!$E$5,IF(AND(C15=[2]Add.fees!$G$5),[2]Add.fees!$E$5,IF(AND(C15=[2]Add.fees!$G$6),[2]Add.fees!$F$5,0)))*(H15/L15*K15)</f>
        <v>24646.365465292176</v>
      </c>
      <c r="R15" s="96">
        <f>IF(AND(C15=[2]Add.fees!$G$4),[2]Add.fees!$E$6,IF(AND(C15=[2]Add.fees!$G$5),[2]Add.fees!$E$6,IF(AND(C15=[2]Add.fees!$G$6),[2]Add.fees!$F$6,0)))*(H15/L15*K15)</f>
        <v>1209.719124779713</v>
      </c>
      <c r="S15" s="82">
        <v>0</v>
      </c>
      <c r="T15" s="96">
        <f>IF(AND(C15=[2]Add.fees!$G$4,Appendix!D16=[2]Add.fees!$G$8),[2]Add.fees!$E$8,IF(AND(C15=[2]Add.fees!$G$5,Appendix!D16=[2]Add.fees!$G$8),[2]Add.fees!$E$8,IF(AND(C15=[2]Add.fees!$G$6,Appendix!D16=[2]Add.fees!$G$8),[2]Add.fees!$F$8,IF(AND(C15=[2]Add.fees!$G$4,Appendix!D16=[2]Add.fees!$G$9),[2]Add.fees!$E$9,IF(AND(C15=[2]Add.fees!$G$5,Appendix!D16=[2]Add.fees!$G$9),[2]Add.fees!$E$9,IF(AND(C15=[2]Add.fees!$G$6,Appendix!D16=[2]Add.fees!$G$9),[2]Add.fees!$F$9,0))))))*(H15/L15*K15)</f>
        <v>37288.59500007797</v>
      </c>
      <c r="U15" s="96">
        <v>0</v>
      </c>
      <c r="V15" s="96">
        <f t="shared" si="2"/>
        <v>399923.27724084153</v>
      </c>
      <c r="W15" s="97">
        <f t="shared" si="3"/>
        <v>310.91000000000003</v>
      </c>
      <c r="X15" s="84">
        <f t="shared" si="4"/>
        <v>2433.1</v>
      </c>
      <c r="Y15" s="85">
        <f t="shared" si="5"/>
        <v>0</v>
      </c>
      <c r="Z15" s="86">
        <f t="shared" si="6"/>
        <v>0</v>
      </c>
      <c r="AC15" s="88">
        <v>7840</v>
      </c>
    </row>
    <row r="16" spans="1:29" s="85" customFormat="1" ht="15">
      <c r="A16" s="314">
        <v>3</v>
      </c>
      <c r="B16" s="89" t="s">
        <v>332</v>
      </c>
      <c r="C16" s="90" t="s">
        <v>21</v>
      </c>
      <c r="D16" s="91">
        <v>45124</v>
      </c>
      <c r="E16" s="90" t="s">
        <v>84</v>
      </c>
      <c r="F16" s="92" t="s">
        <v>164</v>
      </c>
      <c r="G16" s="110" t="s">
        <v>328</v>
      </c>
      <c r="H16" s="110">
        <v>16.675000000000001</v>
      </c>
      <c r="I16" s="120">
        <v>6875</v>
      </c>
      <c r="J16" s="76" t="str">
        <f>VLOOKUP(G16,'[2]Vendor list'!$A$3:$D$406,4,0)</f>
        <v>FCA</v>
      </c>
      <c r="K16" s="76">
        <f t="shared" si="0"/>
        <v>1</v>
      </c>
      <c r="L16" s="95">
        <f t="shared" si="1"/>
        <v>61.750000000000007</v>
      </c>
      <c r="M16" s="82">
        <f>VLOOKUP(F16,Appendix!$B$7:$N$1048576,13,0)</f>
        <v>376000</v>
      </c>
      <c r="N16" s="82">
        <f>K16*H16*[2]Add.fees!$F$11</f>
        <v>141570.75</v>
      </c>
      <c r="O16" s="96">
        <f>IF(AND(C16=[2]Add.fees!$G$4),[2]Add.fees!$E$7,IF(AND(C16=[2]Add.fees!$G$5),[2]Add.fees!$E$7,IF(AND(C16=[2]Add.fees!$G$6),[2]Add.fees!$F$7,0)))*(H16/L16*K16)</f>
        <v>52333.846153846149</v>
      </c>
      <c r="P16" s="96">
        <f>IF(AND(C16=[2]Add.fees!$G$4),[2]Add.fees!$E$4,IF(AND(C16=[2]Add.fees!$G$5),[2]Add.fees!$E$4,IF(AND(C16=[2]Add.fees!$G$6),[2]Add.fees!$F$4,0)))*(H16/L16*K16)</f>
        <v>13502.024291497974</v>
      </c>
      <c r="Q16" s="96">
        <f>IF(AND(C16=[2]Add.fees!$G$4),[2]Add.fees!$E$5,IF(AND(C16=[2]Add.fees!$G$5),[2]Add.fees!$E$5,IF(AND(C16=[2]Add.fees!$G$6),[2]Add.fees!$F$5,0)))*(H16/L16*K16)</f>
        <v>50065.506072874487</v>
      </c>
      <c r="R16" s="96">
        <f>IF(AND(C16=[2]Add.fees!$G$4),[2]Add.fees!$E$6,IF(AND(C16=[2]Add.fees!$G$5),[2]Add.fees!$E$6,IF(AND(C16=[2]Add.fees!$G$6),[2]Add.fees!$F$6,0)))*(H16/L16*K16)</f>
        <v>2457.3684210526312</v>
      </c>
      <c r="S16" s="82">
        <v>0</v>
      </c>
      <c r="T16" s="96">
        <f>IF(AND(C16=[2]Add.fees!$G$4,Appendix!D17=[2]Add.fees!$G$8),[2]Add.fees!$E$8,IF(AND(C16=[2]Add.fees!$G$5,Appendix!D17=[2]Add.fees!$G$8),[2]Add.fees!$E$8,IF(AND(C16=[2]Add.fees!$G$6,Appendix!D17=[2]Add.fees!$G$8),[2]Add.fees!$F$8,IF(AND(C16=[2]Add.fees!$G$4,Appendix!D17=[2]Add.fees!$G$9),[2]Add.fees!$E$9,IF(AND(C16=[2]Add.fees!$G$5,Appendix!D17=[2]Add.fees!$G$9),[2]Add.fees!$E$9,IF(AND(C16=[2]Add.fees!$G$6,Appendix!D17=[2]Add.fees!$G$9),[2]Add.fees!$F$9,0))))))*(H16/L16*K16)</f>
        <v>75746.356275303639</v>
      </c>
      <c r="U16" s="96">
        <v>0</v>
      </c>
      <c r="V16" s="96">
        <f t="shared" si="2"/>
        <v>711675.85121457488</v>
      </c>
      <c r="W16" s="97">
        <f t="shared" si="3"/>
        <v>553.27</v>
      </c>
      <c r="X16" s="84">
        <f t="shared" si="4"/>
        <v>2101.41</v>
      </c>
      <c r="Y16" s="85">
        <f t="shared" si="5"/>
        <v>1</v>
      </c>
      <c r="Z16" s="86">
        <f t="shared" si="6"/>
        <v>2101.41</v>
      </c>
      <c r="AC16" s="88">
        <v>48575.999999999993</v>
      </c>
    </row>
    <row r="17" spans="1:29" s="85" customFormat="1" ht="15">
      <c r="A17" s="316"/>
      <c r="B17" s="89" t="s">
        <v>332</v>
      </c>
      <c r="C17" s="90" t="s">
        <v>21</v>
      </c>
      <c r="D17" s="91">
        <v>45124</v>
      </c>
      <c r="E17" s="90" t="s">
        <v>84</v>
      </c>
      <c r="F17" s="92" t="s">
        <v>165</v>
      </c>
      <c r="G17" s="110" t="s">
        <v>328</v>
      </c>
      <c r="H17" s="117">
        <v>16.864000000000001</v>
      </c>
      <c r="I17" s="94">
        <v>6035</v>
      </c>
      <c r="J17" s="76" t="str">
        <f>VLOOKUP(G17,'[2]Vendor list'!$A$3:$D$406,4,0)</f>
        <v>FCA</v>
      </c>
      <c r="K17" s="76">
        <f t="shared" si="0"/>
        <v>1</v>
      </c>
      <c r="L17" s="95">
        <f t="shared" si="1"/>
        <v>61.750000000000007</v>
      </c>
      <c r="M17" s="82">
        <f>VLOOKUP(F17,Appendix!$B$7:$N$1048576,13,0)</f>
        <v>376000</v>
      </c>
      <c r="N17" s="82">
        <f>K17*H17*[2]Add.fees!$F$11</f>
        <v>143175.36000000002</v>
      </c>
      <c r="O17" s="96">
        <f>IF(AND(C17=[2]Add.fees!$G$4),[2]Add.fees!$E$7,IF(AND(C17=[2]Add.fees!$G$5),[2]Add.fees!$E$7,IF(AND(C17=[2]Add.fees!$G$6),[2]Add.fees!$F$7,0)))*(H17/L17*K17)</f>
        <v>52927.015384615384</v>
      </c>
      <c r="P17" s="96">
        <f>IF(AND(C17=[2]Add.fees!$G$4),[2]Add.fees!$E$4,IF(AND(C17=[2]Add.fees!$G$5),[2]Add.fees!$E$4,IF(AND(C17=[2]Add.fees!$G$6),[2]Add.fees!$F$4,0)))*(H17/L17*K17)</f>
        <v>13655.060728744938</v>
      </c>
      <c r="Q17" s="96">
        <f>IF(AND(C17=[2]Add.fees!$G$4),[2]Add.fees!$E$5,IF(AND(C17=[2]Add.fees!$G$5),[2]Add.fees!$E$5,IF(AND(C17=[2]Add.fees!$G$6),[2]Add.fees!$F$5,0)))*(H17/L17*K17)</f>
        <v>50632.965182186235</v>
      </c>
      <c r="R17" s="96">
        <f>IF(AND(C17=[2]Add.fees!$G$4),[2]Add.fees!$E$6,IF(AND(C17=[2]Add.fees!$G$5),[2]Add.fees!$E$6,IF(AND(C17=[2]Add.fees!$G$6),[2]Add.fees!$F$6,0)))*(H17/L17*K17)</f>
        <v>2485.2210526315789</v>
      </c>
      <c r="S17" s="82">
        <v>0</v>
      </c>
      <c r="T17" s="96">
        <f>IF(AND(C17=[2]Add.fees!$G$4,Appendix!D18=[2]Add.fees!$G$8),[2]Add.fees!$E$8,IF(AND(C17=[2]Add.fees!$G$5,Appendix!D18=[2]Add.fees!$G$8),[2]Add.fees!$E$8,IF(AND(C17=[2]Add.fees!$G$6,Appendix!D18=[2]Add.fees!$G$8),[2]Add.fees!$F$8,IF(AND(C17=[2]Add.fees!$G$4,Appendix!D18=[2]Add.fees!$G$9),[2]Add.fees!$E$9,IF(AND(C17=[2]Add.fees!$G$5,Appendix!D18=[2]Add.fees!$G$9),[2]Add.fees!$E$9,IF(AND(C17=[2]Add.fees!$G$6,Appendix!D18=[2]Add.fees!$G$9),[2]Add.fees!$F$9,0))))))*(H17/L17*K17)</f>
        <v>76604.890688259111</v>
      </c>
      <c r="U17" s="96">
        <v>0</v>
      </c>
      <c r="V17" s="96">
        <f t="shared" si="2"/>
        <v>715480.51303643733</v>
      </c>
      <c r="W17" s="97">
        <f t="shared" si="3"/>
        <v>556.23</v>
      </c>
      <c r="X17" s="84">
        <f t="shared" si="4"/>
        <v>2101.41</v>
      </c>
      <c r="Y17" s="85">
        <f t="shared" si="5"/>
        <v>0</v>
      </c>
      <c r="Z17" s="86">
        <f t="shared" si="6"/>
        <v>0</v>
      </c>
      <c r="AC17" s="88">
        <v>36360.959999999999</v>
      </c>
    </row>
    <row r="18" spans="1:29" s="85" customFormat="1" ht="15">
      <c r="A18" s="316"/>
      <c r="B18" s="89" t="s">
        <v>332</v>
      </c>
      <c r="C18" s="90" t="s">
        <v>21</v>
      </c>
      <c r="D18" s="91">
        <v>45124</v>
      </c>
      <c r="E18" s="90" t="s">
        <v>84</v>
      </c>
      <c r="F18" s="92" t="s">
        <v>166</v>
      </c>
      <c r="G18" s="110" t="s">
        <v>328</v>
      </c>
      <c r="H18" s="93">
        <v>16.864000000000001</v>
      </c>
      <c r="I18" s="94">
        <v>6035</v>
      </c>
      <c r="J18" s="76" t="str">
        <f>VLOOKUP(G18,'[2]Vendor list'!$A$3:$D$406,4,0)</f>
        <v>FCA</v>
      </c>
      <c r="K18" s="76">
        <f t="shared" si="0"/>
        <v>1</v>
      </c>
      <c r="L18" s="95">
        <f t="shared" si="1"/>
        <v>61.750000000000007</v>
      </c>
      <c r="M18" s="82">
        <f>VLOOKUP(F18,Appendix!$B$7:$N$1048576,13,0)</f>
        <v>376000</v>
      </c>
      <c r="N18" s="82">
        <f>K18*H18*[2]Add.fees!$F$11</f>
        <v>143175.36000000002</v>
      </c>
      <c r="O18" s="96">
        <f>IF(AND(C18=[2]Add.fees!$G$4),[2]Add.fees!$E$7,IF(AND(C18=[2]Add.fees!$G$5),[2]Add.fees!$E$7,IF(AND(C18=[2]Add.fees!$G$6),[2]Add.fees!$F$7,0)))*(H18/L18*K18)</f>
        <v>52927.015384615384</v>
      </c>
      <c r="P18" s="96">
        <f>IF(AND(C18=[2]Add.fees!$G$4),[2]Add.fees!$E$4,IF(AND(C18=[2]Add.fees!$G$5),[2]Add.fees!$E$4,IF(AND(C18=[2]Add.fees!$G$6),[2]Add.fees!$F$4,0)))*(H18/L18*K18)</f>
        <v>13655.060728744938</v>
      </c>
      <c r="Q18" s="96">
        <f>IF(AND(C18=[2]Add.fees!$G$4),[2]Add.fees!$E$5,IF(AND(C18=[2]Add.fees!$G$5),[2]Add.fees!$E$5,IF(AND(C18=[2]Add.fees!$G$6),[2]Add.fees!$F$5,0)))*(H18/L18*K18)</f>
        <v>50632.965182186235</v>
      </c>
      <c r="R18" s="96">
        <f>IF(AND(C18=[2]Add.fees!$G$4),[2]Add.fees!$E$6,IF(AND(C18=[2]Add.fees!$G$5),[2]Add.fees!$E$6,IF(AND(C18=[2]Add.fees!$G$6),[2]Add.fees!$F$6,0)))*(H18/L18*K18)</f>
        <v>2485.2210526315789</v>
      </c>
      <c r="S18" s="82">
        <v>0</v>
      </c>
      <c r="T18" s="96">
        <f>IF(AND(C18=[2]Add.fees!$G$4,Appendix!D19=[2]Add.fees!$G$8),[2]Add.fees!$E$8,IF(AND(C18=[2]Add.fees!$G$5,Appendix!D19=[2]Add.fees!$G$8),[2]Add.fees!$E$8,IF(AND(C18=[2]Add.fees!$G$6,Appendix!D19=[2]Add.fees!$G$8),[2]Add.fees!$F$8,IF(AND(C18=[2]Add.fees!$G$4,Appendix!D19=[2]Add.fees!$G$9),[2]Add.fees!$E$9,IF(AND(C18=[2]Add.fees!$G$5,Appendix!D19=[2]Add.fees!$G$9),[2]Add.fees!$E$9,IF(AND(C18=[2]Add.fees!$G$6,Appendix!D19=[2]Add.fees!$G$9),[2]Add.fees!$F$9,0))))))*(H18/L18*K18)</f>
        <v>76604.890688259111</v>
      </c>
      <c r="U18" s="96">
        <v>0</v>
      </c>
      <c r="V18" s="96">
        <f t="shared" si="2"/>
        <v>715480.51303643733</v>
      </c>
      <c r="W18" s="97">
        <f t="shared" si="3"/>
        <v>556.23</v>
      </c>
      <c r="X18" s="84">
        <f t="shared" si="4"/>
        <v>2101.41</v>
      </c>
      <c r="Y18" s="85">
        <f t="shared" si="5"/>
        <v>0</v>
      </c>
      <c r="Z18" s="86">
        <f t="shared" si="6"/>
        <v>0</v>
      </c>
      <c r="AC18" s="88">
        <v>31244.639999999999</v>
      </c>
    </row>
    <row r="19" spans="1:29" s="85" customFormat="1" ht="15">
      <c r="A19" s="317"/>
      <c r="B19" s="89" t="s">
        <v>332</v>
      </c>
      <c r="C19" s="90" t="s">
        <v>21</v>
      </c>
      <c r="D19" s="91">
        <v>45124</v>
      </c>
      <c r="E19" s="90" t="s">
        <v>84</v>
      </c>
      <c r="F19" s="92" t="s">
        <v>167</v>
      </c>
      <c r="G19" s="110" t="s">
        <v>328</v>
      </c>
      <c r="H19" s="93">
        <v>11.347</v>
      </c>
      <c r="I19" s="94">
        <v>4658</v>
      </c>
      <c r="J19" s="76" t="str">
        <f>VLOOKUP(G19,'[2]Vendor list'!$A$3:$D$406,4,0)</f>
        <v>FCA</v>
      </c>
      <c r="K19" s="76">
        <f t="shared" si="0"/>
        <v>1</v>
      </c>
      <c r="L19" s="95">
        <f t="shared" si="1"/>
        <v>61.750000000000007</v>
      </c>
      <c r="M19" s="82">
        <f>VLOOKUP(F19,Appendix!$B$7:$N$1048576,13,0)</f>
        <v>332000</v>
      </c>
      <c r="N19" s="82">
        <f>K19*H19*[2]Add.fees!$F$11</f>
        <v>96336.03</v>
      </c>
      <c r="O19" s="96">
        <f>IF(AND(C19=[2]Add.fees!$G$4),[2]Add.fees!$E$7,IF(AND(C19=[2]Add.fees!$G$5),[2]Add.fees!$E$7,IF(AND(C19=[2]Add.fees!$G$6),[2]Add.fees!$F$7,0)))*(H19/L19*K19)</f>
        <v>35612.123076923068</v>
      </c>
      <c r="P19" s="96">
        <f>IF(AND(C19=[2]Add.fees!$G$4),[2]Add.fees!$E$4,IF(AND(C19=[2]Add.fees!$G$5),[2]Add.fees!$E$4,IF(AND(C19=[2]Add.fees!$G$6),[2]Add.fees!$F$4,0)))*(H19/L19*K19)</f>
        <v>9187.8542510121442</v>
      </c>
      <c r="Q19" s="96">
        <f>IF(AND(C19=[2]Add.fees!$G$4),[2]Add.fees!$E$5,IF(AND(C19=[2]Add.fees!$G$5),[2]Add.fees!$E$5,IF(AND(C19=[2]Add.fees!$G$6),[2]Add.fees!$F$5,0)))*(H19/L19*K19)</f>
        <v>34068.563562753028</v>
      </c>
      <c r="R19" s="96">
        <f>IF(AND(C19=[2]Add.fees!$G$4),[2]Add.fees!$E$6,IF(AND(C19=[2]Add.fees!$G$5),[2]Add.fees!$E$6,IF(AND(C19=[2]Add.fees!$G$6),[2]Add.fees!$F$6,0)))*(H19/L19*K19)</f>
        <v>1672.1894736842103</v>
      </c>
      <c r="S19" s="82">
        <v>0</v>
      </c>
      <c r="T19" s="96">
        <f>IF(AND(C19=[2]Add.fees!$G$4,Appendix!D20=[2]Add.fees!$G$8),[2]Add.fees!$E$8,IF(AND(C19=[2]Add.fees!$G$5,Appendix!D20=[2]Add.fees!$G$8),[2]Add.fees!$E$8,IF(AND(C19=[2]Add.fees!$G$6,Appendix!D20=[2]Add.fees!$G$8),[2]Add.fees!$F$8,IF(AND(C19=[2]Add.fees!$G$4,Appendix!D20=[2]Add.fees!$G$9),[2]Add.fees!$E$9,IF(AND(C19=[2]Add.fees!$G$5,Appendix!D20=[2]Add.fees!$G$9),[2]Add.fees!$E$9,IF(AND(C19=[2]Add.fees!$G$6,Appendix!D20=[2]Add.fees!$G$9),[2]Add.fees!$F$9,0))))))*(H19/L19*K19)</f>
        <v>51543.862348178125</v>
      </c>
      <c r="U19" s="96">
        <v>0</v>
      </c>
      <c r="V19" s="96">
        <f t="shared" si="2"/>
        <v>560420.62271255068</v>
      </c>
      <c r="W19" s="97">
        <f t="shared" si="3"/>
        <v>435.68</v>
      </c>
      <c r="X19" s="84">
        <f t="shared" si="4"/>
        <v>2101.41</v>
      </c>
      <c r="Y19" s="85">
        <f t="shared" si="5"/>
        <v>0</v>
      </c>
      <c r="Z19" s="86">
        <f t="shared" si="6"/>
        <v>0</v>
      </c>
      <c r="AC19" s="121">
        <v>33594.720000000001</v>
      </c>
    </row>
    <row r="20" spans="1:29" s="85" customFormat="1" ht="15">
      <c r="A20" s="314">
        <v>4</v>
      </c>
      <c r="B20" s="89" t="s">
        <v>333</v>
      </c>
      <c r="C20" s="90" t="s">
        <v>21</v>
      </c>
      <c r="D20" s="91">
        <v>45124</v>
      </c>
      <c r="E20" s="90" t="s">
        <v>84</v>
      </c>
      <c r="F20" s="92" t="s">
        <v>169</v>
      </c>
      <c r="G20" s="92" t="s">
        <v>328</v>
      </c>
      <c r="H20" s="111">
        <v>28.48</v>
      </c>
      <c r="I20" s="94">
        <v>4744</v>
      </c>
      <c r="J20" s="76" t="str">
        <f>VLOOKUP(G20,'[2]Vendor list'!$A$3:$D$406,4,0)</f>
        <v>FCA</v>
      </c>
      <c r="K20" s="76">
        <f t="shared" si="0"/>
        <v>1</v>
      </c>
      <c r="L20" s="95">
        <f t="shared" si="1"/>
        <v>59.96</v>
      </c>
      <c r="M20" s="82">
        <f>VLOOKUP(F20,Appendix!$B$7:$N$1048576,13,0)</f>
        <v>392000</v>
      </c>
      <c r="N20" s="82">
        <f>K20*H20*[2]Add.fees!$F$11</f>
        <v>241795.20000000001</v>
      </c>
      <c r="O20" s="96">
        <f>IF(AND(C20=[2]Add.fees!$G$4),[2]Add.fees!$E$7,IF(AND(C20=[2]Add.fees!$G$5),[2]Add.fees!$E$7,IF(AND(C20=[2]Add.fees!$G$6),[2]Add.fees!$F$7,0)))*(H20/L20*K20)</f>
        <v>92051.767845230148</v>
      </c>
      <c r="P20" s="96">
        <f>IF(AND(C20=[2]Add.fees!$G$4),[2]Add.fees!$E$4,IF(AND(C20=[2]Add.fees!$G$5),[2]Add.fees!$E$4,IF(AND(C20=[2]Add.fees!$G$6),[2]Add.fees!$F$4,0)))*(H20/L20*K20)</f>
        <v>23749.166110740494</v>
      </c>
      <c r="Q20" s="96">
        <f>IF(AND(C20=[2]Add.fees!$G$4),[2]Add.fees!$E$5,IF(AND(C20=[2]Add.fees!$G$5),[2]Add.fees!$E$5,IF(AND(C20=[2]Add.fees!$G$6),[2]Add.fees!$F$5,0)))*(H20/L20*K20)</f>
        <v>88061.907938625751</v>
      </c>
      <c r="R20" s="96">
        <f>IF(AND(C20=[2]Add.fees!$G$4),[2]Add.fees!$E$6,IF(AND(C20=[2]Add.fees!$G$5),[2]Add.fees!$E$6,IF(AND(C20=[2]Add.fees!$G$6),[2]Add.fees!$F$6,0)))*(H20/L20*K20)</f>
        <v>4322.3482321547699</v>
      </c>
      <c r="S20" s="82">
        <v>0</v>
      </c>
      <c r="T20" s="96">
        <f>IF(AND(C20=[2]Add.fees!$G$4,Appendix!D21=[2]Add.fees!$G$8),[2]Add.fees!$E$8,IF(AND(C20=[2]Add.fees!$G$5,Appendix!D21=[2]Add.fees!$G$8),[2]Add.fees!$E$8,IF(AND(C20=[2]Add.fees!$G$6,Appendix!D21=[2]Add.fees!$G$8),[2]Add.fees!$F$8,IF(AND(C20=[2]Add.fees!$G$4,Appendix!D21=[2]Add.fees!$G$9),[2]Add.fees!$E$9,IF(AND(C20=[2]Add.fees!$G$5,Appendix!D21=[2]Add.fees!$G$9),[2]Add.fees!$E$9,IF(AND(C20=[2]Add.fees!$G$6,Appendix!D21=[2]Add.fees!$G$9),[2]Add.fees!$F$9,0))))))*(H20/L20*K20)</f>
        <v>133232.82188125417</v>
      </c>
      <c r="U20" s="96">
        <v>0</v>
      </c>
      <c r="V20" s="96">
        <f t="shared" si="2"/>
        <v>975213.21200800536</v>
      </c>
      <c r="W20" s="97">
        <f t="shared" si="3"/>
        <v>758.15</v>
      </c>
      <c r="X20" s="84">
        <f t="shared" si="4"/>
        <v>1539.02</v>
      </c>
      <c r="Y20" s="85">
        <f t="shared" si="5"/>
        <v>1</v>
      </c>
      <c r="Z20" s="86">
        <f t="shared" si="6"/>
        <v>1539.02</v>
      </c>
      <c r="AC20" s="88">
        <v>30316.799999999999</v>
      </c>
    </row>
    <row r="21" spans="1:29" s="85" customFormat="1" ht="15">
      <c r="A21" s="316"/>
      <c r="B21" s="89" t="s">
        <v>333</v>
      </c>
      <c r="C21" s="90" t="s">
        <v>21</v>
      </c>
      <c r="D21" s="91">
        <v>45124</v>
      </c>
      <c r="E21" s="90" t="s">
        <v>84</v>
      </c>
      <c r="F21" s="92" t="s">
        <v>170</v>
      </c>
      <c r="G21" s="90" t="s">
        <v>328</v>
      </c>
      <c r="H21" s="111">
        <v>29.907</v>
      </c>
      <c r="I21" s="122">
        <v>4555.82</v>
      </c>
      <c r="J21" s="76" t="str">
        <f>VLOOKUP(G21,'[2]Vendor list'!$A$3:$D$406,4,0)</f>
        <v>FCA</v>
      </c>
      <c r="K21" s="76">
        <f t="shared" si="0"/>
        <v>1</v>
      </c>
      <c r="L21" s="95">
        <f t="shared" si="1"/>
        <v>59.96</v>
      </c>
      <c r="M21" s="82">
        <f>VLOOKUP(F21,Appendix!$B$7:$N$1048576,13,0)</f>
        <v>392000</v>
      </c>
      <c r="N21" s="82">
        <f>K21*H21*[2]Add.fees!$F$11</f>
        <v>253910.43</v>
      </c>
      <c r="O21" s="96">
        <f>IF(AND(C21=[2]Add.fees!$G$4),[2]Add.fees!$E$7,IF(AND(C21=[2]Add.fees!$G$5),[2]Add.fees!$E$7,IF(AND(C21=[2]Add.fees!$G$6),[2]Add.fees!$F$7,0)))*(H21/L21*K21)</f>
        <v>96664.052701801207</v>
      </c>
      <c r="P21" s="96">
        <f>IF(AND(C21=[2]Add.fees!$G$4),[2]Add.fees!$E$4,IF(AND(C21=[2]Add.fees!$G$5),[2]Add.fees!$E$4,IF(AND(C21=[2]Add.fees!$G$6),[2]Add.fees!$F$4,0)))*(H21/L21*K21)</f>
        <v>24939.126084056039</v>
      </c>
      <c r="Q21" s="96">
        <f>IF(AND(C21=[2]Add.fees!$G$4),[2]Add.fees!$E$5,IF(AND(C21=[2]Add.fees!$G$5),[2]Add.fees!$E$5,IF(AND(C21=[2]Add.fees!$G$6),[2]Add.fees!$F$5,0)))*(H21/L21*K21)</f>
        <v>92474.279519679782</v>
      </c>
      <c r="R21" s="96">
        <f>IF(AND(C21=[2]Add.fees!$G$4),[2]Add.fees!$E$6,IF(AND(C21=[2]Add.fees!$G$5),[2]Add.fees!$E$6,IF(AND(C21=[2]Add.fees!$G$6),[2]Add.fees!$F$6,0)))*(H21/L21*K21)</f>
        <v>4538.9209472981984</v>
      </c>
      <c r="S21" s="82">
        <v>0</v>
      </c>
      <c r="T21" s="96">
        <f>IF(AND(C21=[2]Add.fees!$G$4,Appendix!D22=[2]Add.fees!$G$8),[2]Add.fees!$E$8,IF(AND(C21=[2]Add.fees!$G$5,Appendix!D22=[2]Add.fees!$G$8),[2]Add.fees!$E$8,IF(AND(C21=[2]Add.fees!$G$6,Appendix!D22=[2]Add.fees!$G$8),[2]Add.fees!$F$8,IF(AND(C21=[2]Add.fees!$G$4,Appendix!D22=[2]Add.fees!$G$9),[2]Add.fees!$E$9,IF(AND(C21=[2]Add.fees!$G$5,Appendix!D22=[2]Add.fees!$G$9),[2]Add.fees!$E$9,IF(AND(C21=[2]Add.fees!$G$6,Appendix!D22=[2]Add.fees!$G$9),[2]Add.fees!$F$9,0))))))*(H21/L21*K21)</f>
        <v>139908.49733155436</v>
      </c>
      <c r="U21" s="96">
        <v>0</v>
      </c>
      <c r="V21" s="96">
        <f t="shared" si="2"/>
        <v>1004435.3065843894</v>
      </c>
      <c r="W21" s="97">
        <f t="shared" si="3"/>
        <v>780.87</v>
      </c>
      <c r="X21" s="84">
        <f t="shared" si="4"/>
        <v>1539.02</v>
      </c>
      <c r="Y21" s="85">
        <f t="shared" si="5"/>
        <v>0</v>
      </c>
      <c r="Z21" s="86">
        <f t="shared" si="6"/>
        <v>0</v>
      </c>
      <c r="AC21" s="88">
        <v>56558.879999999997</v>
      </c>
    </row>
    <row r="22" spans="1:29" s="108" customFormat="1" ht="15">
      <c r="A22" s="325"/>
      <c r="B22" s="98" t="s">
        <v>333</v>
      </c>
      <c r="C22" s="99" t="s">
        <v>21</v>
      </c>
      <c r="D22" s="100">
        <v>45124</v>
      </c>
      <c r="E22" s="99" t="s">
        <v>84</v>
      </c>
      <c r="F22" s="101" t="s">
        <v>171</v>
      </c>
      <c r="G22" s="123" t="s">
        <v>334</v>
      </c>
      <c r="H22" s="102">
        <v>1.573</v>
      </c>
      <c r="I22" s="103">
        <v>1020</v>
      </c>
      <c r="J22" s="76" t="str">
        <f>VLOOKUP(G22,'[2]Vendor list'!$A$3:$D$406,4,0)</f>
        <v>FOB</v>
      </c>
      <c r="K22" s="76">
        <f t="shared" si="0"/>
        <v>0</v>
      </c>
      <c r="L22" s="95">
        <f t="shared" si="1"/>
        <v>59.96</v>
      </c>
      <c r="M22" s="104">
        <f>VLOOKUP(F22,Appendix!$B$7:$N$1048576,13,0)</f>
        <v>0</v>
      </c>
      <c r="N22" s="104">
        <f>K22*H22*[2]Add.fees!$F$11</f>
        <v>0</v>
      </c>
      <c r="O22" s="105">
        <f>IF(AND(C22=[2]Add.fees!$G$4),[2]Add.fees!$E$7,IF(AND(C22=[2]Add.fees!$G$5),[2]Add.fees!$E$7,IF(AND(C22=[2]Add.fees!$G$6),[2]Add.fees!$F$7,0)))*(H22/L22*K22)</f>
        <v>0</v>
      </c>
      <c r="P22" s="105">
        <f>IF(AND(C22=[2]Add.fees!$G$4),[2]Add.fees!$E$4,IF(AND(C22=[2]Add.fees!$G$5),[2]Add.fees!$E$4,IF(AND(C22=[2]Add.fees!$G$6),[2]Add.fees!$F$4,0)))*(H22/L22*K22)</f>
        <v>0</v>
      </c>
      <c r="Q22" s="105">
        <f>IF(AND(C22=[2]Add.fees!$G$4),[2]Add.fees!$E$5,IF(AND(C22=[2]Add.fees!$G$5),[2]Add.fees!$E$5,IF(AND(C22=[2]Add.fees!$G$6),[2]Add.fees!$F$5,0)))*(H22/L22*K22)</f>
        <v>0</v>
      </c>
      <c r="R22" s="105">
        <f>IF(AND(C22=[2]Add.fees!$G$4),[2]Add.fees!$E$6,IF(AND(C22=[2]Add.fees!$G$5),[2]Add.fees!$E$6,IF(AND(C22=[2]Add.fees!$G$6),[2]Add.fees!$F$6,0)))*(H22/L22*K22)</f>
        <v>0</v>
      </c>
      <c r="S22" s="104">
        <v>0</v>
      </c>
      <c r="T22" s="105">
        <f>IF(AND(C22=[2]Add.fees!$G$4,Appendix!D23=[2]Add.fees!$G$8),[2]Add.fees!$E$8,IF(AND(C22=[2]Add.fees!$G$5,Appendix!D23=[2]Add.fees!$G$8),[2]Add.fees!$E$8,IF(AND(C22=[2]Add.fees!$G$6,Appendix!D23=[2]Add.fees!$G$8),[2]Add.fees!$F$8,IF(AND(C22=[2]Add.fees!$G$4,Appendix!D23=[2]Add.fees!$G$9),[2]Add.fees!$E$9,IF(AND(C22=[2]Add.fees!$G$5,Appendix!D23=[2]Add.fees!$G$9),[2]Add.fees!$E$9,IF(AND(C22=[2]Add.fees!$G$6,Appendix!D23=[2]Add.fees!$G$9),[2]Add.fees!$F$9,0))))))*(H22/L22*K22)</f>
        <v>0</v>
      </c>
      <c r="U22" s="105">
        <v>0</v>
      </c>
      <c r="V22" s="105">
        <f t="shared" si="2"/>
        <v>0</v>
      </c>
      <c r="W22" s="106">
        <f t="shared" si="3"/>
        <v>0</v>
      </c>
      <c r="X22" s="84">
        <f t="shared" si="4"/>
        <v>1539.02</v>
      </c>
      <c r="Y22" s="85">
        <f t="shared" si="5"/>
        <v>0</v>
      </c>
      <c r="Z22" s="107">
        <f t="shared" si="6"/>
        <v>0</v>
      </c>
      <c r="AC22" s="109">
        <v>3580</v>
      </c>
    </row>
    <row r="23" spans="1:29" s="85" customFormat="1" ht="15">
      <c r="A23" s="314">
        <v>5</v>
      </c>
      <c r="B23" s="89" t="s">
        <v>335</v>
      </c>
      <c r="C23" s="90" t="s">
        <v>21</v>
      </c>
      <c r="D23" s="91">
        <v>45124</v>
      </c>
      <c r="E23" s="90" t="s">
        <v>84</v>
      </c>
      <c r="F23" s="92" t="s">
        <v>174</v>
      </c>
      <c r="G23" s="90" t="s">
        <v>328</v>
      </c>
      <c r="H23" s="111">
        <v>54.834000000000003</v>
      </c>
      <c r="I23" s="122">
        <v>7091.1</v>
      </c>
      <c r="J23" s="76" t="str">
        <f>VLOOKUP(G23,'[2]Vendor list'!$A$3:$D$406,4,0)</f>
        <v>FCA</v>
      </c>
      <c r="K23" s="76">
        <f t="shared" si="0"/>
        <v>1</v>
      </c>
      <c r="L23" s="95">
        <f t="shared" si="1"/>
        <v>57.206000000000003</v>
      </c>
      <c r="M23" s="82">
        <f>VLOOKUP(F23,Appendix!$B$7:$N$1048576,13,0)</f>
        <v>784000</v>
      </c>
      <c r="N23" s="82">
        <f>K23*H23*[2]Add.fees!$F$11</f>
        <v>465540.66000000003</v>
      </c>
      <c r="O23" s="96">
        <f>IF(AND(C23=[2]Add.fees!$G$4),[2]Add.fees!$E$7,IF(AND(C23=[2]Add.fees!$G$5),[2]Add.fees!$E$7,IF(AND(C23=[2]Add.fees!$G$6),[2]Add.fees!$F$7,0)))*(H23/L23*K23)</f>
        <v>185764.24151312801</v>
      </c>
      <c r="P23" s="96">
        <f>IF(AND(C23=[2]Add.fees!$G$4),[2]Add.fees!$E$4,IF(AND(C23=[2]Add.fees!$G$5),[2]Add.fees!$E$4,IF(AND(C23=[2]Add.fees!$G$6),[2]Add.fees!$F$4,0)))*(H23/L23*K23)</f>
        <v>47926.790896059858</v>
      </c>
      <c r="Q23" s="96">
        <f>IF(AND(C23=[2]Add.fees!$G$4),[2]Add.fees!$E$5,IF(AND(C23=[2]Add.fees!$G$5),[2]Add.fees!$E$5,IF(AND(C23=[2]Add.fees!$G$6),[2]Add.fees!$F$5,0)))*(H23/L23*K23)</f>
        <v>177712.54064258994</v>
      </c>
      <c r="R23" s="96">
        <f>IF(AND(C23=[2]Add.fees!$G$4),[2]Add.fees!$E$6,IF(AND(C23=[2]Add.fees!$G$5),[2]Add.fees!$E$6,IF(AND(C23=[2]Add.fees!$G$6),[2]Add.fees!$F$6,0)))*(H23/L23*K23)</f>
        <v>8722.6759430828934</v>
      </c>
      <c r="S23" s="82">
        <v>0</v>
      </c>
      <c r="T23" s="96">
        <f>IF(AND(C23=[2]Add.fees!$G$4,Appendix!D24=[2]Add.fees!$G$8),[2]Add.fees!$E$8,IF(AND(C23=[2]Add.fees!$G$5,Appendix!D24=[2]Add.fees!$G$8),[2]Add.fees!$E$8,IF(AND(C23=[2]Add.fees!$G$6,Appendix!D24=[2]Add.fees!$G$8),[2]Add.fees!$F$8,IF(AND(C23=[2]Add.fees!$G$4,Appendix!D24=[2]Add.fees!$G$9),[2]Add.fees!$E$9,IF(AND(C23=[2]Add.fees!$G$5,Appendix!D24=[2]Add.fees!$G$9),[2]Add.fees!$E$9,IF(AND(C23=[2]Add.fees!$G$6,Appendix!D24=[2]Add.fees!$G$9),[2]Add.fees!$F$9,0))))))*(H23/L23*K23)</f>
        <v>268869.2969268958</v>
      </c>
      <c r="U23" s="96">
        <v>0</v>
      </c>
      <c r="V23" s="96">
        <f t="shared" si="2"/>
        <v>1938536.2059217568</v>
      </c>
      <c r="W23" s="97">
        <f t="shared" si="3"/>
        <v>1507.06</v>
      </c>
      <c r="X23" s="84">
        <f t="shared" si="4"/>
        <v>1726.25</v>
      </c>
      <c r="Y23" s="85">
        <f t="shared" si="5"/>
        <v>1</v>
      </c>
      <c r="Z23" s="86">
        <f t="shared" si="6"/>
        <v>1726.25</v>
      </c>
      <c r="AC23" s="88">
        <v>59243.519999999997</v>
      </c>
    </row>
    <row r="24" spans="1:29" s="85" customFormat="1" ht="15">
      <c r="A24" s="317"/>
      <c r="B24" s="89" t="s">
        <v>335</v>
      </c>
      <c r="C24" s="90" t="s">
        <v>21</v>
      </c>
      <c r="D24" s="91">
        <v>45124</v>
      </c>
      <c r="E24" s="90" t="s">
        <v>84</v>
      </c>
      <c r="F24" s="92" t="s">
        <v>175</v>
      </c>
      <c r="G24" s="90" t="s">
        <v>328</v>
      </c>
      <c r="H24" s="111">
        <v>2.3719999999999999</v>
      </c>
      <c r="I24" s="94">
        <v>770</v>
      </c>
      <c r="J24" s="76" t="str">
        <f>VLOOKUP(G24,'[2]Vendor list'!$A$3:$D$406,4,0)</f>
        <v>FCA</v>
      </c>
      <c r="K24" s="76">
        <f t="shared" si="0"/>
        <v>1</v>
      </c>
      <c r="L24" s="95">
        <f t="shared" si="1"/>
        <v>57.206000000000003</v>
      </c>
      <c r="M24" s="82">
        <f>VLOOKUP(F24,Appendix!$B$7:$N$1048576,13,0)</f>
        <v>232000</v>
      </c>
      <c r="N24" s="82">
        <f>K24*H24*[2]Add.fees!$F$11</f>
        <v>20138.28</v>
      </c>
      <c r="O24" s="96">
        <f>IF(AND(C24=[2]Add.fees!$G$4),[2]Add.fees!$E$7,IF(AND(C24=[2]Add.fees!$G$5),[2]Add.fees!$E$7,IF(AND(C24=[2]Add.fees!$G$6),[2]Add.fees!$F$7,0)))*(H24/L24*K24)</f>
        <v>8035.7584868720051</v>
      </c>
      <c r="P24" s="96">
        <f>IF(AND(C24=[2]Add.fees!$G$4),[2]Add.fees!$E$4,IF(AND(C24=[2]Add.fees!$G$5),[2]Add.fees!$E$4,IF(AND(C24=[2]Add.fees!$G$6),[2]Add.fees!$F$4,0)))*(H24/L24*K24)</f>
        <v>2073.2091039401457</v>
      </c>
      <c r="Q24" s="96">
        <f>IF(AND(C24=[2]Add.fees!$G$4),[2]Add.fees!$E$5,IF(AND(C24=[2]Add.fees!$G$5),[2]Add.fees!$E$5,IF(AND(C24=[2]Add.fees!$G$6),[2]Add.fees!$F$5,0)))*(H24/L24*K24)</f>
        <v>7687.4593574100609</v>
      </c>
      <c r="R24" s="96">
        <f>IF(AND(C24=[2]Add.fees!$G$4),[2]Add.fees!$E$6,IF(AND(C24=[2]Add.fees!$G$5),[2]Add.fees!$E$6,IF(AND(C24=[2]Add.fees!$G$6),[2]Add.fees!$F$6,0)))*(H24/L24*K24)</f>
        <v>377.32405691710653</v>
      </c>
      <c r="S24" s="82">
        <v>0</v>
      </c>
      <c r="T24" s="96">
        <f>IF(AND(C24=[2]Add.fees!$G$4,Appendix!D25=[2]Add.fees!$G$8),[2]Add.fees!$E$8,IF(AND(C24=[2]Add.fees!$G$5,Appendix!D25=[2]Add.fees!$G$8),[2]Add.fees!$E$8,IF(AND(C24=[2]Add.fees!$G$6,Appendix!D25=[2]Add.fees!$G$8),[2]Add.fees!$F$8,IF(AND(C24=[2]Add.fees!$G$4,Appendix!D25=[2]Add.fees!$G$9),[2]Add.fees!$E$9,IF(AND(C24=[2]Add.fees!$G$5,Appendix!D25=[2]Add.fees!$G$9),[2]Add.fees!$E$9,IF(AND(C24=[2]Add.fees!$G$6,Appendix!D25=[2]Add.fees!$G$9),[2]Add.fees!$F$9,0))))))*(H24/L24*K24)</f>
        <v>11630.703073104218</v>
      </c>
      <c r="U24" s="96">
        <v>0</v>
      </c>
      <c r="V24" s="96">
        <f t="shared" si="2"/>
        <v>281942.73407824355</v>
      </c>
      <c r="W24" s="97">
        <f t="shared" si="3"/>
        <v>219.19</v>
      </c>
      <c r="X24" s="84">
        <f t="shared" si="4"/>
        <v>1726.25</v>
      </c>
      <c r="Y24" s="85">
        <f t="shared" si="5"/>
        <v>0</v>
      </c>
      <c r="Z24" s="86">
        <f t="shared" si="6"/>
        <v>0</v>
      </c>
      <c r="AC24" s="88">
        <v>10785.6</v>
      </c>
    </row>
    <row r="25" spans="1:29" s="85" customFormat="1" ht="15">
      <c r="A25" s="314">
        <v>6</v>
      </c>
      <c r="B25" s="89" t="s">
        <v>336</v>
      </c>
      <c r="C25" s="90" t="s">
        <v>21</v>
      </c>
      <c r="D25" s="91">
        <v>45124</v>
      </c>
      <c r="E25" s="90" t="s">
        <v>84</v>
      </c>
      <c r="F25" s="92" t="s">
        <v>177</v>
      </c>
      <c r="G25" s="92" t="s">
        <v>328</v>
      </c>
      <c r="H25" s="93">
        <v>44.23</v>
      </c>
      <c r="I25" s="94">
        <v>5507.94</v>
      </c>
      <c r="J25" s="76" t="str">
        <f>VLOOKUP(G25,'[2]Vendor list'!$A$3:$D$406,4,0)</f>
        <v>FCA</v>
      </c>
      <c r="K25" s="76">
        <f t="shared" si="0"/>
        <v>1</v>
      </c>
      <c r="L25" s="95">
        <f t="shared" si="1"/>
        <v>64.278999999999996</v>
      </c>
      <c r="M25" s="82">
        <f>VLOOKUP(F25,Appendix!$B$7:$N$1048576,13,0)</f>
        <v>724000</v>
      </c>
      <c r="N25" s="82">
        <f>K25*H25*[2]Add.fees!$F$11</f>
        <v>375512.69999999995</v>
      </c>
      <c r="O25" s="96">
        <f>IF(AND(C25=[2]Add.fees!$G$4),[2]Add.fees!$E$7,IF(AND(C25=[2]Add.fees!$G$5),[2]Add.fees!$E$7,IF(AND(C25=[2]Add.fees!$G$6),[2]Add.fees!$F$7,0)))*(H25/L25*K25)</f>
        <v>133352.63460850355</v>
      </c>
      <c r="P25" s="96">
        <f>IF(AND(C25=[2]Add.fees!$G$4),[2]Add.fees!$E$4,IF(AND(C25=[2]Add.fees!$G$5),[2]Add.fees!$E$4,IF(AND(C25=[2]Add.fees!$G$6),[2]Add.fees!$F$4,0)))*(H25/L25*K25)</f>
        <v>34404.704491357981</v>
      </c>
      <c r="Q25" s="96">
        <f>IF(AND(C25=[2]Add.fees!$G$4),[2]Add.fees!$E$5,IF(AND(C25=[2]Add.fees!$G$5),[2]Add.fees!$E$5,IF(AND(C25=[2]Add.fees!$G$6),[2]Add.fees!$F$5,0)))*(H25/L25*K25)</f>
        <v>127572.64425395541</v>
      </c>
      <c r="R25" s="96">
        <f>IF(AND(C25=[2]Add.fees!$G$4),[2]Add.fees!$E$6,IF(AND(C25=[2]Add.fees!$G$5),[2]Add.fees!$E$6,IF(AND(C25=[2]Add.fees!$G$6),[2]Add.fees!$F$6,0)))*(H25/L25*K25)</f>
        <v>6261.656217427153</v>
      </c>
      <c r="S25" s="82">
        <v>0</v>
      </c>
      <c r="T25" s="96">
        <f>IF(AND(C25=[2]Add.fees!$G$4,Appendix!D26=[2]Add.fees!$G$8),[2]Add.fees!$E$8,IF(AND(C25=[2]Add.fees!$G$5,Appendix!D26=[2]Add.fees!$G$8),[2]Add.fees!$E$8,IF(AND(C25=[2]Add.fees!$G$6,Appendix!D26=[2]Add.fees!$G$8),[2]Add.fees!$F$8,IF(AND(C25=[2]Add.fees!$G$4,Appendix!D26=[2]Add.fees!$G$9),[2]Add.fees!$E$9,IF(AND(C25=[2]Add.fees!$G$5,Appendix!D26=[2]Add.fees!$G$9),[2]Add.fees!$E$9,IF(AND(C25=[2]Add.fees!$G$6,Appendix!D26=[2]Add.fees!$G$9),[2]Add.fees!$F$9,0))))))*(H25/L25*K25)</f>
        <v>193010.39219651828</v>
      </c>
      <c r="U25" s="96">
        <v>0</v>
      </c>
      <c r="V25" s="96">
        <f t="shared" si="2"/>
        <v>1594114.7317677627</v>
      </c>
      <c r="W25" s="97">
        <f t="shared" si="3"/>
        <v>1239.3</v>
      </c>
      <c r="X25" s="84">
        <f t="shared" si="4"/>
        <v>2289.14</v>
      </c>
      <c r="Y25" s="85">
        <f t="shared" si="5"/>
        <v>1</v>
      </c>
      <c r="Z25" s="86">
        <f t="shared" si="6"/>
        <v>2289.14</v>
      </c>
      <c r="AC25" s="88">
        <v>45805.200000000004</v>
      </c>
    </row>
    <row r="26" spans="1:29" s="85" customFormat="1" ht="15">
      <c r="A26" s="316"/>
      <c r="B26" s="89" t="s">
        <v>336</v>
      </c>
      <c r="C26" s="90" t="s">
        <v>21</v>
      </c>
      <c r="D26" s="91">
        <v>45124</v>
      </c>
      <c r="E26" s="90" t="s">
        <v>84</v>
      </c>
      <c r="F26" s="92" t="s">
        <v>178</v>
      </c>
      <c r="G26" s="92" t="s">
        <v>328</v>
      </c>
      <c r="H26" s="111">
        <v>10.79</v>
      </c>
      <c r="I26" s="122">
        <v>8614</v>
      </c>
      <c r="J26" s="76" t="str">
        <f>VLOOKUP(G26,'[2]Vendor list'!$A$3:$D$406,4,0)</f>
        <v>FCA</v>
      </c>
      <c r="K26" s="76">
        <f t="shared" si="0"/>
        <v>1</v>
      </c>
      <c r="L26" s="95">
        <f t="shared" si="1"/>
        <v>64.278999999999996</v>
      </c>
      <c r="M26" s="82">
        <f>VLOOKUP(F26,Appendix!$B$7:$N$1048576,13,0)</f>
        <v>392000</v>
      </c>
      <c r="N26" s="82">
        <f>K26*H26*[2]Add.fees!$F$11</f>
        <v>91607.099999999991</v>
      </c>
      <c r="O26" s="96">
        <f>IF(AND(C26=[2]Add.fees!$G$4),[2]Add.fees!$E$7,IF(AND(C26=[2]Add.fees!$G$5),[2]Add.fees!$E$7,IF(AND(C26=[2]Add.fees!$G$6),[2]Add.fees!$F$7,0)))*(H26/L26*K26)</f>
        <v>32531.651083557612</v>
      </c>
      <c r="P26" s="96">
        <f>IF(AND(C26=[2]Add.fees!$G$4),[2]Add.fees!$E$4,IF(AND(C26=[2]Add.fees!$G$5),[2]Add.fees!$E$4,IF(AND(C26=[2]Add.fees!$G$6),[2]Add.fees!$F$4,0)))*(H26/L26*K26)</f>
        <v>8393.0988347671864</v>
      </c>
      <c r="Q26" s="96">
        <f>IF(AND(C26=[2]Add.fees!$G$4),[2]Add.fees!$E$5,IF(AND(C26=[2]Add.fees!$G$5),[2]Add.fees!$E$5,IF(AND(C26=[2]Add.fees!$G$6),[2]Add.fees!$F$5,0)))*(H26/L26*K26)</f>
        <v>31121.610479316725</v>
      </c>
      <c r="R26" s="96">
        <f>IF(AND(C26=[2]Add.fees!$G$4),[2]Add.fees!$E$6,IF(AND(C26=[2]Add.fees!$G$5),[2]Add.fees!$E$6,IF(AND(C26=[2]Add.fees!$G$6),[2]Add.fees!$F$6,0)))*(H26/L26*K26)</f>
        <v>1527.5439879276278</v>
      </c>
      <c r="S26" s="82">
        <v>0</v>
      </c>
      <c r="T26" s="96">
        <f>IF(AND(C26=[2]Add.fees!$G$4,Appendix!D27=[2]Add.fees!$G$8),[2]Add.fees!$E$8,IF(AND(C26=[2]Add.fees!$G$5,Appendix!D27=[2]Add.fees!$G$8),[2]Add.fees!$E$8,IF(AND(C26=[2]Add.fees!$G$6,Appendix!D27=[2]Add.fees!$G$8),[2]Add.fees!$F$8,IF(AND(C26=[2]Add.fees!$G$4,Appendix!D27=[2]Add.fees!$G$9),[2]Add.fees!$E$9,IF(AND(C26=[2]Add.fees!$G$5,Appendix!D27=[2]Add.fees!$G$9),[2]Add.fees!$E$9,IF(AND(C26=[2]Add.fees!$G$6,Appendix!D27=[2]Add.fees!$G$9),[2]Add.fees!$F$9,0))))))*(H26/L26*K26)</f>
        <v>47085.284463043914</v>
      </c>
      <c r="U26" s="96">
        <v>0</v>
      </c>
      <c r="V26" s="96">
        <f t="shared" si="2"/>
        <v>604266.28884861304</v>
      </c>
      <c r="W26" s="97">
        <f t="shared" si="3"/>
        <v>469.77</v>
      </c>
      <c r="X26" s="84">
        <f t="shared" si="4"/>
        <v>2289.14</v>
      </c>
      <c r="Y26" s="85">
        <f t="shared" si="5"/>
        <v>0</v>
      </c>
      <c r="Z26" s="86">
        <f t="shared" si="6"/>
        <v>0</v>
      </c>
      <c r="AC26" s="88">
        <v>43092</v>
      </c>
    </row>
    <row r="27" spans="1:29" s="85" customFormat="1" ht="15">
      <c r="A27" s="316"/>
      <c r="B27" s="89" t="s">
        <v>336</v>
      </c>
      <c r="C27" s="90" t="s">
        <v>21</v>
      </c>
      <c r="D27" s="91">
        <v>45124</v>
      </c>
      <c r="E27" s="90" t="s">
        <v>84</v>
      </c>
      <c r="F27" s="92" t="s">
        <v>179</v>
      </c>
      <c r="G27" s="92" t="s">
        <v>328</v>
      </c>
      <c r="H27" s="111">
        <v>8.6319999999999997</v>
      </c>
      <c r="I27" s="122">
        <v>4832</v>
      </c>
      <c r="J27" s="76" t="str">
        <f>VLOOKUP(G27,'[2]Vendor list'!$A$3:$D$406,4,0)</f>
        <v>FCA</v>
      </c>
      <c r="K27" s="76">
        <f t="shared" si="0"/>
        <v>1</v>
      </c>
      <c r="L27" s="95">
        <f t="shared" si="1"/>
        <v>64.278999999999996</v>
      </c>
      <c r="M27" s="82">
        <f>VLOOKUP(F27,Appendix!$B$7:$N$1048576,13,0)</f>
        <v>332000</v>
      </c>
      <c r="N27" s="82">
        <f>K27*H27*[2]Add.fees!$F$11</f>
        <v>73285.679999999993</v>
      </c>
      <c r="O27" s="96">
        <f>IF(AND(C27=[2]Add.fees!$G$4),[2]Add.fees!$E$7,IF(AND(C27=[2]Add.fees!$G$5),[2]Add.fees!$E$7,IF(AND(C27=[2]Add.fees!$G$6),[2]Add.fees!$F$7,0)))*(H27/L27*K27)</f>
        <v>26025.320866846094</v>
      </c>
      <c r="P27" s="96">
        <f>IF(AND(C27=[2]Add.fees!$G$4),[2]Add.fees!$E$4,IF(AND(C27=[2]Add.fees!$G$5),[2]Add.fees!$E$4,IF(AND(C27=[2]Add.fees!$G$6),[2]Add.fees!$F$4,0)))*(H27/L27*K27)</f>
        <v>6714.4790678137497</v>
      </c>
      <c r="Q27" s="96">
        <f>IF(AND(C27=[2]Add.fees!$G$4),[2]Add.fees!$E$5,IF(AND(C27=[2]Add.fees!$G$5),[2]Add.fees!$E$5,IF(AND(C27=[2]Add.fees!$G$6),[2]Add.fees!$F$5,0)))*(H27/L27*K27)</f>
        <v>24897.288383453386</v>
      </c>
      <c r="R27" s="96">
        <f>IF(AND(C27=[2]Add.fees!$G$4),[2]Add.fees!$E$6,IF(AND(C27=[2]Add.fees!$G$5),[2]Add.fees!$E$6,IF(AND(C27=[2]Add.fees!$G$6),[2]Add.fees!$F$6,0)))*(H27/L27*K27)</f>
        <v>1222.0351903421024</v>
      </c>
      <c r="S27" s="82">
        <v>0</v>
      </c>
      <c r="T27" s="96">
        <f>IF(AND(C27=[2]Add.fees!$G$4,Appendix!D28=[2]Add.fees!$G$8),[2]Add.fees!$E$8,IF(AND(C27=[2]Add.fees!$G$5,Appendix!D28=[2]Add.fees!$G$8),[2]Add.fees!$E$8,IF(AND(C27=[2]Add.fees!$G$6,Appendix!D28=[2]Add.fees!$G$8),[2]Add.fees!$F$8,IF(AND(C27=[2]Add.fees!$G$4,Appendix!D28=[2]Add.fees!$G$9),[2]Add.fees!$E$9,IF(AND(C27=[2]Add.fees!$G$5,Appendix!D28=[2]Add.fees!$G$9),[2]Add.fees!$E$9,IF(AND(C27=[2]Add.fees!$G$6,Appendix!D28=[2]Add.fees!$G$9),[2]Add.fees!$F$9,0))))))*(H27/L27*K27)</f>
        <v>37668.227570435134</v>
      </c>
      <c r="U27" s="96">
        <v>0</v>
      </c>
      <c r="V27" s="96">
        <f t="shared" si="2"/>
        <v>501813.03107889043</v>
      </c>
      <c r="W27" s="97">
        <f t="shared" si="3"/>
        <v>390.12</v>
      </c>
      <c r="X27" s="84">
        <f t="shared" si="4"/>
        <v>2289.14</v>
      </c>
      <c r="Y27" s="85">
        <f t="shared" si="5"/>
        <v>0</v>
      </c>
      <c r="Z27" s="86">
        <f t="shared" si="6"/>
        <v>0</v>
      </c>
      <c r="AC27" s="88">
        <v>32281.199999999997</v>
      </c>
    </row>
    <row r="28" spans="1:29" s="85" customFormat="1" ht="15">
      <c r="A28" s="317"/>
      <c r="B28" s="89" t="s">
        <v>336</v>
      </c>
      <c r="C28" s="90" t="s">
        <v>21</v>
      </c>
      <c r="D28" s="91">
        <v>45124</v>
      </c>
      <c r="E28" s="90" t="s">
        <v>84</v>
      </c>
      <c r="F28" s="92" t="s">
        <v>180</v>
      </c>
      <c r="G28" s="92" t="s">
        <v>328</v>
      </c>
      <c r="H28" s="111">
        <v>0.627</v>
      </c>
      <c r="I28" s="122">
        <v>46.5</v>
      </c>
      <c r="J28" s="76" t="str">
        <f>VLOOKUP(G28,'[2]Vendor list'!$A$3:$D$406,4,0)</f>
        <v>FCA</v>
      </c>
      <c r="K28" s="76">
        <f t="shared" si="0"/>
        <v>1</v>
      </c>
      <c r="L28" s="95">
        <f t="shared" si="1"/>
        <v>64.278999999999996</v>
      </c>
      <c r="M28" s="82">
        <f>VLOOKUP(F28,Appendix!$B$7:$N$1048576,13,0)</f>
        <v>232000</v>
      </c>
      <c r="N28" s="82">
        <f>K28*H28*[2]Add.fees!$F$11</f>
        <v>5323.23</v>
      </c>
      <c r="O28" s="96">
        <f>IF(AND(C28=[2]Add.fees!$G$4),[2]Add.fees!$E$7,IF(AND(C28=[2]Add.fees!$G$5),[2]Add.fees!$E$7,IF(AND(C28=[2]Add.fees!$G$6),[2]Add.fees!$F$7,0)))*(H28/L28*K28)</f>
        <v>1890.3934410927366</v>
      </c>
      <c r="P28" s="96">
        <f>IF(AND(C28=[2]Add.fees!$G$4),[2]Add.fees!$E$4,IF(AND(C28=[2]Add.fees!$G$5),[2]Add.fees!$E$4,IF(AND(C28=[2]Add.fees!$G$6),[2]Add.fees!$F$4,0)))*(H28/L28*K28)</f>
        <v>487.71760606107756</v>
      </c>
      <c r="Q28" s="96">
        <f>IF(AND(C28=[2]Add.fees!$G$4),[2]Add.fees!$E$5,IF(AND(C28=[2]Add.fees!$G$5),[2]Add.fees!$E$5,IF(AND(C28=[2]Add.fees!$G$6),[2]Add.fees!$F$5,0)))*(H28/L28*K28)</f>
        <v>1808.4568832744756</v>
      </c>
      <c r="R28" s="96">
        <f>IF(AND(C28=[2]Add.fees!$G$4),[2]Add.fees!$E$6,IF(AND(C28=[2]Add.fees!$G$5),[2]Add.fees!$E$6,IF(AND(C28=[2]Add.fees!$G$6),[2]Add.fees!$F$6,0)))*(H28/L28*K28)</f>
        <v>88.764604303116116</v>
      </c>
      <c r="S28" s="82">
        <v>0</v>
      </c>
      <c r="T28" s="96">
        <f>IF(AND(C28=[2]Add.fees!$G$4,Appendix!D29=[2]Add.fees!$G$8),[2]Add.fees!$E$8,IF(AND(C28=[2]Add.fees!$G$5,Appendix!D29=[2]Add.fees!$G$8),[2]Add.fees!$E$8,IF(AND(C28=[2]Add.fees!$G$6,Appendix!D29=[2]Add.fees!$G$8),[2]Add.fees!$F$8,IF(AND(C28=[2]Add.fees!$G$4,Appendix!D29=[2]Add.fees!$G$9),[2]Add.fees!$E$9,IF(AND(C28=[2]Add.fees!$G$5,Appendix!D29=[2]Add.fees!$G$9),[2]Add.fees!$E$9,IF(AND(C28=[2]Add.fees!$G$6,Appendix!D29=[2]Add.fees!$G$9),[2]Add.fees!$F$9,0))))))*(H28/L28*K28)</f>
        <v>2736.0957700026452</v>
      </c>
      <c r="U28" s="96">
        <v>0</v>
      </c>
      <c r="V28" s="96">
        <f t="shared" si="2"/>
        <v>244334.65830473407</v>
      </c>
      <c r="W28" s="97">
        <f t="shared" si="3"/>
        <v>189.95</v>
      </c>
      <c r="X28" s="84">
        <f t="shared" si="4"/>
        <v>2289.14</v>
      </c>
      <c r="Y28" s="85">
        <f t="shared" si="5"/>
        <v>0</v>
      </c>
      <c r="Z28" s="86">
        <f t="shared" si="6"/>
        <v>0</v>
      </c>
      <c r="AC28" s="124">
        <v>960</v>
      </c>
    </row>
    <row r="29" spans="1:29" s="85" customFormat="1" ht="15">
      <c r="A29" s="314">
        <v>7</v>
      </c>
      <c r="B29" s="89" t="s">
        <v>337</v>
      </c>
      <c r="C29" s="125" t="s">
        <v>21</v>
      </c>
      <c r="D29" s="91">
        <v>45124</v>
      </c>
      <c r="E29" s="90" t="s">
        <v>84</v>
      </c>
      <c r="F29" s="92" t="s">
        <v>182</v>
      </c>
      <c r="G29" s="92" t="s">
        <v>328</v>
      </c>
      <c r="H29" s="111">
        <v>22.654</v>
      </c>
      <c r="I29" s="122">
        <v>3330.18</v>
      </c>
      <c r="J29" s="76" t="str">
        <f>VLOOKUP(G29,'[2]Vendor list'!$A$3:$D$406,4,0)</f>
        <v>FCA</v>
      </c>
      <c r="K29" s="76">
        <f t="shared" si="0"/>
        <v>1</v>
      </c>
      <c r="L29" s="95">
        <f t="shared" si="1"/>
        <v>64.734999999999985</v>
      </c>
      <c r="M29" s="82">
        <f>VLOOKUP(F29,Appendix!$B$7:$N$1048576,13,0)</f>
        <v>392000</v>
      </c>
      <c r="N29" s="82">
        <f>K29*H29*[2]Add.fees!$F$11</f>
        <v>192332.46</v>
      </c>
      <c r="O29" s="96">
        <f>IF(AND(C29=[2]Add.fees!$G$4),[2]Add.fees!$E$7,IF(AND(C29=[2]Add.fees!$G$5),[2]Add.fees!$E$7,IF(AND(C29=[2]Add.fees!$G$6),[2]Add.fees!$F$7,0)))*(H29/L29*K29)</f>
        <v>67820.27033289567</v>
      </c>
      <c r="P29" s="96">
        <f>IF(AND(C29=[2]Add.fees!$G$4),[2]Add.fees!$E$4,IF(AND(C29=[2]Add.fees!$G$5),[2]Add.fees!$E$4,IF(AND(C29=[2]Add.fees!$G$6),[2]Add.fees!$F$4,0)))*(H29/L29*K29)</f>
        <v>17497.489765968956</v>
      </c>
      <c r="Q29" s="96">
        <f>IF(AND(C29=[2]Add.fees!$G$4),[2]Add.fees!$E$5,IF(AND(C29=[2]Add.fees!$G$5),[2]Add.fees!$E$5,IF(AND(C29=[2]Add.fees!$G$6),[2]Add.fees!$F$5,0)))*(H29/L29*K29)</f>
        <v>64880.692052212886</v>
      </c>
      <c r="R29" s="96">
        <f>IF(AND(C29=[2]Add.fees!$G$4),[2]Add.fees!$E$6,IF(AND(C29=[2]Add.fees!$G$5),[2]Add.fees!$E$6,IF(AND(C29=[2]Add.fees!$G$6),[2]Add.fees!$F$6,0)))*(H29/L29*K29)</f>
        <v>3184.5431374063496</v>
      </c>
      <c r="S29" s="82">
        <v>0</v>
      </c>
      <c r="T29" s="96">
        <f>IF(AND(C29=[2]Add.fees!$G$4,Appendix!D30=[2]Add.fees!$G$8),[2]Add.fees!$E$8,IF(AND(C29=[2]Add.fees!$G$5,Appendix!D30=[2]Add.fees!$G$8),[2]Add.fees!$E$8,IF(AND(C29=[2]Add.fees!$G$6,Appendix!D30=[2]Add.fees!$G$8),[2]Add.fees!$F$8,IF(AND(C29=[2]Add.fees!$G$4,Appendix!D30=[2]Add.fees!$G$9),[2]Add.fees!$E$9,IF(AND(C29=[2]Add.fees!$G$5,Appendix!D30=[2]Add.fees!$G$9),[2]Add.fees!$E$9,IF(AND(C29=[2]Add.fees!$G$6,Appendix!D30=[2]Add.fees!$G$9),[2]Add.fees!$F$9,0))))))*(H29/L29*K29)</f>
        <v>98160.917587085831</v>
      </c>
      <c r="U29" s="96">
        <v>0</v>
      </c>
      <c r="V29" s="96">
        <f t="shared" si="2"/>
        <v>835876.37287556974</v>
      </c>
      <c r="W29" s="97">
        <f t="shared" si="3"/>
        <v>649.83000000000004</v>
      </c>
      <c r="X29" s="84">
        <f t="shared" si="4"/>
        <v>2307.0100000000002</v>
      </c>
      <c r="Y29" s="85">
        <f t="shared" si="5"/>
        <v>1</v>
      </c>
      <c r="Z29" s="86">
        <f t="shared" si="6"/>
        <v>2307.0100000000002</v>
      </c>
      <c r="AC29" s="124">
        <v>34142.22</v>
      </c>
    </row>
    <row r="30" spans="1:29" s="85" customFormat="1" ht="15">
      <c r="A30" s="316"/>
      <c r="B30" s="89" t="s">
        <v>337</v>
      </c>
      <c r="C30" s="125" t="s">
        <v>21</v>
      </c>
      <c r="D30" s="91">
        <v>45124</v>
      </c>
      <c r="E30" s="90" t="s">
        <v>84</v>
      </c>
      <c r="F30" s="92" t="s">
        <v>183</v>
      </c>
      <c r="G30" s="92" t="s">
        <v>328</v>
      </c>
      <c r="H30" s="111">
        <v>14.026999999999999</v>
      </c>
      <c r="I30" s="122">
        <v>12019.8</v>
      </c>
      <c r="J30" s="76" t="str">
        <f>VLOOKUP(G30,'[2]Vendor list'!$A$3:$D$406,4,0)</f>
        <v>FCA</v>
      </c>
      <c r="K30" s="76">
        <f t="shared" si="0"/>
        <v>1</v>
      </c>
      <c r="L30" s="95">
        <f t="shared" si="1"/>
        <v>64.734999999999985</v>
      </c>
      <c r="M30" s="82">
        <f>VLOOKUP(F30,Appendix!$B$7:$N$1048576,13,0)</f>
        <v>624000</v>
      </c>
      <c r="N30" s="82">
        <f>K30*H30*[2]Add.fees!$F$11</f>
        <v>119089.23</v>
      </c>
      <c r="O30" s="96">
        <f>IF(AND(C30=[2]Add.fees!$G$4),[2]Add.fees!$E$7,IF(AND(C30=[2]Add.fees!$G$5),[2]Add.fees!$E$7,IF(AND(C30=[2]Add.fees!$G$6),[2]Add.fees!$F$7,0)))*(H30/L30*K30)</f>
        <v>41993.243222368124</v>
      </c>
      <c r="P30" s="96">
        <f>IF(AND(C30=[2]Add.fees!$G$4),[2]Add.fees!$E$4,IF(AND(C30=[2]Add.fees!$G$5),[2]Add.fees!$E$4,IF(AND(C30=[2]Add.fees!$G$6),[2]Add.fees!$F$4,0)))*(H30/L30*K30)</f>
        <v>10834.170078010353</v>
      </c>
      <c r="Q30" s="96">
        <f>IF(AND(C30=[2]Add.fees!$G$4),[2]Add.fees!$E$5,IF(AND(C30=[2]Add.fees!$G$5),[2]Add.fees!$E$5,IF(AND(C30=[2]Add.fees!$G$6),[2]Add.fees!$F$5,0)))*(H30/L30*K30)</f>
        <v>40173.102649262386</v>
      </c>
      <c r="R30" s="96">
        <f>IF(AND(C30=[2]Add.fees!$G$4),[2]Add.fees!$E$6,IF(AND(C30=[2]Add.fees!$G$5),[2]Add.fees!$E$6,IF(AND(C30=[2]Add.fees!$G$6),[2]Add.fees!$F$6,0)))*(H30/L30*K30)</f>
        <v>1971.8189541978841</v>
      </c>
      <c r="S30" s="82">
        <v>0</v>
      </c>
      <c r="T30" s="96">
        <f>IF(AND(C30=[2]Add.fees!$G$4,Appendix!D31=[2]Add.fees!$G$8),[2]Add.fees!$E$8,IF(AND(C30=[2]Add.fees!$G$5,Appendix!D31=[2]Add.fees!$G$8),[2]Add.fees!$E$8,IF(AND(C30=[2]Add.fees!$G$6,Appendix!D31=[2]Add.fees!$G$8),[2]Add.fees!$F$8,IF(AND(C30=[2]Add.fees!$G$4,Appendix!D31=[2]Add.fees!$G$9),[2]Add.fees!$E$9,IF(AND(C30=[2]Add.fees!$G$5,Appendix!D31=[2]Add.fees!$G$9),[2]Add.fees!$E$9,IF(AND(C30=[2]Add.fees!$G$6,Appendix!D31=[2]Add.fees!$G$9),[2]Add.fees!$F$9,0))))))*(H30/L30*K30)</f>
        <v>60779.694137638078</v>
      </c>
      <c r="U30" s="96">
        <v>0</v>
      </c>
      <c r="V30" s="96">
        <f t="shared" si="2"/>
        <v>898841.25904147688</v>
      </c>
      <c r="W30" s="97">
        <f t="shared" si="3"/>
        <v>698.78</v>
      </c>
      <c r="X30" s="84">
        <f t="shared" si="4"/>
        <v>2307.0100000000002</v>
      </c>
      <c r="Y30" s="85">
        <f t="shared" si="5"/>
        <v>0</v>
      </c>
      <c r="Z30" s="86">
        <f t="shared" si="6"/>
        <v>0</v>
      </c>
      <c r="AC30" s="88">
        <v>52884</v>
      </c>
    </row>
    <row r="31" spans="1:29" s="85" customFormat="1" ht="15">
      <c r="A31" s="316"/>
      <c r="B31" s="89" t="s">
        <v>337</v>
      </c>
      <c r="C31" s="125" t="s">
        <v>21</v>
      </c>
      <c r="D31" s="91">
        <v>45124</v>
      </c>
      <c r="E31" s="90" t="s">
        <v>84</v>
      </c>
      <c r="F31" s="92" t="s">
        <v>184</v>
      </c>
      <c r="G31" s="92" t="s">
        <v>328</v>
      </c>
      <c r="H31" s="111">
        <v>5.3949999999999996</v>
      </c>
      <c r="I31" s="122">
        <v>424.4</v>
      </c>
      <c r="J31" s="76" t="str">
        <f>VLOOKUP(G31,'[2]Vendor list'!$A$3:$D$406,4,0)</f>
        <v>FCA</v>
      </c>
      <c r="K31" s="76">
        <f t="shared" si="0"/>
        <v>1</v>
      </c>
      <c r="L31" s="95">
        <f t="shared" si="1"/>
        <v>64.734999999999985</v>
      </c>
      <c r="M31" s="82">
        <f>VLOOKUP(F31,Appendix!$B$7:$N$1048576,13,0)</f>
        <v>291100</v>
      </c>
      <c r="N31" s="82">
        <f>K31*H31*[2]Add.fees!$F$11</f>
        <v>45803.549999999996</v>
      </c>
      <c r="O31" s="96">
        <f>IF(AND(C31=[2]Add.fees!$G$4),[2]Add.fees!$E$7,IF(AND(C31=[2]Add.fees!$G$5),[2]Add.fees!$E$7,IF(AND(C31=[2]Add.fees!$G$6),[2]Add.fees!$F$7,0)))*(H31/L31*K31)</f>
        <v>16151.247393218508</v>
      </c>
      <c r="P31" s="96">
        <f>IF(AND(C31=[2]Add.fees!$G$4),[2]Add.fees!$E$4,IF(AND(C31=[2]Add.fees!$G$5),[2]Add.fees!$E$4,IF(AND(C31=[2]Add.fees!$G$6),[2]Add.fees!$F$4,0)))*(H31/L31*K31)</f>
        <v>4166.9884915424427</v>
      </c>
      <c r="Q31" s="96">
        <f>IF(AND(C31=[2]Add.fees!$G$4),[2]Add.fees!$E$5,IF(AND(C31=[2]Add.fees!$G$5),[2]Add.fees!$E$5,IF(AND(C31=[2]Add.fees!$G$6),[2]Add.fees!$F$5,0)))*(H31/L31*K31)</f>
        <v>15451.193326639377</v>
      </c>
      <c r="R31" s="96">
        <f>IF(AND(C31=[2]Add.fees!$G$4),[2]Add.fees!$E$6,IF(AND(C31=[2]Add.fees!$G$5),[2]Add.fees!$E$6,IF(AND(C31=[2]Add.fees!$G$6),[2]Add.fees!$F$6,0)))*(H31/L31*K31)</f>
        <v>758.39190546072462</v>
      </c>
      <c r="S31" s="82">
        <v>0</v>
      </c>
      <c r="T31" s="96">
        <f>IF(AND(C31=[2]Add.fees!$G$4,Appendix!D32=[2]Add.fees!$G$8),[2]Add.fees!$E$8,IF(AND(C31=[2]Add.fees!$G$5,Appendix!D32=[2]Add.fees!$G$8),[2]Add.fees!$E$8,IF(AND(C31=[2]Add.fees!$G$6,Appendix!D32=[2]Add.fees!$G$8),[2]Add.fees!$F$8,IF(AND(C31=[2]Add.fees!$G$4,Appendix!D32=[2]Add.fees!$G$9),[2]Add.fees!$E$9,IF(AND(C31=[2]Add.fees!$G$5,Appendix!D32=[2]Add.fees!$G$9),[2]Add.fees!$E$9,IF(AND(C31=[2]Add.fees!$G$6,Appendix!D32=[2]Add.fees!$G$9),[2]Add.fees!$F$9,0))))))*(H31/L31*K31)</f>
        <v>23376.805437553103</v>
      </c>
      <c r="U31" s="96">
        <v>0</v>
      </c>
      <c r="V31" s="96">
        <f t="shared" si="2"/>
        <v>396808.17655441415</v>
      </c>
      <c r="W31" s="97">
        <f t="shared" si="3"/>
        <v>308.49</v>
      </c>
      <c r="X31" s="84">
        <f t="shared" si="4"/>
        <v>2307.0100000000002</v>
      </c>
      <c r="Y31" s="85">
        <f t="shared" si="5"/>
        <v>0</v>
      </c>
      <c r="Z31" s="86">
        <f t="shared" si="6"/>
        <v>0</v>
      </c>
      <c r="AC31" s="88">
        <v>5919.2</v>
      </c>
    </row>
    <row r="32" spans="1:29" s="85" customFormat="1" ht="15">
      <c r="A32" s="317"/>
      <c r="B32" s="89" t="s">
        <v>337</v>
      </c>
      <c r="C32" s="125" t="s">
        <v>21</v>
      </c>
      <c r="D32" s="91">
        <v>45124</v>
      </c>
      <c r="E32" s="90" t="s">
        <v>84</v>
      </c>
      <c r="F32" s="92" t="s">
        <v>185</v>
      </c>
      <c r="G32" s="92" t="s">
        <v>328</v>
      </c>
      <c r="H32" s="111">
        <v>22.658999999999999</v>
      </c>
      <c r="I32" s="122">
        <v>6741</v>
      </c>
      <c r="J32" s="76" t="str">
        <f>VLOOKUP(G32,'[2]Vendor list'!$A$3:$D$406,4,0)</f>
        <v>FCA</v>
      </c>
      <c r="K32" s="76">
        <f t="shared" si="0"/>
        <v>1</v>
      </c>
      <c r="L32" s="95">
        <f t="shared" si="1"/>
        <v>64.734999999999985</v>
      </c>
      <c r="M32" s="82">
        <f>VLOOKUP(F32,Appendix!$B$7:$N$1048576,13,0)</f>
        <v>392000</v>
      </c>
      <c r="N32" s="82">
        <f>K32*H32*[2]Add.fees!$F$11</f>
        <v>192374.91</v>
      </c>
      <c r="O32" s="96">
        <f>IF(AND(C32=[2]Add.fees!$G$4),[2]Add.fees!$E$7,IF(AND(C32=[2]Add.fees!$G$5),[2]Add.fees!$E$7,IF(AND(C32=[2]Add.fees!$G$6),[2]Add.fees!$F$7,0)))*(H32/L32*K32)</f>
        <v>67835.239051517739</v>
      </c>
      <c r="P32" s="96">
        <f>IF(AND(C32=[2]Add.fees!$G$4),[2]Add.fees!$E$4,IF(AND(C32=[2]Add.fees!$G$5),[2]Add.fees!$E$4,IF(AND(C32=[2]Add.fees!$G$6),[2]Add.fees!$F$4,0)))*(H32/L32*K32)</f>
        <v>17501.351664478261</v>
      </c>
      <c r="Q32" s="96">
        <f>IF(AND(C32=[2]Add.fees!$G$4),[2]Add.fees!$E$5,IF(AND(C32=[2]Add.fees!$G$5),[2]Add.fees!$E$5,IF(AND(C32=[2]Add.fees!$G$6),[2]Add.fees!$F$5,0)))*(H32/L32*K32)</f>
        <v>64895.011971885389</v>
      </c>
      <c r="R32" s="96">
        <f>IF(AND(C32=[2]Add.fees!$G$4),[2]Add.fees!$E$6,IF(AND(C32=[2]Add.fees!$G$5),[2]Add.fees!$E$6,IF(AND(C32=[2]Add.fees!$G$6),[2]Add.fees!$F$6,0)))*(H32/L32*K32)</f>
        <v>3185.2460029350432</v>
      </c>
      <c r="S32" s="82">
        <v>0</v>
      </c>
      <c r="T32" s="96">
        <f>IF(AND(C32=[2]Add.fees!$G$4,Appendix!D33=[2]Add.fees!$G$8),[2]Add.fees!$E$8,IF(AND(C32=[2]Add.fees!$G$5,Appendix!D33=[2]Add.fees!$G$8),[2]Add.fees!$E$8,IF(AND(C32=[2]Add.fees!$G$6,Appendix!D33=[2]Add.fees!$G$8),[2]Add.fees!$F$8,IF(AND(C32=[2]Add.fees!$G$4,Appendix!D33=[2]Add.fees!$G$9),[2]Add.fees!$E$9,IF(AND(C32=[2]Add.fees!$G$5,Appendix!D33=[2]Add.fees!$G$9),[2]Add.fees!$E$9,IF(AND(C32=[2]Add.fees!$G$6,Appendix!D33=[2]Add.fees!$G$9),[2]Add.fees!$F$9,0))))))*(H32/L32*K32)</f>
        <v>98182.582837723035</v>
      </c>
      <c r="U32" s="96">
        <v>0</v>
      </c>
      <c r="V32" s="96">
        <f t="shared" si="2"/>
        <v>835974.34152853943</v>
      </c>
      <c r="W32" s="97">
        <f t="shared" si="3"/>
        <v>649.91</v>
      </c>
      <c r="X32" s="84">
        <f t="shared" si="4"/>
        <v>2307.0100000000002</v>
      </c>
      <c r="Y32" s="85">
        <f t="shared" si="5"/>
        <v>0</v>
      </c>
      <c r="Z32" s="86">
        <f t="shared" si="6"/>
        <v>0</v>
      </c>
      <c r="AC32" s="88">
        <v>36385.440000000002</v>
      </c>
    </row>
    <row r="33" spans="1:29" s="85" customFormat="1" ht="15">
      <c r="A33" s="314">
        <v>8</v>
      </c>
      <c r="B33" s="89" t="s">
        <v>338</v>
      </c>
      <c r="C33" s="125" t="s">
        <v>21</v>
      </c>
      <c r="D33" s="91">
        <v>45124</v>
      </c>
      <c r="E33" s="90" t="s">
        <v>84</v>
      </c>
      <c r="F33" s="92" t="s">
        <v>187</v>
      </c>
      <c r="G33" s="92" t="s">
        <v>328</v>
      </c>
      <c r="H33" s="111">
        <v>24.812000000000001</v>
      </c>
      <c r="I33" s="122">
        <v>3089.82</v>
      </c>
      <c r="J33" s="76" t="str">
        <f>VLOOKUP(G33,'[2]Vendor list'!$A$3:$D$406,4,0)</f>
        <v>FCA</v>
      </c>
      <c r="K33" s="76">
        <f t="shared" si="0"/>
        <v>1</v>
      </c>
      <c r="L33" s="95">
        <f t="shared" si="1"/>
        <v>61.497999999999998</v>
      </c>
      <c r="M33" s="82">
        <f>VLOOKUP(F33,Appendix!$B$7:$N$1048576,13,0)</f>
        <v>392000</v>
      </c>
      <c r="N33" s="82">
        <f>K33*H33*[2]Add.fees!$F$11</f>
        <v>210653.88</v>
      </c>
      <c r="O33" s="96">
        <f>IF(AND(C33=[2]Add.fees!$G$4),[2]Add.fees!$E$7,IF(AND(C33=[2]Add.fees!$G$5),[2]Add.fees!$E$7,IF(AND(C33=[2]Add.fees!$G$6),[2]Add.fees!$F$7,0)))*(H33/L33*K33)</f>
        <v>78190.60132036815</v>
      </c>
      <c r="P33" s="96">
        <f>IF(AND(C33=[2]Add.fees!$G$4),[2]Add.fees!$E$4,IF(AND(C33=[2]Add.fees!$G$5),[2]Add.fees!$E$4,IF(AND(C33=[2]Add.fees!$G$6),[2]Add.fees!$F$4,0)))*(H33/L33*K33)</f>
        <v>20173.013756544929</v>
      </c>
      <c r="Q33" s="96">
        <f>IF(AND(C33=[2]Add.fees!$G$4),[2]Add.fees!$E$5,IF(AND(C33=[2]Add.fees!$G$5),[2]Add.fees!$E$5,IF(AND(C33=[2]Add.fees!$G$6),[2]Add.fees!$F$5,0)))*(H33/L33*K33)</f>
        <v>74801.535009268599</v>
      </c>
      <c r="R33" s="96">
        <f>IF(AND(C33=[2]Add.fees!$G$4),[2]Add.fees!$E$6,IF(AND(C33=[2]Add.fees!$G$5),[2]Add.fees!$E$6,IF(AND(C33=[2]Add.fees!$G$6),[2]Add.fees!$F$6,0)))*(H33/L33*K33)</f>
        <v>3671.4885036911774</v>
      </c>
      <c r="S33" s="82">
        <v>0</v>
      </c>
      <c r="T33" s="96">
        <f>IF(AND(C33=[2]Add.fees!$G$4,Appendix!D34=[2]Add.fees!$G$8),[2]Add.fees!$E$8,IF(AND(C33=[2]Add.fees!$G$5,Appendix!D34=[2]Add.fees!$G$8),[2]Add.fees!$E$8,IF(AND(C33=[2]Add.fees!$G$6,Appendix!D34=[2]Add.fees!$G$8),[2]Add.fees!$F$8,IF(AND(C33=[2]Add.fees!$G$4,Appendix!D34=[2]Add.fees!$G$9),[2]Add.fees!$E$9,IF(AND(C33=[2]Add.fees!$G$5,Appendix!D34=[2]Add.fees!$G$9),[2]Add.fees!$E$9,IF(AND(C33=[2]Add.fees!$G$6,Appendix!D34=[2]Add.fees!$G$9),[2]Add.fees!$F$9,0))))))*(H33/L33*K33)</f>
        <v>113170.60717421706</v>
      </c>
      <c r="U33" s="96">
        <v>0</v>
      </c>
      <c r="V33" s="96">
        <f>SUM(M33:U33)</f>
        <v>892661.12576408987</v>
      </c>
      <c r="W33" s="97">
        <f t="shared" si="3"/>
        <v>693.98</v>
      </c>
      <c r="X33" s="84">
        <f t="shared" si="4"/>
        <v>2059.33</v>
      </c>
      <c r="Y33" s="85">
        <f t="shared" si="5"/>
        <v>1</v>
      </c>
      <c r="Z33" s="86">
        <f t="shared" si="6"/>
        <v>2059.33</v>
      </c>
      <c r="AC33" s="88">
        <v>24619.200000000001</v>
      </c>
    </row>
    <row r="34" spans="1:29" s="85" customFormat="1" ht="15">
      <c r="A34" s="316"/>
      <c r="B34" s="89" t="s">
        <v>338</v>
      </c>
      <c r="C34" s="125" t="s">
        <v>21</v>
      </c>
      <c r="D34" s="91">
        <v>45124</v>
      </c>
      <c r="E34" s="90" t="s">
        <v>84</v>
      </c>
      <c r="F34" s="92" t="s">
        <v>188</v>
      </c>
      <c r="G34" s="92" t="s">
        <v>328</v>
      </c>
      <c r="H34" s="111">
        <v>14.026999999999999</v>
      </c>
      <c r="I34" s="122">
        <v>12019.8</v>
      </c>
      <c r="J34" s="76" t="str">
        <f>VLOOKUP(G34,'[2]Vendor list'!$A$3:$D$406,4,0)</f>
        <v>FCA</v>
      </c>
      <c r="K34" s="76">
        <f t="shared" si="0"/>
        <v>1</v>
      </c>
      <c r="L34" s="95">
        <f t="shared" si="1"/>
        <v>61.497999999999998</v>
      </c>
      <c r="M34" s="82">
        <f>VLOOKUP(F34,Appendix!$B$7:$N$1048576,13,0)</f>
        <v>624000</v>
      </c>
      <c r="N34" s="82">
        <f>K34*H34*[2]Add.fees!$F$11</f>
        <v>119089.23</v>
      </c>
      <c r="O34" s="96">
        <f>IF(AND(C34=[2]Add.fees!$G$4),[2]Add.fees!$E$7,IF(AND(C34=[2]Add.fees!$G$5),[2]Add.fees!$E$7,IF(AND(C34=[2]Add.fees!$G$6),[2]Add.fees!$F$7,0)))*(H34/L34*K34)</f>
        <v>44203.593612800418</v>
      </c>
      <c r="P34" s="96">
        <f>IF(AND(C34=[2]Add.fees!$G$4),[2]Add.fees!$E$4,IF(AND(C34=[2]Add.fees!$G$5),[2]Add.fees!$E$4,IF(AND(C34=[2]Add.fees!$G$6),[2]Add.fees!$F$4,0)))*(H34/L34*K34)</f>
        <v>11404.435916615173</v>
      </c>
      <c r="Q34" s="96">
        <f>IF(AND(C34=[2]Add.fees!$G$4),[2]Add.fees!$E$5,IF(AND(C34=[2]Add.fees!$G$5),[2]Add.fees!$E$5,IF(AND(C34=[2]Add.fees!$G$6),[2]Add.fees!$F$5,0)))*(H34/L34*K34)</f>
        <v>42287.648378809063</v>
      </c>
      <c r="R34" s="96">
        <f>IF(AND(C34=[2]Add.fees!$G$4),[2]Add.fees!$E$6,IF(AND(C34=[2]Add.fees!$G$5),[2]Add.fees!$E$6,IF(AND(C34=[2]Add.fees!$G$6),[2]Add.fees!$F$6,0)))*(H34/L34*K34)</f>
        <v>2075.6073368239618</v>
      </c>
      <c r="S34" s="82">
        <v>0</v>
      </c>
      <c r="T34" s="96">
        <f>IF(AND(C34=[2]Add.fees!$G$4,Appendix!D35=[2]Add.fees!$G$8),[2]Add.fees!$E$8,IF(AND(C34=[2]Add.fees!$G$5,Appendix!D35=[2]Add.fees!$G$8),[2]Add.fees!$E$8,IF(AND(C34=[2]Add.fees!$G$6,Appendix!D35=[2]Add.fees!$G$8),[2]Add.fees!$F$8,IF(AND(C34=[2]Add.fees!$G$4,Appendix!D35=[2]Add.fees!$G$9),[2]Add.fees!$E$9,IF(AND(C34=[2]Add.fees!$G$5,Appendix!D35=[2]Add.fees!$G$9),[2]Add.fees!$E$9,IF(AND(C34=[2]Add.fees!$G$6,Appendix!D35=[2]Add.fees!$G$9),[2]Add.fees!$F$9,0))))))*(H34/L34*K34)</f>
        <v>63978.885492211128</v>
      </c>
      <c r="U34" s="96">
        <v>0</v>
      </c>
      <c r="V34" s="96">
        <f>SUM(M34:U34)</f>
        <v>907039.40073725977</v>
      </c>
      <c r="W34" s="97">
        <f t="shared" si="3"/>
        <v>705.15</v>
      </c>
      <c r="X34" s="84">
        <f t="shared" si="4"/>
        <v>2059.33</v>
      </c>
      <c r="Y34" s="85">
        <f t="shared" si="5"/>
        <v>0</v>
      </c>
      <c r="Z34" s="86">
        <f t="shared" si="6"/>
        <v>0</v>
      </c>
      <c r="AC34" s="124">
        <v>52884</v>
      </c>
    </row>
    <row r="35" spans="1:29" s="85" customFormat="1" ht="15">
      <c r="A35" s="317"/>
      <c r="B35" s="89" t="s">
        <v>338</v>
      </c>
      <c r="C35" s="125" t="s">
        <v>21</v>
      </c>
      <c r="D35" s="91">
        <v>45124</v>
      </c>
      <c r="E35" s="90" t="s">
        <v>84</v>
      </c>
      <c r="F35" s="92" t="s">
        <v>189</v>
      </c>
      <c r="G35" s="92" t="s">
        <v>328</v>
      </c>
      <c r="H35" s="111">
        <v>22.658999999999999</v>
      </c>
      <c r="I35" s="122">
        <v>6741</v>
      </c>
      <c r="J35" s="76" t="str">
        <f>VLOOKUP(G35,'[2]Vendor list'!$A$3:$D$406,4,0)</f>
        <v>FCA</v>
      </c>
      <c r="K35" s="76">
        <f t="shared" si="0"/>
        <v>1</v>
      </c>
      <c r="L35" s="95">
        <f t="shared" si="1"/>
        <v>61.497999999999998</v>
      </c>
      <c r="M35" s="82">
        <f>VLOOKUP(F35,Appendix!$B$7:$N$1048576,13,0)</f>
        <v>392000</v>
      </c>
      <c r="N35" s="82">
        <f>K35*H35*[2]Add.fees!$F$11</f>
        <v>192374.91</v>
      </c>
      <c r="O35" s="96">
        <f>IF(AND(C35=[2]Add.fees!$G$4),[2]Add.fees!$E$7,IF(AND(C35=[2]Add.fees!$G$5),[2]Add.fees!$E$7,IF(AND(C35=[2]Add.fees!$G$6),[2]Add.fees!$F$7,0)))*(H35/L35*K35)</f>
        <v>71405.805066831439</v>
      </c>
      <c r="P35" s="96">
        <f>IF(AND(C35=[2]Add.fees!$G$4),[2]Add.fees!$E$4,IF(AND(C35=[2]Add.fees!$G$5),[2]Add.fees!$E$4,IF(AND(C35=[2]Add.fees!$G$6),[2]Add.fees!$F$4,0)))*(H35/L35*K35)</f>
        <v>18422.550326839897</v>
      </c>
      <c r="Q35" s="96">
        <f>IF(AND(C35=[2]Add.fees!$G$4),[2]Add.fees!$E$5,IF(AND(C35=[2]Add.fees!$G$5),[2]Add.fees!$E$5,IF(AND(C35=[2]Add.fees!$G$6),[2]Add.fees!$F$5,0)))*(H35/L35*K35)</f>
        <v>68310.816611922346</v>
      </c>
      <c r="R35" s="96">
        <f>IF(AND(C35=[2]Add.fees!$G$4),[2]Add.fees!$E$6,IF(AND(C35=[2]Add.fees!$G$5),[2]Add.fees!$E$6,IF(AND(C35=[2]Add.fees!$G$6),[2]Add.fees!$F$6,0)))*(H35/L35*K35)</f>
        <v>3352.9041594848613</v>
      </c>
      <c r="S35" s="82">
        <v>0</v>
      </c>
      <c r="T35" s="96">
        <f>IF(AND(C35=[2]Add.fees!$G$4,Appendix!D36=[2]Add.fees!$G$8),[2]Add.fees!$E$8,IF(AND(C35=[2]Add.fees!$G$5,Appendix!D36=[2]Add.fees!$G$8),[2]Add.fees!$E$8,IF(AND(C35=[2]Add.fees!$G$6,Appendix!D36=[2]Add.fees!$G$8),[2]Add.fees!$F$8,IF(AND(C35=[2]Add.fees!$G$4,Appendix!D36=[2]Add.fees!$G$9),[2]Add.fees!$E$9,IF(AND(C35=[2]Add.fees!$G$5,Appendix!D36=[2]Add.fees!$G$9),[2]Add.fees!$E$9,IF(AND(C35=[2]Add.fees!$G$6,Appendix!D36=[2]Add.fees!$G$9),[2]Add.fees!$F$9,0))))))*(H35/L35*K35)</f>
        <v>103350.50733357183</v>
      </c>
      <c r="U35" s="96">
        <v>0</v>
      </c>
      <c r="V35" s="96">
        <f>SUM(M35:U35)</f>
        <v>849217.49349865038</v>
      </c>
      <c r="W35" s="97">
        <f t="shared" si="3"/>
        <v>660.2</v>
      </c>
      <c r="X35" s="84">
        <f t="shared" si="4"/>
        <v>2059.33</v>
      </c>
      <c r="Y35" s="85">
        <f t="shared" si="5"/>
        <v>0</v>
      </c>
      <c r="Z35" s="86">
        <f t="shared" si="6"/>
        <v>0</v>
      </c>
      <c r="AC35" s="124">
        <v>36385.440000000002</v>
      </c>
    </row>
    <row r="36" spans="1:29" s="85" customFormat="1" ht="15">
      <c r="A36" s="314">
        <v>9</v>
      </c>
      <c r="B36" s="89" t="s">
        <v>339</v>
      </c>
      <c r="C36" s="125" t="s">
        <v>21</v>
      </c>
      <c r="D36" s="91">
        <v>45124</v>
      </c>
      <c r="E36" s="90" t="s">
        <v>84</v>
      </c>
      <c r="F36" s="92" t="s">
        <v>191</v>
      </c>
      <c r="G36" s="92" t="s">
        <v>328</v>
      </c>
      <c r="H36" s="111">
        <v>10.79</v>
      </c>
      <c r="I36" s="122">
        <v>8614</v>
      </c>
      <c r="J36" s="76" t="str">
        <f>VLOOKUP(G36,'[2]Vendor list'!$A$3:$D$406,4,0)</f>
        <v>FCA</v>
      </c>
      <c r="K36" s="76">
        <f t="shared" si="0"/>
        <v>1</v>
      </c>
      <c r="L36" s="95">
        <f t="shared" si="1"/>
        <v>63.65</v>
      </c>
      <c r="M36" s="82">
        <f>VLOOKUP(F36,Appendix!$B$7:$N$1048576,13,0)</f>
        <v>392000</v>
      </c>
      <c r="N36" s="82">
        <f>K36*H36*[2]Add.fees!$F$11</f>
        <v>91607.099999999991</v>
      </c>
      <c r="O36" s="96">
        <f>IF(AND(C36=[2]Add.fees!$G$4),[2]Add.fees!$E$7,IF(AND(C36=[2]Add.fees!$G$5),[2]Add.fees!$E$7,IF(AND(C36=[2]Add.fees!$G$6),[2]Add.fees!$F$7,0)))*(H36/L36*K36)</f>
        <v>32853.13432835821</v>
      </c>
      <c r="P36" s="96">
        <f>IF(AND(C36=[2]Add.fees!$G$4),[2]Add.fees!$E$4,IF(AND(C36=[2]Add.fees!$G$5),[2]Add.fees!$E$4,IF(AND(C36=[2]Add.fees!$G$6),[2]Add.fees!$F$4,0)))*(H36/L36*K36)</f>
        <v>8476.0408483896299</v>
      </c>
      <c r="Q36" s="96">
        <f>IF(AND(C36=[2]Add.fees!$G$4),[2]Add.fees!$E$5,IF(AND(C36=[2]Add.fees!$G$5),[2]Add.fees!$E$5,IF(AND(C36=[2]Add.fees!$G$6),[2]Add.fees!$F$5,0)))*(H36/L36*K36)</f>
        <v>31429.15946582875</v>
      </c>
      <c r="R36" s="96">
        <f>IF(AND(C36=[2]Add.fees!$G$4),[2]Add.fees!$E$6,IF(AND(C36=[2]Add.fees!$G$5),[2]Add.fees!$E$6,IF(AND(C36=[2]Add.fees!$G$6),[2]Add.fees!$F$6,0)))*(H36/L36*K36)</f>
        <v>1542.6394344069129</v>
      </c>
      <c r="S36" s="82">
        <v>0</v>
      </c>
      <c r="T36" s="96">
        <f>IF(AND(C36=[2]Add.fees!$G$4,Appendix!D37=[2]Add.fees!$G$8),[2]Add.fees!$E$8,IF(AND(C36=[2]Add.fees!$G$5,Appendix!D37=[2]Add.fees!$G$8),[2]Add.fees!$E$8,IF(AND(C36=[2]Add.fees!$G$6,Appendix!D37=[2]Add.fees!$G$8),[2]Add.fees!$F$8,IF(AND(C36=[2]Add.fees!$G$4,Appendix!D37=[2]Add.fees!$G$9),[2]Add.fees!$E$9,IF(AND(C36=[2]Add.fees!$G$5,Appendix!D37=[2]Add.fees!$G$9),[2]Add.fees!$E$9,IF(AND(C36=[2]Add.fees!$G$6,Appendix!D37=[2]Add.fees!$G$9),[2]Add.fees!$F$9,0))))))*(H36/L36*K36)</f>
        <v>47550.589159465831</v>
      </c>
      <c r="U36" s="96">
        <v>0</v>
      </c>
      <c r="V36" s="96">
        <f t="shared" ref="V36:V99" si="7">SUM(M36:U36)</f>
        <v>605458.66323644936</v>
      </c>
      <c r="W36" s="97">
        <f t="shared" si="3"/>
        <v>470.7</v>
      </c>
      <c r="X36" s="84">
        <f t="shared" si="4"/>
        <v>2138.84</v>
      </c>
      <c r="Y36" s="85">
        <f t="shared" si="5"/>
        <v>1</v>
      </c>
      <c r="Z36" s="86">
        <f t="shared" si="6"/>
        <v>2138.84</v>
      </c>
      <c r="AC36" s="124">
        <v>43092</v>
      </c>
    </row>
    <row r="37" spans="1:29" s="85" customFormat="1" ht="15">
      <c r="A37" s="316"/>
      <c r="B37" s="89" t="s">
        <v>339</v>
      </c>
      <c r="C37" s="125" t="s">
        <v>21</v>
      </c>
      <c r="D37" s="91">
        <v>45124</v>
      </c>
      <c r="E37" s="90" t="s">
        <v>84</v>
      </c>
      <c r="F37" s="92" t="s">
        <v>192</v>
      </c>
      <c r="G37" s="92" t="s">
        <v>328</v>
      </c>
      <c r="H37" s="111">
        <v>8.6300000000000008</v>
      </c>
      <c r="I37" s="122">
        <v>4832</v>
      </c>
      <c r="J37" s="76" t="str">
        <f>VLOOKUP(G37,'[2]Vendor list'!$A$3:$D$406,4,0)</f>
        <v>FCA</v>
      </c>
      <c r="K37" s="76">
        <f t="shared" si="0"/>
        <v>1</v>
      </c>
      <c r="L37" s="95">
        <f t="shared" si="1"/>
        <v>63.65</v>
      </c>
      <c r="M37" s="82">
        <f>VLOOKUP(F37,Appendix!$B$7:$N$1048576,13,0)</f>
        <v>332000</v>
      </c>
      <c r="N37" s="82">
        <f>K37*H37*[2]Add.fees!$F$11</f>
        <v>73268.700000000012</v>
      </c>
      <c r="O37" s="96">
        <f>IF(AND(C37=[2]Add.fees!$G$4),[2]Add.fees!$E$7,IF(AND(C37=[2]Add.fees!$G$5),[2]Add.fees!$E$7,IF(AND(C37=[2]Add.fees!$G$6),[2]Add.fees!$F$7,0)))*(H37/L37*K37)</f>
        <v>26276.417910447766</v>
      </c>
      <c r="P37" s="96">
        <f>IF(AND(C37=[2]Add.fees!$G$4),[2]Add.fees!$E$4,IF(AND(C37=[2]Add.fees!$G$5),[2]Add.fees!$E$4,IF(AND(C37=[2]Add.fees!$G$6),[2]Add.fees!$F$4,0)))*(H37/L37*K37)</f>
        <v>6779.2615868028288</v>
      </c>
      <c r="Q37" s="96">
        <f>IF(AND(C37=[2]Add.fees!$G$4),[2]Add.fees!$E$5,IF(AND(C37=[2]Add.fees!$G$5),[2]Add.fees!$E$5,IF(AND(C37=[2]Add.fees!$G$6),[2]Add.fees!$F$5,0)))*(H37/L37*K37)</f>
        <v>25137.501963864888</v>
      </c>
      <c r="R37" s="96">
        <f>IF(AND(C37=[2]Add.fees!$G$4),[2]Add.fees!$E$6,IF(AND(C37=[2]Add.fees!$G$5),[2]Add.fees!$E$6,IF(AND(C37=[2]Add.fees!$G$6),[2]Add.fees!$F$6,0)))*(H37/L37*K37)</f>
        <v>1233.8256087981149</v>
      </c>
      <c r="S37" s="82">
        <v>0</v>
      </c>
      <c r="T37" s="96">
        <f>IF(AND(C37=[2]Add.fees!$G$4,Appendix!D38=[2]Add.fees!$G$8),[2]Add.fees!$E$8,IF(AND(C37=[2]Add.fees!$G$5,Appendix!D38=[2]Add.fees!$G$8),[2]Add.fees!$E$8,IF(AND(C37=[2]Add.fees!$G$6,Appendix!D38=[2]Add.fees!$G$8),[2]Add.fees!$F$8,IF(AND(C37=[2]Add.fees!$G$4,Appendix!D38=[2]Add.fees!$G$9),[2]Add.fees!$E$9,IF(AND(C37=[2]Add.fees!$G$5,Appendix!D38=[2]Add.fees!$G$9),[2]Add.fees!$E$9,IF(AND(C37=[2]Add.fees!$G$6,Appendix!D38=[2]Add.fees!$G$9),[2]Add.fees!$F$9,0))))))*(H37/L37*K37)</f>
        <v>38031.657501963869</v>
      </c>
      <c r="U37" s="96">
        <v>0</v>
      </c>
      <c r="V37" s="96">
        <f t="shared" si="7"/>
        <v>502727.36457187752</v>
      </c>
      <c r="W37" s="97">
        <f t="shared" si="3"/>
        <v>390.83</v>
      </c>
      <c r="X37" s="84">
        <f t="shared" si="4"/>
        <v>2138.84</v>
      </c>
      <c r="Y37" s="85">
        <f t="shared" si="5"/>
        <v>0</v>
      </c>
      <c r="Z37" s="86">
        <f t="shared" si="6"/>
        <v>0</v>
      </c>
      <c r="AC37" s="88">
        <v>32281.199999999997</v>
      </c>
    </row>
    <row r="38" spans="1:29" s="85" customFormat="1" ht="15">
      <c r="A38" s="316"/>
      <c r="B38" s="89" t="s">
        <v>339</v>
      </c>
      <c r="C38" s="125" t="s">
        <v>21</v>
      </c>
      <c r="D38" s="91">
        <v>45124</v>
      </c>
      <c r="E38" s="90" t="s">
        <v>84</v>
      </c>
      <c r="F38" s="126" t="s">
        <v>193</v>
      </c>
      <c r="G38" s="92" t="s">
        <v>328</v>
      </c>
      <c r="H38" s="93">
        <v>25.890999999999998</v>
      </c>
      <c r="I38" s="122">
        <v>4368</v>
      </c>
      <c r="J38" s="76" t="str">
        <f>VLOOKUP(G38,'[2]Vendor list'!$A$3:$D$406,4,0)</f>
        <v>FCA</v>
      </c>
      <c r="K38" s="76">
        <f t="shared" si="0"/>
        <v>1</v>
      </c>
      <c r="L38" s="95">
        <f t="shared" si="1"/>
        <v>63.65</v>
      </c>
      <c r="M38" s="82">
        <f>VLOOKUP(F38,Appendix!$B$7:$N$1048576,13,0)</f>
        <v>392000</v>
      </c>
      <c r="N38" s="82">
        <f>K38*H38*[2]Add.fees!$F$11</f>
        <v>219814.59</v>
      </c>
      <c r="O38" s="96">
        <f>IF(AND(C38=[2]Add.fees!$G$4),[2]Add.fees!$E$7,IF(AND(C38=[2]Add.fees!$G$5),[2]Add.fees!$E$7,IF(AND(C38=[2]Add.fees!$G$6),[2]Add.fees!$F$7,0)))*(H38/L38*K38)</f>
        <v>78832.298507462678</v>
      </c>
      <c r="P38" s="96">
        <f>IF(AND(C38=[2]Add.fees!$G$4),[2]Add.fees!$E$4,IF(AND(C38=[2]Add.fees!$G$5),[2]Add.fees!$E$4,IF(AND(C38=[2]Add.fees!$G$6),[2]Add.fees!$F$4,0)))*(H38/L38*K38)</f>
        <v>20338.570306362923</v>
      </c>
      <c r="Q38" s="96">
        <f>IF(AND(C38=[2]Add.fees!$G$4),[2]Add.fees!$E$5,IF(AND(C38=[2]Add.fees!$G$5),[2]Add.fees!$E$5,IF(AND(C38=[2]Add.fees!$G$6),[2]Add.fees!$F$5,0)))*(H38/L38*K38)</f>
        <v>75415.418695993707</v>
      </c>
      <c r="R38" s="96">
        <f>IF(AND(C38=[2]Add.fees!$G$4),[2]Add.fees!$E$6,IF(AND(C38=[2]Add.fees!$G$5),[2]Add.fees!$E$6,IF(AND(C38=[2]Add.fees!$G$6),[2]Add.fees!$F$6,0)))*(H38/L38*K38)</f>
        <v>3701.6197957580516</v>
      </c>
      <c r="S38" s="82">
        <v>0</v>
      </c>
      <c r="T38" s="96">
        <f>IF(AND(C38=[2]Add.fees!$G$4,Appendix!D39=[2]Add.fees!$G$8),[2]Add.fees!$E$8,IF(AND(C38=[2]Add.fees!$G$5,Appendix!D39=[2]Add.fees!$G$8),[2]Add.fees!$E$8,IF(AND(C38=[2]Add.fees!$G$6,Appendix!D39=[2]Add.fees!$G$8),[2]Add.fees!$F$8,IF(AND(C38=[2]Add.fees!$G$4,Appendix!D39=[2]Add.fees!$G$9),[2]Add.fees!$E$9,IF(AND(C38=[2]Add.fees!$G$5,Appendix!D39=[2]Add.fees!$G$9),[2]Add.fees!$E$9,IF(AND(C38=[2]Add.fees!$G$6,Appendix!D39=[2]Add.fees!$G$9),[2]Add.fees!$F$9,0))))))*(H38/L38*K38)</f>
        <v>114099.37941869599</v>
      </c>
      <c r="U38" s="96">
        <v>0</v>
      </c>
      <c r="V38" s="96">
        <f t="shared" si="7"/>
        <v>904201.87672427343</v>
      </c>
      <c r="W38" s="97">
        <f t="shared" si="3"/>
        <v>702.95</v>
      </c>
      <c r="X38" s="84">
        <f t="shared" si="4"/>
        <v>2138.84</v>
      </c>
      <c r="Y38" s="85">
        <f t="shared" si="5"/>
        <v>0</v>
      </c>
      <c r="Z38" s="86">
        <f t="shared" si="6"/>
        <v>0</v>
      </c>
      <c r="AC38" s="127">
        <v>18083.52</v>
      </c>
    </row>
    <row r="39" spans="1:29" s="85" customFormat="1" ht="15">
      <c r="A39" s="317"/>
      <c r="B39" s="89" t="s">
        <v>339</v>
      </c>
      <c r="C39" s="125" t="s">
        <v>21</v>
      </c>
      <c r="D39" s="91">
        <v>45124</v>
      </c>
      <c r="E39" s="90" t="s">
        <v>84</v>
      </c>
      <c r="F39" s="126" t="s">
        <v>194</v>
      </c>
      <c r="G39" s="92" t="s">
        <v>328</v>
      </c>
      <c r="H39" s="93">
        <v>18.338999999999999</v>
      </c>
      <c r="I39" s="122">
        <v>3094</v>
      </c>
      <c r="J39" s="76" t="str">
        <f>VLOOKUP(G39,'[2]Vendor list'!$A$3:$D$406,4,0)</f>
        <v>FCA</v>
      </c>
      <c r="K39" s="76">
        <f t="shared" si="0"/>
        <v>1</v>
      </c>
      <c r="L39" s="95">
        <f t="shared" si="1"/>
        <v>63.65</v>
      </c>
      <c r="M39" s="82">
        <f>VLOOKUP(F39,Appendix!$B$7:$N$1048576,13,0)</f>
        <v>376000</v>
      </c>
      <c r="N39" s="82">
        <f>K39*H39*[2]Add.fees!$F$11</f>
        <v>155698.10999999999</v>
      </c>
      <c r="O39" s="96">
        <f>IF(AND(C39=[2]Add.fees!$G$4),[2]Add.fees!$E$7,IF(AND(C39=[2]Add.fees!$G$5),[2]Add.fees!$E$7,IF(AND(C39=[2]Add.fees!$G$6),[2]Add.fees!$F$7,0)))*(H39/L39*K39)</f>
        <v>55838.149253731339</v>
      </c>
      <c r="P39" s="96">
        <f>IF(AND(C39=[2]Add.fees!$G$4),[2]Add.fees!$E$4,IF(AND(C39=[2]Add.fees!$G$5),[2]Add.fees!$E$4,IF(AND(C39=[2]Add.fees!$G$6),[2]Add.fees!$F$4,0)))*(H39/L39*K39)</f>
        <v>14406.127258444618</v>
      </c>
      <c r="Q39" s="96">
        <f>IF(AND(C39=[2]Add.fees!$G$4),[2]Add.fees!$E$5,IF(AND(C39=[2]Add.fees!$G$5),[2]Add.fees!$E$5,IF(AND(C39=[2]Add.fees!$G$6),[2]Add.fees!$F$5,0)))*(H39/L39*K39)</f>
        <v>53417.91987431264</v>
      </c>
      <c r="R39" s="96">
        <f>IF(AND(C39=[2]Add.fees!$G$4),[2]Add.fees!$E$6,IF(AND(C39=[2]Add.fees!$G$5),[2]Add.fees!$E$6,IF(AND(C39=[2]Add.fees!$G$6),[2]Add.fees!$F$6,0)))*(H39/L39*K39)</f>
        <v>2621.9151610369204</v>
      </c>
      <c r="S39" s="82">
        <v>0</v>
      </c>
      <c r="T39" s="96">
        <f>IF(AND(C39=[2]Add.fees!$G$4,Appendix!D40=[2]Add.fees!$G$8),[2]Add.fees!$E$8,IF(AND(C39=[2]Add.fees!$G$5,Appendix!D40=[2]Add.fees!$G$8),[2]Add.fees!$E$8,IF(AND(C39=[2]Add.fees!$G$6,Appendix!D40=[2]Add.fees!$G$8),[2]Add.fees!$F$8,IF(AND(C39=[2]Add.fees!$G$4,Appendix!D40=[2]Add.fees!$G$9),[2]Add.fees!$E$9,IF(AND(C39=[2]Add.fees!$G$5,Appendix!D40=[2]Add.fees!$G$9),[2]Add.fees!$E$9,IF(AND(C39=[2]Add.fees!$G$6,Appendix!D40=[2]Add.fees!$G$9),[2]Add.fees!$F$9,0))))))*(H39/L39*K39)</f>
        <v>80818.373919874299</v>
      </c>
      <c r="U39" s="96">
        <v>0</v>
      </c>
      <c r="V39" s="96">
        <f t="shared" si="7"/>
        <v>738800.59546739981</v>
      </c>
      <c r="W39" s="97">
        <f t="shared" si="3"/>
        <v>574.36</v>
      </c>
      <c r="X39" s="84">
        <f t="shared" si="4"/>
        <v>2138.84</v>
      </c>
      <c r="Y39" s="85">
        <f t="shared" si="5"/>
        <v>0</v>
      </c>
      <c r="Z39" s="86">
        <f t="shared" si="6"/>
        <v>0</v>
      </c>
      <c r="AC39" s="127">
        <v>12809.16</v>
      </c>
    </row>
    <row r="40" spans="1:29" s="85" customFormat="1" ht="15">
      <c r="A40" s="314">
        <v>10</v>
      </c>
      <c r="B40" s="89" t="s">
        <v>340</v>
      </c>
      <c r="C40" s="125" t="s">
        <v>21</v>
      </c>
      <c r="D40" s="91">
        <v>45124</v>
      </c>
      <c r="E40" s="90" t="s">
        <v>84</v>
      </c>
      <c r="F40" s="126" t="s">
        <v>196</v>
      </c>
      <c r="G40" s="92" t="s">
        <v>328</v>
      </c>
      <c r="H40" s="93">
        <v>7.5519999999999996</v>
      </c>
      <c r="I40" s="94">
        <v>1274</v>
      </c>
      <c r="J40" s="76" t="str">
        <f>VLOOKUP(G40,'[2]Vendor list'!$A$3:$D$406,4,0)</f>
        <v>FCA</v>
      </c>
      <c r="K40" s="76">
        <f t="shared" si="0"/>
        <v>1</v>
      </c>
      <c r="L40" s="95">
        <f t="shared" si="1"/>
        <v>64.295999999999992</v>
      </c>
      <c r="M40" s="82">
        <f>VLOOKUP(F40,Appendix!$B$7:$N$1048576,13,0)</f>
        <v>332000</v>
      </c>
      <c r="N40" s="82">
        <f>K40*H40*[2]Add.fees!$F$11</f>
        <v>64116.479999999996</v>
      </c>
      <c r="O40" s="96">
        <f>IF(AND(C40=[2]Add.fees!$G$4),[2]Add.fees!$E$7,IF(AND(C40=[2]Add.fees!$G$5),[2]Add.fees!$E$7,IF(AND(C40=[2]Add.fees!$G$6),[2]Add.fees!$F$7,0)))*(H40/L40*K40)</f>
        <v>22763.120567375889</v>
      </c>
      <c r="P40" s="96">
        <f>IF(AND(C40=[2]Add.fees!$G$4),[2]Add.fees!$E$4,IF(AND(C40=[2]Add.fees!$G$5),[2]Add.fees!$E$4,IF(AND(C40=[2]Add.fees!$G$6),[2]Add.fees!$F$4,0)))*(H40/L40*K40)</f>
        <v>5872.8381236779896</v>
      </c>
      <c r="Q40" s="96">
        <f>IF(AND(C40=[2]Add.fees!$G$4),[2]Add.fees!$E$5,IF(AND(C40=[2]Add.fees!$G$5),[2]Add.fees!$E$5,IF(AND(C40=[2]Add.fees!$G$6),[2]Add.fees!$F$5,0)))*(H40/L40*K40)</f>
        <v>21776.483762597985</v>
      </c>
      <c r="R40" s="96">
        <f>IF(AND(C40=[2]Add.fees!$G$4),[2]Add.fees!$E$6,IF(AND(C40=[2]Add.fees!$G$5),[2]Add.fees!$E$6,IF(AND(C40=[2]Add.fees!$G$6),[2]Add.fees!$F$6,0)))*(H40/L40*K40)</f>
        <v>1068.8565385093941</v>
      </c>
      <c r="S40" s="82">
        <v>0</v>
      </c>
      <c r="T40" s="96">
        <f>IF(AND(C40=[2]Add.fees!$G$4,Appendix!D41=[2]Add.fees!$G$8),[2]Add.fees!$E$8,IF(AND(C40=[2]Add.fees!$G$5,Appendix!D41=[2]Add.fees!$G$8),[2]Add.fees!$E$8,IF(AND(C40=[2]Add.fees!$G$6,Appendix!D41=[2]Add.fees!$G$8),[2]Add.fees!$F$8,IF(AND(C40=[2]Add.fees!$G$4,Appendix!D41=[2]Add.fees!$G$9),[2]Add.fees!$E$9,IF(AND(C40=[2]Add.fees!$G$5,Appendix!D41=[2]Add.fees!$G$9),[2]Add.fees!$E$9,IF(AND(C40=[2]Add.fees!$G$6,Appendix!D41=[2]Add.fees!$G$9),[2]Add.fees!$F$9,0))))))*(H40/L40*K40)</f>
        <v>32946.621873833523</v>
      </c>
      <c r="U40" s="96">
        <v>0</v>
      </c>
      <c r="V40" s="96">
        <f t="shared" si="7"/>
        <v>480544.4008659948</v>
      </c>
      <c r="W40" s="97">
        <f t="shared" si="3"/>
        <v>373.59</v>
      </c>
      <c r="X40" s="84">
        <f t="shared" si="4"/>
        <v>1850.8</v>
      </c>
      <c r="Y40" s="85">
        <f t="shared" si="5"/>
        <v>1</v>
      </c>
      <c r="Z40" s="86">
        <f t="shared" si="6"/>
        <v>1850.8</v>
      </c>
      <c r="AC40" s="127">
        <v>5274.3600000000006</v>
      </c>
    </row>
    <row r="41" spans="1:29" s="85" customFormat="1" ht="15">
      <c r="A41" s="317"/>
      <c r="B41" s="89" t="s">
        <v>340</v>
      </c>
      <c r="C41" s="125" t="s">
        <v>21</v>
      </c>
      <c r="D41" s="91">
        <v>45124</v>
      </c>
      <c r="E41" s="90" t="s">
        <v>84</v>
      </c>
      <c r="F41" s="126" t="s">
        <v>197</v>
      </c>
      <c r="G41" s="92" t="s">
        <v>328</v>
      </c>
      <c r="H41" s="93">
        <v>56.744</v>
      </c>
      <c r="I41" s="122">
        <v>9696.5</v>
      </c>
      <c r="J41" s="76" t="str">
        <f>VLOOKUP(G41,'[2]Vendor list'!$A$3:$D$406,4,0)</f>
        <v>FCA</v>
      </c>
      <c r="K41" s="76">
        <f t="shared" si="0"/>
        <v>1</v>
      </c>
      <c r="L41" s="95">
        <f t="shared" si="1"/>
        <v>64.295999999999992</v>
      </c>
      <c r="M41" s="82">
        <f>VLOOKUP(F41,Appendix!$B$7:$N$1048576,13,0)</f>
        <v>784000</v>
      </c>
      <c r="N41" s="82">
        <f>K41*H41*[2]Add.fees!$F$11</f>
        <v>481756.56</v>
      </c>
      <c r="O41" s="96">
        <f>IF(AND(C41=[2]Add.fees!$G$4),[2]Add.fees!$E$7,IF(AND(C41=[2]Add.fees!$G$5),[2]Add.fees!$E$7,IF(AND(C41=[2]Add.fees!$G$6),[2]Add.fees!$F$7,0)))*(H41/L41*K41)</f>
        <v>171036.87943262415</v>
      </c>
      <c r="P41" s="96">
        <f>IF(AND(C41=[2]Add.fees!$G$4),[2]Add.fees!$E$4,IF(AND(C41=[2]Add.fees!$G$5),[2]Add.fees!$E$4,IF(AND(C41=[2]Add.fees!$G$6),[2]Add.fees!$F$4,0)))*(H41/L41*K41)</f>
        <v>44127.161876322018</v>
      </c>
      <c r="Q41" s="96">
        <f>IF(AND(C41=[2]Add.fees!$G$4),[2]Add.fees!$E$5,IF(AND(C41=[2]Add.fees!$G$5),[2]Add.fees!$E$5,IF(AND(C41=[2]Add.fees!$G$6),[2]Add.fees!$F$5,0)))*(H41/L41*K41)</f>
        <v>163623.51623740204</v>
      </c>
      <c r="R41" s="96">
        <f>IF(AND(C41=[2]Add.fees!$G$4),[2]Add.fees!$E$6,IF(AND(C41=[2]Add.fees!$G$5),[2]Add.fees!$E$6,IF(AND(C41=[2]Add.fees!$G$6),[2]Add.fees!$F$6,0)))*(H41/L41*K41)</f>
        <v>8031.1434614906075</v>
      </c>
      <c r="S41" s="82">
        <v>0</v>
      </c>
      <c r="T41" s="96">
        <f>IF(AND(C41=[2]Add.fees!$G$4,Appendix!D42=[2]Add.fees!$G$8),[2]Add.fees!$E$8,IF(AND(C41=[2]Add.fees!$G$5,Appendix!D42=[2]Add.fees!$G$8),[2]Add.fees!$E$8,IF(AND(C41=[2]Add.fees!$G$6,Appendix!D42=[2]Add.fees!$G$8),[2]Add.fees!$F$8,IF(AND(C41=[2]Add.fees!$G$4,Appendix!D42=[2]Add.fees!$G$9),[2]Add.fees!$E$9,IF(AND(C41=[2]Add.fees!$G$5,Appendix!D42=[2]Add.fees!$G$9),[2]Add.fees!$E$9,IF(AND(C41=[2]Add.fees!$G$6,Appendix!D42=[2]Add.fees!$G$9),[2]Add.fees!$F$9,0))))))*(H41/L41*K41)</f>
        <v>247553.37812616653</v>
      </c>
      <c r="U41" s="96">
        <v>0</v>
      </c>
      <c r="V41" s="96">
        <f t="shared" si="7"/>
        <v>1900128.6391340054</v>
      </c>
      <c r="W41" s="97">
        <f t="shared" si="3"/>
        <v>1477.21</v>
      </c>
      <c r="X41" s="84">
        <f t="shared" si="4"/>
        <v>1850.8</v>
      </c>
      <c r="Y41" s="85">
        <f t="shared" si="5"/>
        <v>0</v>
      </c>
      <c r="Z41" s="86">
        <f t="shared" si="6"/>
        <v>0</v>
      </c>
      <c r="AC41" s="127">
        <v>99707.489999999991</v>
      </c>
    </row>
    <row r="42" spans="1:29" s="85" customFormat="1" ht="15">
      <c r="A42" s="128">
        <v>11</v>
      </c>
      <c r="B42" s="89" t="s">
        <v>341</v>
      </c>
      <c r="C42" s="125" t="s">
        <v>21</v>
      </c>
      <c r="D42" s="91">
        <v>45124</v>
      </c>
      <c r="E42" s="90" t="s">
        <v>84</v>
      </c>
      <c r="F42" s="126" t="s">
        <v>199</v>
      </c>
      <c r="G42" s="92" t="s">
        <v>328</v>
      </c>
      <c r="H42" s="93">
        <v>66.432000000000002</v>
      </c>
      <c r="I42" s="122">
        <v>11352</v>
      </c>
      <c r="J42" s="76" t="str">
        <f>VLOOKUP(G42,'[2]Vendor list'!$A$3:$D$406,4,0)</f>
        <v>FCA</v>
      </c>
      <c r="K42" s="76">
        <f t="shared" si="0"/>
        <v>1</v>
      </c>
      <c r="L42" s="95">
        <f t="shared" si="1"/>
        <v>66.432000000000002</v>
      </c>
      <c r="M42" s="82">
        <f>VLOOKUP(F42,Appendix!$B$7:$N$1048576,13,0)</f>
        <v>1016000</v>
      </c>
      <c r="N42" s="82">
        <f>K42*H42*[2]Add.fees!$F$11</f>
        <v>564007.68000000005</v>
      </c>
      <c r="O42" s="96">
        <f>IF(AND(C42=[2]Add.fees!$G$4),[2]Add.fees!$E$7,IF(AND(C42=[2]Add.fees!$G$5),[2]Add.fees!$E$7,IF(AND(C42=[2]Add.fees!$G$6),[2]Add.fees!$F$7,0)))*(H42/L42*K42)</f>
        <v>193800</v>
      </c>
      <c r="P42" s="96">
        <f>IF(AND(C42=[2]Add.fees!$G$4),[2]Add.fees!$E$4,IF(AND(C42=[2]Add.fees!$G$5),[2]Add.fees!$E$4,IF(AND(C42=[2]Add.fees!$G$6),[2]Add.fees!$F$4,0)))*(H42/L42*K42)</f>
        <v>50000</v>
      </c>
      <c r="Q42" s="96">
        <f>IF(AND(C42=[2]Add.fees!$G$4),[2]Add.fees!$E$5,IF(AND(C42=[2]Add.fees!$G$5),[2]Add.fees!$E$5,IF(AND(C42=[2]Add.fees!$G$6),[2]Add.fees!$F$5,0)))*(H42/L42*K42)</f>
        <v>185400</v>
      </c>
      <c r="R42" s="96">
        <f>IF(AND(C42=[2]Add.fees!$G$4),[2]Add.fees!$E$6,IF(AND(C42=[2]Add.fees!$G$5),[2]Add.fees!$E$6,IF(AND(C42=[2]Add.fees!$G$6),[2]Add.fees!$F$6,0)))*(H42/L42*K42)</f>
        <v>9100</v>
      </c>
      <c r="S42" s="82">
        <v>0</v>
      </c>
      <c r="T42" s="96">
        <f>IF(AND(C42=[2]Add.fees!$G$4,Appendix!D43=[2]Add.fees!$G$8),[2]Add.fees!$E$8,IF(AND(C42=[2]Add.fees!$G$5,Appendix!D43=[2]Add.fees!$G$8),[2]Add.fees!$E$8,IF(AND(C42=[2]Add.fees!$G$6,Appendix!D43=[2]Add.fees!$G$8),[2]Add.fees!$F$8,IF(AND(C42=[2]Add.fees!$G$4,Appendix!D43=[2]Add.fees!$G$9),[2]Add.fees!$E$9,IF(AND(C42=[2]Add.fees!$G$5,Appendix!D43=[2]Add.fees!$G$9),[2]Add.fees!$E$9,IF(AND(C42=[2]Add.fees!$G$6,Appendix!D43=[2]Add.fees!$G$9),[2]Add.fees!$F$9,0))))))*(H42/L42*K42)</f>
        <v>280500</v>
      </c>
      <c r="U42" s="96">
        <v>0</v>
      </c>
      <c r="V42" s="96">
        <f t="shared" si="7"/>
        <v>2298807.6800000002</v>
      </c>
      <c r="W42" s="97">
        <f t="shared" si="3"/>
        <v>1787.15</v>
      </c>
      <c r="X42" s="84">
        <f t="shared" si="4"/>
        <v>1787.15</v>
      </c>
      <c r="Y42" s="85">
        <f t="shared" si="5"/>
        <v>1</v>
      </c>
      <c r="Z42" s="86">
        <f t="shared" si="6"/>
        <v>1787.15</v>
      </c>
      <c r="AC42" s="127">
        <v>116730.72</v>
      </c>
    </row>
    <row r="43" spans="1:29" s="85" customFormat="1" ht="15">
      <c r="A43" s="128">
        <v>12</v>
      </c>
      <c r="B43" s="89" t="s">
        <v>342</v>
      </c>
      <c r="C43" s="125" t="s">
        <v>21</v>
      </c>
      <c r="D43" s="91">
        <v>45124</v>
      </c>
      <c r="E43" s="90" t="s">
        <v>84</v>
      </c>
      <c r="F43" s="126" t="s">
        <v>201</v>
      </c>
      <c r="G43" s="92" t="s">
        <v>95</v>
      </c>
      <c r="H43" s="117">
        <v>54.673999999999999</v>
      </c>
      <c r="I43" s="129">
        <v>3815</v>
      </c>
      <c r="J43" s="76" t="str">
        <f>VLOOKUP(G43,'[2]Vendor list'!$A$3:$D$406,4,0)</f>
        <v>FCA</v>
      </c>
      <c r="K43" s="76">
        <f t="shared" si="0"/>
        <v>1</v>
      </c>
      <c r="L43" s="95">
        <f t="shared" si="1"/>
        <v>54.673999999999999</v>
      </c>
      <c r="M43" s="82">
        <f>VLOOKUP(F43,Appendix!$B$7:$N$1048576,13,0)</f>
        <v>1504000</v>
      </c>
      <c r="N43" s="82">
        <f>K43*H43*[2]Add.fees!$F$11</f>
        <v>464182.26</v>
      </c>
      <c r="O43" s="96">
        <f>IF(AND(C43=[2]Add.fees!$G$4),[2]Add.fees!$E$7,IF(AND(C43=[2]Add.fees!$G$5),[2]Add.fees!$E$7,IF(AND(C43=[2]Add.fees!$G$6),[2]Add.fees!$F$7,0)))*(H43/L43*K43)</f>
        <v>193800</v>
      </c>
      <c r="P43" s="96">
        <f>IF(AND(C43=[2]Add.fees!$G$4),[2]Add.fees!$E$4,IF(AND(C43=[2]Add.fees!$G$5),[2]Add.fees!$E$4,IF(AND(C43=[2]Add.fees!$G$6),[2]Add.fees!$F$4,0)))*(H43/L43*K43)</f>
        <v>50000</v>
      </c>
      <c r="Q43" s="96">
        <f>IF(AND(C43=[2]Add.fees!$G$4),[2]Add.fees!$E$5,IF(AND(C43=[2]Add.fees!$G$5),[2]Add.fees!$E$5,IF(AND(C43=[2]Add.fees!$G$6),[2]Add.fees!$F$5,0)))*(H43/L43*K43)</f>
        <v>185400</v>
      </c>
      <c r="R43" s="96">
        <f>IF(AND(C43=[2]Add.fees!$G$4),[2]Add.fees!$E$6,IF(AND(C43=[2]Add.fees!$G$5),[2]Add.fees!$E$6,IF(AND(C43=[2]Add.fees!$G$6),[2]Add.fees!$F$6,0)))*(H43/L43*K43)</f>
        <v>9100</v>
      </c>
      <c r="S43" s="82">
        <v>0</v>
      </c>
      <c r="T43" s="96">
        <f>IF(AND(C43=[2]Add.fees!$G$4,Appendix!D44=[2]Add.fees!$G$8),[2]Add.fees!$E$8,IF(AND(C43=[2]Add.fees!$G$5,Appendix!D44=[2]Add.fees!$G$8),[2]Add.fees!$E$8,IF(AND(C43=[2]Add.fees!$G$6,Appendix!D44=[2]Add.fees!$G$8),[2]Add.fees!$F$8,IF(AND(C43=[2]Add.fees!$G$4,Appendix!D44=[2]Add.fees!$G$9),[2]Add.fees!$E$9,IF(AND(C43=[2]Add.fees!$G$5,Appendix!D44=[2]Add.fees!$G$9),[2]Add.fees!$E$9,IF(AND(C43=[2]Add.fees!$G$6,Appendix!D44=[2]Add.fees!$G$9),[2]Add.fees!$F$9,0))))))*(H43/L43*K43)</f>
        <v>280500</v>
      </c>
      <c r="U43" s="96">
        <v>0</v>
      </c>
      <c r="V43" s="96">
        <f t="shared" si="7"/>
        <v>2686982.26</v>
      </c>
      <c r="W43" s="97">
        <f t="shared" si="3"/>
        <v>2088.92</v>
      </c>
      <c r="X43" s="84">
        <f t="shared" si="4"/>
        <v>2088.92</v>
      </c>
      <c r="Y43" s="85">
        <f t="shared" si="5"/>
        <v>1</v>
      </c>
      <c r="Z43" s="86">
        <f t="shared" si="6"/>
        <v>2088.92</v>
      </c>
      <c r="AC43" s="127">
        <v>16112.64</v>
      </c>
    </row>
    <row r="44" spans="1:29" s="85" customFormat="1" ht="15">
      <c r="A44" s="314">
        <v>13</v>
      </c>
      <c r="B44" s="89" t="s">
        <v>343</v>
      </c>
      <c r="C44" s="125" t="s">
        <v>21</v>
      </c>
      <c r="D44" s="91">
        <v>45124</v>
      </c>
      <c r="E44" s="90" t="s">
        <v>84</v>
      </c>
      <c r="F44" s="126" t="s">
        <v>203</v>
      </c>
      <c r="G44" s="92" t="s">
        <v>85</v>
      </c>
      <c r="H44" s="93">
        <v>3.7370000000000001</v>
      </c>
      <c r="I44" s="94">
        <v>1605</v>
      </c>
      <c r="J44" s="76" t="str">
        <f>VLOOKUP(G44,'[2]Vendor list'!$A$3:$D$406,4,0)</f>
        <v>FCA</v>
      </c>
      <c r="K44" s="76">
        <f t="shared" si="0"/>
        <v>1</v>
      </c>
      <c r="L44" s="95">
        <f t="shared" si="1"/>
        <v>58.664999999999999</v>
      </c>
      <c r="M44" s="82">
        <f>VLOOKUP(F44,Appendix!$B$7:$N$1048576,13,0)</f>
        <v>478000</v>
      </c>
      <c r="N44" s="82">
        <f>K44*H44*[2]Add.fees!$F$11</f>
        <v>31727.13</v>
      </c>
      <c r="O44" s="96">
        <f>IF(AND(C44=[2]Add.fees!$G$4),[2]Add.fees!$E$7,IF(AND(C44=[2]Add.fees!$G$5),[2]Add.fees!$E$7,IF(AND(C44=[2]Add.fees!$G$6),[2]Add.fees!$F$7,0)))*(H44/L44*K44)</f>
        <v>12345.190488366148</v>
      </c>
      <c r="P44" s="96">
        <f>IF(AND(C44=[2]Add.fees!$G$4),[2]Add.fees!$E$4,IF(AND(C44=[2]Add.fees!$G$5),[2]Add.fees!$E$4,IF(AND(C44=[2]Add.fees!$G$6),[2]Add.fees!$F$4,0)))*(H44/L44*K44)</f>
        <v>3185.03366572914</v>
      </c>
      <c r="Q44" s="96">
        <f>IF(AND(C44=[2]Add.fees!$G$4),[2]Add.fees!$E$5,IF(AND(C44=[2]Add.fees!$G$5),[2]Add.fees!$E$5,IF(AND(C44=[2]Add.fees!$G$6),[2]Add.fees!$F$5,0)))*(H44/L44*K44)</f>
        <v>11810.104832523652</v>
      </c>
      <c r="R44" s="96">
        <f>IF(AND(C44=[2]Add.fees!$G$4),[2]Add.fees!$E$6,IF(AND(C44=[2]Add.fees!$G$5),[2]Add.fees!$E$6,IF(AND(C44=[2]Add.fees!$G$6),[2]Add.fees!$F$6,0)))*(H44/L44*K44)</f>
        <v>579.67612716270355</v>
      </c>
      <c r="S44" s="82">
        <v>0</v>
      </c>
      <c r="T44" s="96">
        <f>IF(AND(C44=[2]Add.fees!$G$4,Appendix!D45=[2]Add.fees!$G$8),[2]Add.fees!$E$8,IF(AND(C44=[2]Add.fees!$G$5,Appendix!D45=[2]Add.fees!$G$8),[2]Add.fees!$E$8,IF(AND(C44=[2]Add.fees!$G$6,Appendix!D45=[2]Add.fees!$G$8),[2]Add.fees!$F$8,IF(AND(C44=[2]Add.fees!$G$4,Appendix!D45=[2]Add.fees!$G$9),[2]Add.fees!$E$9,IF(AND(C44=[2]Add.fees!$G$5,Appendix!D45=[2]Add.fees!$G$9),[2]Add.fees!$E$9,IF(AND(C44=[2]Add.fees!$G$6,Appendix!D45=[2]Add.fees!$G$9),[2]Add.fees!$F$9,0))))))*(H44/L44*K44)</f>
        <v>17868.038864740476</v>
      </c>
      <c r="U44" s="96">
        <v>0</v>
      </c>
      <c r="V44" s="96">
        <f t="shared" si="7"/>
        <v>555515.17397852207</v>
      </c>
      <c r="W44" s="97">
        <f t="shared" si="3"/>
        <v>431.87</v>
      </c>
      <c r="X44" s="84">
        <f t="shared" si="4"/>
        <v>2666.85</v>
      </c>
      <c r="Y44" s="85">
        <f t="shared" si="5"/>
        <v>1</v>
      </c>
      <c r="Z44" s="86">
        <f t="shared" si="6"/>
        <v>2666.85</v>
      </c>
      <c r="AC44" s="127">
        <v>5278</v>
      </c>
    </row>
    <row r="45" spans="1:29" s="85" customFormat="1" ht="15">
      <c r="A45" s="316"/>
      <c r="B45" s="89" t="s">
        <v>343</v>
      </c>
      <c r="C45" s="125" t="s">
        <v>21</v>
      </c>
      <c r="D45" s="91">
        <v>45124</v>
      </c>
      <c r="E45" s="90" t="s">
        <v>84</v>
      </c>
      <c r="F45" s="126" t="s">
        <v>204</v>
      </c>
      <c r="G45" s="92" t="s">
        <v>95</v>
      </c>
      <c r="H45" s="93">
        <v>13.667999999999999</v>
      </c>
      <c r="I45" s="122">
        <v>954.2</v>
      </c>
      <c r="J45" s="76" t="str">
        <f>VLOOKUP(G45,'[2]Vendor list'!$A$3:$D$406,4,0)</f>
        <v>FCA</v>
      </c>
      <c r="K45" s="76">
        <f t="shared" si="0"/>
        <v>1</v>
      </c>
      <c r="L45" s="95">
        <f t="shared" si="1"/>
        <v>58.664999999999999</v>
      </c>
      <c r="M45" s="82">
        <f>VLOOKUP(F45,Appendix!$B$7:$N$1048576,13,0)</f>
        <v>632500</v>
      </c>
      <c r="N45" s="82">
        <f>K45*H45*[2]Add.fees!$F$11</f>
        <v>116041.31999999999</v>
      </c>
      <c r="O45" s="96">
        <f>IF(AND(C45=[2]Add.fees!$G$4),[2]Add.fees!$E$7,IF(AND(C45=[2]Add.fees!$G$5),[2]Add.fees!$E$7,IF(AND(C45=[2]Add.fees!$G$6),[2]Add.fees!$F$7,0)))*(H45/L45*K45)</f>
        <v>45152.278189721299</v>
      </c>
      <c r="P45" s="96">
        <f>IF(AND(C45=[2]Add.fees!$G$4),[2]Add.fees!$E$4,IF(AND(C45=[2]Add.fees!$G$5),[2]Add.fees!$E$4,IF(AND(C45=[2]Add.fees!$G$6),[2]Add.fees!$F$4,0)))*(H45/L45*K45)</f>
        <v>11649.19457939146</v>
      </c>
      <c r="Q45" s="96">
        <f>IF(AND(C45=[2]Add.fees!$G$4),[2]Add.fees!$E$5,IF(AND(C45=[2]Add.fees!$G$5),[2]Add.fees!$E$5,IF(AND(C45=[2]Add.fees!$G$6),[2]Add.fees!$F$5,0)))*(H45/L45*K45)</f>
        <v>43195.213500383536</v>
      </c>
      <c r="R45" s="96">
        <f>IF(AND(C45=[2]Add.fees!$G$4),[2]Add.fees!$E$6,IF(AND(C45=[2]Add.fees!$G$5),[2]Add.fees!$E$6,IF(AND(C45=[2]Add.fees!$G$6),[2]Add.fees!$F$6,0)))*(H45/L45*K45)</f>
        <v>2120.1534134492458</v>
      </c>
      <c r="S45" s="82">
        <v>0</v>
      </c>
      <c r="T45" s="96">
        <f>IF(AND(C45=[2]Add.fees!$G$4,Appendix!D46=[2]Add.fees!$G$8),[2]Add.fees!$E$8,IF(AND(C45=[2]Add.fees!$G$5,Appendix!D46=[2]Add.fees!$G$8),[2]Add.fees!$E$8,IF(AND(C45=[2]Add.fees!$G$6,Appendix!D46=[2]Add.fees!$G$8),[2]Add.fees!$F$8,IF(AND(C45=[2]Add.fees!$G$4,Appendix!D46=[2]Add.fees!$G$9),[2]Add.fees!$E$9,IF(AND(C45=[2]Add.fees!$G$5,Appendix!D46=[2]Add.fees!$G$9),[2]Add.fees!$E$9,IF(AND(C45=[2]Add.fees!$G$6,Appendix!D46=[2]Add.fees!$G$9),[2]Add.fees!$F$9,0))))))*(H45/L45*K45)</f>
        <v>65351.981590386087</v>
      </c>
      <c r="U45" s="96">
        <v>0</v>
      </c>
      <c r="V45" s="96">
        <f t="shared" si="7"/>
        <v>916010.14127333171</v>
      </c>
      <c r="W45" s="97">
        <f t="shared" si="3"/>
        <v>712.13</v>
      </c>
      <c r="X45" s="84">
        <f t="shared" si="4"/>
        <v>2666.85</v>
      </c>
      <c r="Y45" s="85">
        <f t="shared" si="5"/>
        <v>0</v>
      </c>
      <c r="Z45" s="86">
        <f t="shared" si="6"/>
        <v>0</v>
      </c>
      <c r="AC45" s="127">
        <v>4028.16</v>
      </c>
    </row>
    <row r="46" spans="1:29" s="87" customFormat="1" ht="15">
      <c r="A46" s="316"/>
      <c r="B46" s="89" t="s">
        <v>343</v>
      </c>
      <c r="C46" s="125" t="s">
        <v>21</v>
      </c>
      <c r="D46" s="91">
        <v>45124</v>
      </c>
      <c r="E46" s="90" t="s">
        <v>84</v>
      </c>
      <c r="F46" s="126" t="s">
        <v>205</v>
      </c>
      <c r="G46" s="92" t="s">
        <v>97</v>
      </c>
      <c r="H46" s="118">
        <v>25.8</v>
      </c>
      <c r="I46" s="119">
        <v>4738.5600000000004</v>
      </c>
      <c r="J46" s="76" t="str">
        <f>VLOOKUP(G46,'[2]Vendor list'!$A$3:$D$406,4,0)</f>
        <v>FCA</v>
      </c>
      <c r="K46" s="76">
        <f t="shared" si="0"/>
        <v>1</v>
      </c>
      <c r="L46" s="95">
        <f t="shared" si="1"/>
        <v>58.664999999999999</v>
      </c>
      <c r="M46" s="82">
        <f>VLOOKUP(F46,Appendix!$B$7:$N$1048576,13,0)</f>
        <v>549000</v>
      </c>
      <c r="N46" s="82">
        <f>K46*H46*[2]Add.fees!$F$11</f>
        <v>219042</v>
      </c>
      <c r="O46" s="96">
        <f>IF(AND(C46=[2]Add.fees!$G$4),[2]Add.fees!$E$7,IF(AND(C46=[2]Add.fees!$G$5),[2]Add.fees!$E$7,IF(AND(C46=[2]Add.fees!$G$6),[2]Add.fees!$F$7,0)))*(H46/L46*K46)</f>
        <v>85230.375862950648</v>
      </c>
      <c r="P46" s="96">
        <f>IF(AND(C46=[2]Add.fees!$G$4),[2]Add.fees!$E$4,IF(AND(C46=[2]Add.fees!$G$5),[2]Add.fees!$E$4,IF(AND(C46=[2]Add.fees!$G$6),[2]Add.fees!$F$4,0)))*(H46/L46*K46)</f>
        <v>21989.261058552802</v>
      </c>
      <c r="Q46" s="96">
        <f>IF(AND(C46=[2]Add.fees!$G$4),[2]Add.fees!$E$5,IF(AND(C46=[2]Add.fees!$G$5),[2]Add.fees!$E$5,IF(AND(C46=[2]Add.fees!$G$6),[2]Add.fees!$F$5,0)))*(H46/L46*K46)</f>
        <v>81536.180005113783</v>
      </c>
      <c r="R46" s="96">
        <f>IF(AND(C46=[2]Add.fees!$G$4),[2]Add.fees!$E$6,IF(AND(C46=[2]Add.fees!$G$5),[2]Add.fees!$E$6,IF(AND(C46=[2]Add.fees!$G$6),[2]Add.fees!$F$6,0)))*(H46/L46*K46)</f>
        <v>4002.0455126566098</v>
      </c>
      <c r="S46" s="82">
        <v>0</v>
      </c>
      <c r="T46" s="96">
        <f>IF(AND(C46=[2]Add.fees!$G$4,Appendix!D47=[2]Add.fees!$G$8),[2]Add.fees!$E$8,IF(AND(C46=[2]Add.fees!$G$5,Appendix!D47=[2]Add.fees!$G$8),[2]Add.fees!$E$8,IF(AND(C46=[2]Add.fees!$G$6,Appendix!D47=[2]Add.fees!$G$8),[2]Add.fees!$F$8,IF(AND(C46=[2]Add.fees!$G$4,Appendix!D47=[2]Add.fees!$G$9),[2]Add.fees!$E$9,IF(AND(C46=[2]Add.fees!$G$5,Appendix!D47=[2]Add.fees!$G$9),[2]Add.fees!$E$9,IF(AND(C46=[2]Add.fees!$G$6,Appendix!D47=[2]Add.fees!$G$9),[2]Add.fees!$F$9,0))))))*(H46/L46*K46)</f>
        <v>123359.75453848121</v>
      </c>
      <c r="U46" s="96">
        <v>0</v>
      </c>
      <c r="V46" s="96">
        <f t="shared" si="7"/>
        <v>1084159.616977755</v>
      </c>
      <c r="W46" s="97">
        <f t="shared" si="3"/>
        <v>842.85</v>
      </c>
      <c r="X46" s="84">
        <f t="shared" si="4"/>
        <v>2666.85</v>
      </c>
      <c r="Y46" s="85">
        <f t="shared" si="5"/>
        <v>0</v>
      </c>
      <c r="Z46" s="86">
        <f t="shared" si="6"/>
        <v>0</v>
      </c>
      <c r="AC46" s="127">
        <v>57507.839999999997</v>
      </c>
    </row>
    <row r="47" spans="1:29" s="85" customFormat="1" ht="15">
      <c r="A47" s="316"/>
      <c r="B47" s="89" t="s">
        <v>343</v>
      </c>
      <c r="C47" s="125" t="s">
        <v>21</v>
      </c>
      <c r="D47" s="91">
        <v>45124</v>
      </c>
      <c r="E47" s="90" t="s">
        <v>84</v>
      </c>
      <c r="F47" s="126" t="s">
        <v>206</v>
      </c>
      <c r="G47" s="90" t="s">
        <v>207</v>
      </c>
      <c r="H47" s="130">
        <v>15.004</v>
      </c>
      <c r="I47" s="131">
        <v>2040</v>
      </c>
      <c r="J47" s="76" t="str">
        <f>VLOOKUP(G47,'[2]Vendor list'!$A$3:$D$406,4,0)</f>
        <v>FCA</v>
      </c>
      <c r="K47" s="76">
        <f t="shared" si="0"/>
        <v>1</v>
      </c>
      <c r="L47" s="95">
        <f t="shared" si="1"/>
        <v>58.664999999999999</v>
      </c>
      <c r="M47" s="82">
        <f>VLOOKUP(F47,Appendix!$B$7:$N$1048576,13,0)</f>
        <v>289000</v>
      </c>
      <c r="N47" s="82">
        <f>K47*H47*[2]Add.fees!$F$11</f>
        <v>127383.95999999999</v>
      </c>
      <c r="O47" s="96">
        <f>IF(AND(C47=[2]Add.fees!$G$4),[2]Add.fees!$E$7,IF(AND(C47=[2]Add.fees!$G$5),[2]Add.fees!$E$7,IF(AND(C47=[2]Add.fees!$G$6),[2]Add.fees!$F$7,0)))*(H47/L47*K47)</f>
        <v>49565.75811812836</v>
      </c>
      <c r="P47" s="96">
        <f>IF(AND(C47=[2]Add.fees!$G$4),[2]Add.fees!$E$4,IF(AND(C47=[2]Add.fees!$G$5),[2]Add.fees!$E$4,IF(AND(C47=[2]Add.fees!$G$6),[2]Add.fees!$F$4,0)))*(H47/L47*K47)</f>
        <v>12787.863291570784</v>
      </c>
      <c r="Q47" s="96">
        <f>IF(AND(C47=[2]Add.fees!$G$4),[2]Add.fees!$E$5,IF(AND(C47=[2]Add.fees!$G$5),[2]Add.fees!$E$5,IF(AND(C47=[2]Add.fees!$G$6),[2]Add.fees!$F$5,0)))*(H47/L47*K47)</f>
        <v>47417.397085144468</v>
      </c>
      <c r="R47" s="96">
        <f>IF(AND(C47=[2]Add.fees!$G$4),[2]Add.fees!$E$6,IF(AND(C47=[2]Add.fees!$G$5),[2]Add.fees!$E$6,IF(AND(C47=[2]Add.fees!$G$6),[2]Add.fees!$F$6,0)))*(H47/L47*K47)</f>
        <v>2327.3911190658828</v>
      </c>
      <c r="S47" s="82">
        <v>0</v>
      </c>
      <c r="T47" s="96">
        <f>IF(AND(C47=[2]Add.fees!$G$4,Appendix!D48=[2]Add.fees!$G$8),[2]Add.fees!$E$8,IF(AND(C47=[2]Add.fees!$G$5,Appendix!D48=[2]Add.fees!$G$8),[2]Add.fees!$E$8,IF(AND(C47=[2]Add.fees!$G$6,Appendix!D48=[2]Add.fees!$G$8),[2]Add.fees!$F$8,IF(AND(C47=[2]Add.fees!$G$4,Appendix!D48=[2]Add.fees!$G$9),[2]Add.fees!$E$9,IF(AND(C47=[2]Add.fees!$G$5,Appendix!D48=[2]Add.fees!$G$9),[2]Add.fees!$E$9,IF(AND(C47=[2]Add.fees!$G$6,Appendix!D48=[2]Add.fees!$G$9),[2]Add.fees!$F$9,0))))))*(H47/L47*K47)</f>
        <v>71739.913065712099</v>
      </c>
      <c r="U47" s="96">
        <v>0</v>
      </c>
      <c r="V47" s="96">
        <f t="shared" si="7"/>
        <v>600222.2826796216</v>
      </c>
      <c r="W47" s="97">
        <f t="shared" si="3"/>
        <v>466.63</v>
      </c>
      <c r="X47" s="84">
        <f t="shared" si="4"/>
        <v>2666.85</v>
      </c>
      <c r="Y47" s="85">
        <f t="shared" si="5"/>
        <v>0</v>
      </c>
      <c r="Z47" s="86">
        <f t="shared" si="6"/>
        <v>0</v>
      </c>
      <c r="AC47" s="127">
        <v>10022.4</v>
      </c>
    </row>
    <row r="48" spans="1:29" s="85" customFormat="1" ht="15">
      <c r="A48" s="317"/>
      <c r="B48" s="89" t="s">
        <v>343</v>
      </c>
      <c r="C48" s="125" t="s">
        <v>21</v>
      </c>
      <c r="D48" s="91">
        <v>45124</v>
      </c>
      <c r="E48" s="90" t="s">
        <v>84</v>
      </c>
      <c r="F48" s="126">
        <v>61960098</v>
      </c>
      <c r="G48" s="90" t="s">
        <v>344</v>
      </c>
      <c r="H48" s="132">
        <v>0.45600000000000002</v>
      </c>
      <c r="I48" s="133">
        <v>85</v>
      </c>
      <c r="J48" s="76" t="str">
        <f>VLOOKUP(G48,'[2]Vendor list'!$A$3:$D$406,4,0)</f>
        <v>FCA</v>
      </c>
      <c r="K48" s="76">
        <f t="shared" si="0"/>
        <v>1</v>
      </c>
      <c r="L48" s="95">
        <f t="shared" si="1"/>
        <v>58.664999999999999</v>
      </c>
      <c r="M48" s="82">
        <f>VLOOKUP(F48,Appendix!$B$7:$N$1048576,13,0)</f>
        <v>265000</v>
      </c>
      <c r="N48" s="82">
        <f>K48*H48*[2]Add.fees!$F$11</f>
        <v>3871.44</v>
      </c>
      <c r="O48" s="96">
        <f>IF(AND(C48=[2]Add.fees!$G$4),[2]Add.fees!$E$7,IF(AND(C48=[2]Add.fees!$G$5),[2]Add.fees!$E$7,IF(AND(C48=[2]Add.fees!$G$6),[2]Add.fees!$F$7,0)))*(H48/L48*K48)</f>
        <v>1506.3973408335467</v>
      </c>
      <c r="P48" s="96">
        <f>IF(AND(C48=[2]Add.fees!$G$4),[2]Add.fees!$E$4,IF(AND(C48=[2]Add.fees!$G$5),[2]Add.fees!$E$4,IF(AND(C48=[2]Add.fees!$G$6),[2]Add.fees!$F$4,0)))*(H48/L48*K48)</f>
        <v>388.64740475581698</v>
      </c>
      <c r="Q48" s="96">
        <f>IF(AND(C48=[2]Add.fees!$G$4),[2]Add.fees!$E$5,IF(AND(C48=[2]Add.fees!$G$5),[2]Add.fees!$E$5,IF(AND(C48=[2]Add.fees!$G$6),[2]Add.fees!$F$5,0)))*(H48/L48*K48)</f>
        <v>1441.1045768345693</v>
      </c>
      <c r="R48" s="96">
        <f>IF(AND(C48=[2]Add.fees!$G$4),[2]Add.fees!$E$6,IF(AND(C48=[2]Add.fees!$G$5),[2]Add.fees!$E$6,IF(AND(C48=[2]Add.fees!$G$6),[2]Add.fees!$F$6,0)))*(H48/L48*K48)</f>
        <v>70.733827665558692</v>
      </c>
      <c r="S48" s="82">
        <v>0</v>
      </c>
      <c r="T48" s="96">
        <f>IF(AND(C48=[2]Add.fees!$G$4,Appendix!D49=[2]Add.fees!$G$8),[2]Add.fees!$E$8,IF(AND(C48=[2]Add.fees!$G$5,Appendix!D49=[2]Add.fees!$G$8),[2]Add.fees!$E$8,IF(AND(C48=[2]Add.fees!$G$6,Appendix!D49=[2]Add.fees!$G$8),[2]Add.fees!$F$8,IF(AND(C48=[2]Add.fees!$G$4,Appendix!D49=[2]Add.fees!$G$9),[2]Add.fees!$E$9,IF(AND(C48=[2]Add.fees!$G$5,Appendix!D49=[2]Add.fees!$G$9),[2]Add.fees!$E$9,IF(AND(C48=[2]Add.fees!$G$6,Appendix!D49=[2]Add.fees!$G$9),[2]Add.fees!$F$9,0))))))*(H48/L48*K48)</f>
        <v>2180.3119406801334</v>
      </c>
      <c r="U48" s="96">
        <v>0</v>
      </c>
      <c r="V48" s="96">
        <f t="shared" si="7"/>
        <v>274458.63509076968</v>
      </c>
      <c r="W48" s="97">
        <f t="shared" si="3"/>
        <v>213.37</v>
      </c>
      <c r="X48" s="84">
        <f t="shared" si="4"/>
        <v>2666.85</v>
      </c>
      <c r="Y48" s="85">
        <f t="shared" si="5"/>
        <v>0</v>
      </c>
      <c r="Z48" s="86">
        <f t="shared" si="6"/>
        <v>0</v>
      </c>
      <c r="AC48" s="127">
        <v>10291.200000000001</v>
      </c>
    </row>
    <row r="49" spans="1:29" s="85" customFormat="1" ht="15">
      <c r="A49" s="314">
        <v>14</v>
      </c>
      <c r="B49" s="89" t="s">
        <v>345</v>
      </c>
      <c r="C49" s="125" t="s">
        <v>21</v>
      </c>
      <c r="D49" s="91">
        <v>45124</v>
      </c>
      <c r="E49" s="90" t="s">
        <v>84</v>
      </c>
      <c r="F49" s="126" t="s">
        <v>210</v>
      </c>
      <c r="G49" s="90" t="s">
        <v>85</v>
      </c>
      <c r="H49" s="93">
        <v>20.183</v>
      </c>
      <c r="I49" s="94">
        <v>8667</v>
      </c>
      <c r="J49" s="76" t="str">
        <f>VLOOKUP(G49,'[2]Vendor list'!$A$3:$D$406,4,0)</f>
        <v>FCA</v>
      </c>
      <c r="K49" s="76">
        <f t="shared" si="0"/>
        <v>1</v>
      </c>
      <c r="L49" s="95">
        <f t="shared" si="1"/>
        <v>66.283999999999992</v>
      </c>
      <c r="M49" s="82">
        <f>VLOOKUP(F49,Appendix!$B$7:$N$1048576,13,0)</f>
        <v>752000</v>
      </c>
      <c r="N49" s="82">
        <f>K49*H49*[2]Add.fees!$F$11</f>
        <v>171353.67</v>
      </c>
      <c r="O49" s="96">
        <f>IF(AND(C49=[2]Add.fees!$G$4),[2]Add.fees!$E$7,IF(AND(C49=[2]Add.fees!$G$5),[2]Add.fees!$E$7,IF(AND(C49=[2]Add.fees!$G$6),[2]Add.fees!$F$7,0)))*(H49/L49*K49)</f>
        <v>59010.702431959457</v>
      </c>
      <c r="P49" s="96">
        <f>IF(AND(C49=[2]Add.fees!$G$4),[2]Add.fees!$E$4,IF(AND(C49=[2]Add.fees!$G$5),[2]Add.fees!$E$4,IF(AND(C49=[2]Add.fees!$G$6),[2]Add.fees!$F$4,0)))*(H49/L49*K49)</f>
        <v>15224.639430330097</v>
      </c>
      <c r="Q49" s="96">
        <f>IF(AND(C49=[2]Add.fees!$G$4),[2]Add.fees!$E$5,IF(AND(C49=[2]Add.fees!$G$5),[2]Add.fees!$E$5,IF(AND(C49=[2]Add.fees!$G$6),[2]Add.fees!$F$5,0)))*(H49/L49*K49)</f>
        <v>56452.963007664002</v>
      </c>
      <c r="R49" s="96">
        <f>IF(AND(C49=[2]Add.fees!$G$4),[2]Add.fees!$E$6,IF(AND(C49=[2]Add.fees!$G$5),[2]Add.fees!$E$6,IF(AND(C49=[2]Add.fees!$G$6),[2]Add.fees!$F$6,0)))*(H49/L49*K49)</f>
        <v>2770.8843763200775</v>
      </c>
      <c r="S49" s="82">
        <v>0</v>
      </c>
      <c r="T49" s="96">
        <f>IF(AND(C49=[2]Add.fees!$G$4,Appendix!D50=[2]Add.fees!$G$8),[2]Add.fees!$E$8,IF(AND(C49=[2]Add.fees!$G$5,Appendix!D50=[2]Add.fees!$G$8),[2]Add.fees!$E$8,IF(AND(C49=[2]Add.fees!$G$6,Appendix!D50=[2]Add.fees!$G$8),[2]Add.fees!$F$8,IF(AND(C49=[2]Add.fees!$G$4,Appendix!D50=[2]Add.fees!$G$9),[2]Add.fees!$E$9,IF(AND(C49=[2]Add.fees!$G$5,Appendix!D50=[2]Add.fees!$G$9),[2]Add.fees!$E$9,IF(AND(C49=[2]Add.fees!$G$6,Appendix!D50=[2]Add.fees!$G$9),[2]Add.fees!$F$9,0))))))*(H49/L49*K49)</f>
        <v>85410.227204151844</v>
      </c>
      <c r="U49" s="96">
        <v>0</v>
      </c>
      <c r="V49" s="96">
        <f t="shared" si="7"/>
        <v>1142223.0864504257</v>
      </c>
      <c r="W49" s="97">
        <f t="shared" si="3"/>
        <v>887.99</v>
      </c>
      <c r="X49" s="84">
        <f t="shared" si="4"/>
        <v>2409.66</v>
      </c>
      <c r="Y49" s="85">
        <f t="shared" si="5"/>
        <v>1</v>
      </c>
      <c r="Z49" s="86">
        <f t="shared" si="6"/>
        <v>2409.66</v>
      </c>
      <c r="AC49" s="127">
        <v>28501.199999999997</v>
      </c>
    </row>
    <row r="50" spans="1:29" s="85" customFormat="1" ht="15">
      <c r="A50" s="317"/>
      <c r="B50" s="89" t="s">
        <v>345</v>
      </c>
      <c r="C50" s="125" t="s">
        <v>21</v>
      </c>
      <c r="D50" s="91">
        <v>45124</v>
      </c>
      <c r="E50" s="90" t="s">
        <v>84</v>
      </c>
      <c r="F50" s="134" t="s">
        <v>346</v>
      </c>
      <c r="G50" s="90" t="s">
        <v>347</v>
      </c>
      <c r="H50" s="93">
        <v>46.100999999999999</v>
      </c>
      <c r="I50" s="94">
        <v>7084.8</v>
      </c>
      <c r="J50" s="76" t="str">
        <f>VLOOKUP(G50,'[2]Vendor list'!$A$3:$D$406,4,0)</f>
        <v>FCA</v>
      </c>
      <c r="K50" s="76">
        <f t="shared" si="0"/>
        <v>1</v>
      </c>
      <c r="L50" s="95">
        <f t="shared" si="1"/>
        <v>66.283999999999992</v>
      </c>
      <c r="M50" s="82">
        <f>VLOOKUP(F50,Appendix!$B$7:$N$1048576,13,0)</f>
        <v>1066000</v>
      </c>
      <c r="N50" s="82">
        <f>K50*H50*[2]Add.fees!$F$11</f>
        <v>391397.49</v>
      </c>
      <c r="O50" s="96">
        <f>IF(AND(C50=[2]Add.fees!$G$4),[2]Add.fees!$E$7,IF(AND(C50=[2]Add.fees!$G$5),[2]Add.fees!$E$7,IF(AND(C50=[2]Add.fees!$G$6),[2]Add.fees!$F$7,0)))*(H50/L50*K50)</f>
        <v>134789.29756804058</v>
      </c>
      <c r="P50" s="96">
        <f>IF(AND(C50=[2]Add.fees!$G$4),[2]Add.fees!$E$4,IF(AND(C50=[2]Add.fees!$G$5),[2]Add.fees!$E$4,IF(AND(C50=[2]Add.fees!$G$6),[2]Add.fees!$F$4,0)))*(H50/L50*K50)</f>
        <v>34775.360569669909</v>
      </c>
      <c r="Q50" s="96">
        <f>IF(AND(C50=[2]Add.fees!$G$4),[2]Add.fees!$E$5,IF(AND(C50=[2]Add.fees!$G$5),[2]Add.fees!$E$5,IF(AND(C50=[2]Add.fees!$G$6),[2]Add.fees!$F$5,0)))*(H50/L50*K50)</f>
        <v>128947.03699233603</v>
      </c>
      <c r="R50" s="96">
        <f>IF(AND(C50=[2]Add.fees!$G$4),[2]Add.fees!$E$6,IF(AND(C50=[2]Add.fees!$G$5),[2]Add.fees!$E$6,IF(AND(C50=[2]Add.fees!$G$6),[2]Add.fees!$F$6,0)))*(H50/L50*K50)</f>
        <v>6329.1156236799234</v>
      </c>
      <c r="S50" s="82">
        <v>0</v>
      </c>
      <c r="T50" s="96">
        <f>IF(AND(C50=[2]Add.fees!$G$4,Appendix!D51=[2]Add.fees!$G$8),[2]Add.fees!$E$8,IF(AND(C50=[2]Add.fees!$G$5,Appendix!D51=[2]Add.fees!$G$8),[2]Add.fees!$E$8,IF(AND(C50=[2]Add.fees!$G$6,Appendix!D51=[2]Add.fees!$G$8),[2]Add.fees!$F$8,IF(AND(C50=[2]Add.fees!$G$4,Appendix!D51=[2]Add.fees!$G$9),[2]Add.fees!$E$9,IF(AND(C50=[2]Add.fees!$G$5,Appendix!D51=[2]Add.fees!$G$9),[2]Add.fees!$E$9,IF(AND(C50=[2]Add.fees!$G$6,Appendix!D51=[2]Add.fees!$G$9),[2]Add.fees!$F$9,0))))))*(H50/L50*K50)</f>
        <v>195089.7727958482</v>
      </c>
      <c r="U50" s="96">
        <v>0</v>
      </c>
      <c r="V50" s="96">
        <f t="shared" si="7"/>
        <v>1957328.0735495747</v>
      </c>
      <c r="W50" s="97">
        <f t="shared" si="3"/>
        <v>1521.67</v>
      </c>
      <c r="X50" s="84">
        <f t="shared" si="4"/>
        <v>2409.66</v>
      </c>
      <c r="Y50" s="85">
        <f t="shared" si="5"/>
        <v>0</v>
      </c>
      <c r="Z50" s="86">
        <f t="shared" si="6"/>
        <v>0</v>
      </c>
      <c r="AC50" s="135">
        <v>262656</v>
      </c>
    </row>
    <row r="51" spans="1:29" s="85" customFormat="1" ht="15">
      <c r="A51" s="314">
        <v>15</v>
      </c>
      <c r="B51" s="89" t="s">
        <v>348</v>
      </c>
      <c r="C51" s="125" t="s">
        <v>21</v>
      </c>
      <c r="D51" s="91">
        <v>45124</v>
      </c>
      <c r="E51" s="90" t="s">
        <v>84</v>
      </c>
      <c r="F51" s="92" t="s">
        <v>213</v>
      </c>
      <c r="G51" s="90" t="s">
        <v>85</v>
      </c>
      <c r="H51" s="93">
        <v>22.64</v>
      </c>
      <c r="I51" s="94">
        <v>16940</v>
      </c>
      <c r="J51" s="76" t="str">
        <f>VLOOKUP(G51,'[2]Vendor list'!$A$3:$D$406,4,0)</f>
        <v>FCA</v>
      </c>
      <c r="K51" s="76">
        <f t="shared" si="0"/>
        <v>1</v>
      </c>
      <c r="L51" s="95">
        <f t="shared" si="1"/>
        <v>59.44</v>
      </c>
      <c r="M51" s="82">
        <f>VLOOKUP(F51,Appendix!$B$7:$N$1048576,13,0)</f>
        <v>1450500</v>
      </c>
      <c r="N51" s="82">
        <f>K51*H51*[2]Add.fees!$F$11</f>
        <v>192213.6</v>
      </c>
      <c r="O51" s="96">
        <f>IF(AND(C51=[2]Add.fees!$G$4),[2]Add.fees!$E$7,IF(AND(C51=[2]Add.fees!$G$5),[2]Add.fees!$E$7,IF(AND(C51=[2]Add.fees!$G$6),[2]Add.fees!$F$7,0)))*(H51/L51*K51)</f>
        <v>73816.150740242258</v>
      </c>
      <c r="P51" s="96">
        <f>IF(AND(C51=[2]Add.fees!$G$4),[2]Add.fees!$E$4,IF(AND(C51=[2]Add.fees!$G$5),[2]Add.fees!$E$4,IF(AND(C51=[2]Add.fees!$G$6),[2]Add.fees!$F$4,0)))*(H51/L51*K51)</f>
        <v>19044.414535666219</v>
      </c>
      <c r="Q51" s="96">
        <f>IF(AND(C51=[2]Add.fees!$G$4),[2]Add.fees!$E$5,IF(AND(C51=[2]Add.fees!$G$5),[2]Add.fees!$E$5,IF(AND(C51=[2]Add.fees!$G$6),[2]Add.fees!$F$5,0)))*(H51/L51*K51)</f>
        <v>70616.689098250339</v>
      </c>
      <c r="R51" s="96">
        <f>IF(AND(C51=[2]Add.fees!$G$4),[2]Add.fees!$E$6,IF(AND(C51=[2]Add.fees!$G$5),[2]Add.fees!$E$6,IF(AND(C51=[2]Add.fees!$G$6),[2]Add.fees!$F$6,0)))*(H51/L51*K51)</f>
        <v>3466.0834454912515</v>
      </c>
      <c r="S51" s="82">
        <v>0</v>
      </c>
      <c r="T51" s="96">
        <f>IF(AND(C51=[2]Add.fees!$G$4,Appendix!D52=[2]Add.fees!$G$8),[2]Add.fees!$E$8,IF(AND(C51=[2]Add.fees!$G$5,Appendix!D52=[2]Add.fees!$G$8),[2]Add.fees!$E$8,IF(AND(C51=[2]Add.fees!$G$6,Appendix!D52=[2]Add.fees!$G$8),[2]Add.fees!$F$8,IF(AND(C51=[2]Add.fees!$G$4,Appendix!D52=[2]Add.fees!$G$9),[2]Add.fees!$E$9,IF(AND(C51=[2]Add.fees!$G$5,Appendix!D52=[2]Add.fees!$G$9),[2]Add.fees!$E$9,IF(AND(C51=[2]Add.fees!$G$6,Appendix!D52=[2]Add.fees!$G$9),[2]Add.fees!$F$9,0))))))*(H51/L51*K51)</f>
        <v>106839.16554508748</v>
      </c>
      <c r="U51" s="96">
        <v>0</v>
      </c>
      <c r="V51" s="96">
        <f t="shared" si="7"/>
        <v>1916496.1033647377</v>
      </c>
      <c r="W51" s="97">
        <f t="shared" si="3"/>
        <v>1489.93</v>
      </c>
      <c r="X51" s="84">
        <f t="shared" si="4"/>
        <v>3155.1400000000003</v>
      </c>
      <c r="Y51" s="85">
        <f t="shared" si="5"/>
        <v>1</v>
      </c>
      <c r="Z51" s="86">
        <f t="shared" si="6"/>
        <v>3155.1400000000003</v>
      </c>
      <c r="AC51" s="135">
        <v>61798</v>
      </c>
    </row>
    <row r="52" spans="1:29" s="85" customFormat="1" ht="15">
      <c r="A52" s="316"/>
      <c r="B52" s="89" t="s">
        <v>348</v>
      </c>
      <c r="C52" s="125" t="s">
        <v>21</v>
      </c>
      <c r="D52" s="91">
        <v>45124</v>
      </c>
      <c r="E52" s="90" t="s">
        <v>84</v>
      </c>
      <c r="F52" s="126" t="s">
        <v>214</v>
      </c>
      <c r="G52" s="90" t="s">
        <v>95</v>
      </c>
      <c r="H52" s="93">
        <v>27.895</v>
      </c>
      <c r="I52" s="94">
        <v>2555.09</v>
      </c>
      <c r="J52" s="76" t="str">
        <f>VLOOKUP(G52,'[2]Vendor list'!$A$3:$D$406,4,0)</f>
        <v>FCA</v>
      </c>
      <c r="K52" s="76">
        <f t="shared" si="0"/>
        <v>1</v>
      </c>
      <c r="L52" s="95">
        <f t="shared" si="1"/>
        <v>59.44</v>
      </c>
      <c r="M52" s="82">
        <f>VLOOKUP(F52,Appendix!$B$7:$N$1048576,13,0)</f>
        <v>752000</v>
      </c>
      <c r="N52" s="82">
        <f>K52*H52*[2]Add.fees!$F$11</f>
        <v>236828.55</v>
      </c>
      <c r="O52" s="96">
        <f>IF(AND(C52=[2]Add.fees!$G$4),[2]Add.fees!$E$7,IF(AND(C52=[2]Add.fees!$G$5),[2]Add.fees!$E$7,IF(AND(C52=[2]Add.fees!$G$6),[2]Add.fees!$F$7,0)))*(H52/L52*K52)</f>
        <v>90949.713997308208</v>
      </c>
      <c r="P52" s="96">
        <f>IF(AND(C52=[2]Add.fees!$G$4),[2]Add.fees!$E$4,IF(AND(C52=[2]Add.fees!$G$5),[2]Add.fees!$E$4,IF(AND(C52=[2]Add.fees!$G$6),[2]Add.fees!$F$4,0)))*(H52/L52*K52)</f>
        <v>23464.838492597577</v>
      </c>
      <c r="Q52" s="96">
        <f>IF(AND(C52=[2]Add.fees!$G$4),[2]Add.fees!$E$5,IF(AND(C52=[2]Add.fees!$G$5),[2]Add.fees!$E$5,IF(AND(C52=[2]Add.fees!$G$6),[2]Add.fees!$F$5,0)))*(H52/L52*K52)</f>
        <v>87007.621130551823</v>
      </c>
      <c r="R52" s="96">
        <f>IF(AND(C52=[2]Add.fees!$G$4),[2]Add.fees!$E$6,IF(AND(C52=[2]Add.fees!$G$5),[2]Add.fees!$E$6,IF(AND(C52=[2]Add.fees!$G$6),[2]Add.fees!$F$6,0)))*(H52/L52*K52)</f>
        <v>4270.6006056527594</v>
      </c>
      <c r="S52" s="82">
        <v>0</v>
      </c>
      <c r="T52" s="96">
        <f>IF(AND(C52=[2]Add.fees!$G$4,Appendix!D53=[2]Add.fees!$G$8),[2]Add.fees!$E$8,IF(AND(C52=[2]Add.fees!$G$5,Appendix!D53=[2]Add.fees!$G$8),[2]Add.fees!$E$8,IF(AND(C52=[2]Add.fees!$G$6,Appendix!D53=[2]Add.fees!$G$8),[2]Add.fees!$F$8,IF(AND(C52=[2]Add.fees!$G$4,Appendix!D53=[2]Add.fees!$G$9),[2]Add.fees!$E$9,IF(AND(C52=[2]Add.fees!$G$5,Appendix!D53=[2]Add.fees!$G$9),[2]Add.fees!$E$9,IF(AND(C52=[2]Add.fees!$G$6,Appendix!D53=[2]Add.fees!$G$9),[2]Add.fees!$F$9,0))))))*(H52/L52*K52)</f>
        <v>131637.74394347242</v>
      </c>
      <c r="U52" s="96">
        <v>0</v>
      </c>
      <c r="V52" s="96">
        <f t="shared" si="7"/>
        <v>1326159.0681695829</v>
      </c>
      <c r="W52" s="97">
        <f t="shared" si="3"/>
        <v>1030.99</v>
      </c>
      <c r="X52" s="84">
        <f t="shared" si="4"/>
        <v>3155.1400000000003</v>
      </c>
      <c r="Y52" s="85">
        <f t="shared" si="5"/>
        <v>0</v>
      </c>
      <c r="Z52" s="86">
        <f t="shared" si="6"/>
        <v>0</v>
      </c>
      <c r="AC52" s="127">
        <v>18344</v>
      </c>
    </row>
    <row r="53" spans="1:29" s="85" customFormat="1" ht="15">
      <c r="A53" s="317"/>
      <c r="B53" s="89" t="s">
        <v>348</v>
      </c>
      <c r="C53" s="125" t="s">
        <v>21</v>
      </c>
      <c r="D53" s="91">
        <v>45124</v>
      </c>
      <c r="E53" s="90" t="s">
        <v>84</v>
      </c>
      <c r="F53" s="126" t="s">
        <v>215</v>
      </c>
      <c r="G53" s="92" t="s">
        <v>95</v>
      </c>
      <c r="H53" s="93">
        <v>8.9049999999999994</v>
      </c>
      <c r="I53" s="94">
        <v>684.09</v>
      </c>
      <c r="J53" s="76" t="str">
        <f>VLOOKUP(G53,'[2]Vendor list'!$A$3:$D$406,4,0)</f>
        <v>FCA</v>
      </c>
      <c r="K53" s="76">
        <f t="shared" si="0"/>
        <v>1</v>
      </c>
      <c r="L53" s="95">
        <f t="shared" si="1"/>
        <v>59.44</v>
      </c>
      <c r="M53" s="82">
        <f>VLOOKUP(F53,Appendix!$B$7:$N$1048576,13,0)</f>
        <v>632500</v>
      </c>
      <c r="N53" s="82">
        <f>K53*H53*[2]Add.fees!$F$11</f>
        <v>75603.45</v>
      </c>
      <c r="O53" s="96">
        <f>IF(AND(C53=[2]Add.fees!$G$4),[2]Add.fees!$E$7,IF(AND(C53=[2]Add.fees!$G$5),[2]Add.fees!$E$7,IF(AND(C53=[2]Add.fees!$G$6),[2]Add.fees!$F$7,0)))*(H53/L53*K53)</f>
        <v>29034.13526244953</v>
      </c>
      <c r="P53" s="96">
        <f>IF(AND(C53=[2]Add.fees!$G$4),[2]Add.fees!$E$4,IF(AND(C53=[2]Add.fees!$G$5),[2]Add.fees!$E$4,IF(AND(C53=[2]Add.fees!$G$6),[2]Add.fees!$F$4,0)))*(H53/L53*K53)</f>
        <v>7490.7469717362046</v>
      </c>
      <c r="Q53" s="96">
        <f>IF(AND(C53=[2]Add.fees!$G$4),[2]Add.fees!$E$5,IF(AND(C53=[2]Add.fees!$G$5),[2]Add.fees!$E$5,IF(AND(C53=[2]Add.fees!$G$6),[2]Add.fees!$F$5,0)))*(H53/L53*K53)</f>
        <v>27775.689771197849</v>
      </c>
      <c r="R53" s="96">
        <f>IF(AND(C53=[2]Add.fees!$G$4),[2]Add.fees!$E$6,IF(AND(C53=[2]Add.fees!$G$5),[2]Add.fees!$E$6,IF(AND(C53=[2]Add.fees!$G$6),[2]Add.fees!$F$6,0)))*(H53/L53*K53)</f>
        <v>1363.3159488559893</v>
      </c>
      <c r="S53" s="82">
        <v>0</v>
      </c>
      <c r="T53" s="96">
        <f>IF(AND(C53=[2]Add.fees!$G$4,Appendix!D54=[2]Add.fees!$G$8),[2]Add.fees!$E$8,IF(AND(C53=[2]Add.fees!$G$5,Appendix!D54=[2]Add.fees!$G$8),[2]Add.fees!$E$8,IF(AND(C53=[2]Add.fees!$G$6,Appendix!D54=[2]Add.fees!$G$8),[2]Add.fees!$F$8,IF(AND(C53=[2]Add.fees!$G$4,Appendix!D54=[2]Add.fees!$G$9),[2]Add.fees!$E$9,IF(AND(C53=[2]Add.fees!$G$5,Appendix!D54=[2]Add.fees!$G$9),[2]Add.fees!$E$9,IF(AND(C53=[2]Add.fees!$G$6,Appendix!D54=[2]Add.fees!$G$9),[2]Add.fees!$F$9,0))))))*(H53/L53*K53)</f>
        <v>42023.09051144011</v>
      </c>
      <c r="U53" s="96">
        <v>0</v>
      </c>
      <c r="V53" s="96">
        <f t="shared" si="7"/>
        <v>815790.42846567952</v>
      </c>
      <c r="W53" s="97">
        <f t="shared" si="3"/>
        <v>634.22</v>
      </c>
      <c r="X53" s="84">
        <f t="shared" si="4"/>
        <v>3155.1400000000003</v>
      </c>
      <c r="Y53" s="85">
        <f t="shared" si="5"/>
        <v>0</v>
      </c>
      <c r="Z53" s="86">
        <f t="shared" si="6"/>
        <v>0</v>
      </c>
      <c r="AC53" s="127">
        <v>3648</v>
      </c>
    </row>
    <row r="54" spans="1:29" s="85" customFormat="1" ht="15">
      <c r="A54" s="314">
        <v>16</v>
      </c>
      <c r="B54" s="89" t="s">
        <v>349</v>
      </c>
      <c r="C54" s="90" t="s">
        <v>21</v>
      </c>
      <c r="D54" s="91">
        <v>45124</v>
      </c>
      <c r="E54" s="90" t="s">
        <v>84</v>
      </c>
      <c r="F54" s="126" t="s">
        <v>217</v>
      </c>
      <c r="G54" s="92" t="s">
        <v>85</v>
      </c>
      <c r="H54" s="93">
        <v>7.26</v>
      </c>
      <c r="I54" s="94">
        <v>3272</v>
      </c>
      <c r="J54" s="76" t="str">
        <f>VLOOKUP(G54,'[2]Vendor list'!$A$3:$D$406,4,0)</f>
        <v>FCA</v>
      </c>
      <c r="K54" s="76">
        <f t="shared" si="0"/>
        <v>1</v>
      </c>
      <c r="L54" s="95">
        <f t="shared" si="1"/>
        <v>60.059999999999995</v>
      </c>
      <c r="M54" s="82">
        <f>VLOOKUP(F54,Appendix!$B$7:$N$1048576,13,0)</f>
        <v>632500</v>
      </c>
      <c r="N54" s="82">
        <f>K54*H54*[2]Add.fees!$F$11</f>
        <v>61637.4</v>
      </c>
      <c r="O54" s="96">
        <f>IF(AND(C54=[2]Add.fees!$G$4),[2]Add.fees!$E$7,IF(AND(C54=[2]Add.fees!$G$5),[2]Add.fees!$E$7,IF(AND(C54=[2]Add.fees!$G$6),[2]Add.fees!$F$7,0)))*(H54/L54*K54)</f>
        <v>23426.373626373628</v>
      </c>
      <c r="P54" s="96">
        <f>IF(AND(C54=[2]Add.fees!$G$4),[2]Add.fees!$E$4,IF(AND(C54=[2]Add.fees!$G$5),[2]Add.fees!$E$4,IF(AND(C54=[2]Add.fees!$G$6),[2]Add.fees!$F$4,0)))*(H54/L54*K54)</f>
        <v>6043.9560439560437</v>
      </c>
      <c r="Q54" s="96">
        <f>IF(AND(C54=[2]Add.fees!$G$4),[2]Add.fees!$E$5,IF(AND(C54=[2]Add.fees!$G$5),[2]Add.fees!$E$5,IF(AND(C54=[2]Add.fees!$G$6),[2]Add.fees!$F$5,0)))*(H54/L54*K54)</f>
        <v>22410.989010989011</v>
      </c>
      <c r="R54" s="96">
        <f>IF(AND(C54=[2]Add.fees!$G$4),[2]Add.fees!$E$6,IF(AND(C54=[2]Add.fees!$G$5),[2]Add.fees!$E$6,IF(AND(C54=[2]Add.fees!$G$6),[2]Add.fees!$F$6,0)))*(H54/L54*K54)</f>
        <v>1100</v>
      </c>
      <c r="S54" s="82">
        <v>0</v>
      </c>
      <c r="T54" s="96">
        <f>IF(AND(C54=[2]Add.fees!$G$4,Appendix!D55=[2]Add.fees!$G$8),[2]Add.fees!$E$8,IF(AND(C54=[2]Add.fees!$G$5,Appendix!D55=[2]Add.fees!$G$8),[2]Add.fees!$E$8,IF(AND(C54=[2]Add.fees!$G$6,Appendix!D55=[2]Add.fees!$G$8),[2]Add.fees!$F$8,IF(AND(C54=[2]Add.fees!$G$4,Appendix!D55=[2]Add.fees!$G$9),[2]Add.fees!$E$9,IF(AND(C54=[2]Add.fees!$G$5,Appendix!D55=[2]Add.fees!$G$9),[2]Add.fees!$E$9,IF(AND(C54=[2]Add.fees!$G$6,Appendix!D55=[2]Add.fees!$G$9),[2]Add.fees!$F$9,0))))))*(H54/L54*K54)</f>
        <v>33906.593406593405</v>
      </c>
      <c r="U54" s="96">
        <v>0</v>
      </c>
      <c r="V54" s="96">
        <f t="shared" si="7"/>
        <v>781025.312087912</v>
      </c>
      <c r="W54" s="97">
        <f t="shared" si="3"/>
        <v>607.19000000000005</v>
      </c>
      <c r="X54" s="84">
        <f t="shared" si="4"/>
        <v>2339.4300000000003</v>
      </c>
      <c r="Y54" s="85">
        <f t="shared" si="5"/>
        <v>1</v>
      </c>
      <c r="Z54" s="86">
        <f t="shared" si="6"/>
        <v>2339.4300000000003</v>
      </c>
      <c r="AC54" s="127">
        <v>13824</v>
      </c>
    </row>
    <row r="55" spans="1:29" s="85" customFormat="1" ht="15">
      <c r="A55" s="317"/>
      <c r="B55" s="89" t="s">
        <v>349</v>
      </c>
      <c r="C55" s="90" t="s">
        <v>21</v>
      </c>
      <c r="D55" s="91">
        <v>45124</v>
      </c>
      <c r="E55" s="90" t="s">
        <v>84</v>
      </c>
      <c r="F55" s="126" t="s">
        <v>218</v>
      </c>
      <c r="G55" s="92" t="s">
        <v>350</v>
      </c>
      <c r="H55" s="130">
        <v>52.8</v>
      </c>
      <c r="I55" s="131">
        <v>10950</v>
      </c>
      <c r="J55" s="76" t="str">
        <f>VLOOKUP(G55,'[2]Vendor list'!$A$3:$D$406,4,0)</f>
        <v>FCA</v>
      </c>
      <c r="K55" s="76">
        <f t="shared" si="0"/>
        <v>1</v>
      </c>
      <c r="L55" s="95">
        <f t="shared" si="1"/>
        <v>60.059999999999995</v>
      </c>
      <c r="M55" s="82">
        <f>VLOOKUP(F55,Appendix!$B$7:$N$1048576,13,0)</f>
        <v>1148000</v>
      </c>
      <c r="N55" s="82">
        <f>K55*H55*[2]Add.fees!$F$11</f>
        <v>448272</v>
      </c>
      <c r="O55" s="96">
        <f>IF(AND(C55=[2]Add.fees!$G$4),[2]Add.fees!$E$7,IF(AND(C55=[2]Add.fees!$G$5),[2]Add.fees!$E$7,IF(AND(C55=[2]Add.fees!$G$6),[2]Add.fees!$F$7,0)))*(H55/L55*K55)</f>
        <v>170373.62637362638</v>
      </c>
      <c r="P55" s="96">
        <f>IF(AND(C55=[2]Add.fees!$G$4),[2]Add.fees!$E$4,IF(AND(C55=[2]Add.fees!$G$5),[2]Add.fees!$E$4,IF(AND(C55=[2]Add.fees!$G$6),[2]Add.fees!$F$4,0)))*(H55/L55*K55)</f>
        <v>43956.043956043955</v>
      </c>
      <c r="Q55" s="96">
        <f>IF(AND(C55=[2]Add.fees!$G$4),[2]Add.fees!$E$5,IF(AND(C55=[2]Add.fees!$G$5),[2]Add.fees!$E$5,IF(AND(C55=[2]Add.fees!$G$6),[2]Add.fees!$F$5,0)))*(H55/L55*K55)</f>
        <v>162989.01098901097</v>
      </c>
      <c r="R55" s="96">
        <f>IF(AND(C55=[2]Add.fees!$G$4),[2]Add.fees!$E$6,IF(AND(C55=[2]Add.fees!$G$5),[2]Add.fees!$E$6,IF(AND(C55=[2]Add.fees!$G$6),[2]Add.fees!$F$6,0)))*(H55/L55*K55)</f>
        <v>8000</v>
      </c>
      <c r="S55" s="82">
        <v>0</v>
      </c>
      <c r="T55" s="96">
        <f>IF(AND(C55=[2]Add.fees!$G$4,Appendix!D56=[2]Add.fees!$G$8),[2]Add.fees!$E$8,IF(AND(C55=[2]Add.fees!$G$5,Appendix!D56=[2]Add.fees!$G$8),[2]Add.fees!$E$8,IF(AND(C55=[2]Add.fees!$G$6,Appendix!D56=[2]Add.fees!$G$8),[2]Add.fees!$F$8,IF(AND(C55=[2]Add.fees!$G$4,Appendix!D56=[2]Add.fees!$G$9),[2]Add.fees!$E$9,IF(AND(C55=[2]Add.fees!$G$5,Appendix!D56=[2]Add.fees!$G$9),[2]Add.fees!$E$9,IF(AND(C55=[2]Add.fees!$G$6,Appendix!D56=[2]Add.fees!$G$9),[2]Add.fees!$F$9,0))))))*(H55/L55*K55)</f>
        <v>246593.4065934066</v>
      </c>
      <c r="U55" s="96">
        <v>0</v>
      </c>
      <c r="V55" s="96">
        <f t="shared" si="7"/>
        <v>2228184.0879120878</v>
      </c>
      <c r="W55" s="97">
        <f t="shared" si="3"/>
        <v>1732.24</v>
      </c>
      <c r="X55" s="84">
        <f t="shared" si="4"/>
        <v>2339.4300000000003</v>
      </c>
      <c r="Y55" s="85">
        <f t="shared" si="5"/>
        <v>0</v>
      </c>
      <c r="Z55" s="86">
        <f t="shared" si="6"/>
        <v>0</v>
      </c>
      <c r="AC55" s="127">
        <v>94256.760000000009</v>
      </c>
    </row>
    <row r="56" spans="1:29" s="85" customFormat="1" ht="15">
      <c r="A56" s="314">
        <v>17</v>
      </c>
      <c r="B56" s="89" t="s">
        <v>351</v>
      </c>
      <c r="C56" s="90" t="s">
        <v>21</v>
      </c>
      <c r="D56" s="91">
        <v>45124</v>
      </c>
      <c r="E56" s="90" t="s">
        <v>84</v>
      </c>
      <c r="F56" s="126" t="s">
        <v>220</v>
      </c>
      <c r="G56" s="136" t="s">
        <v>143</v>
      </c>
      <c r="H56" s="93">
        <v>26.361000000000001</v>
      </c>
      <c r="I56" s="94">
        <v>14840</v>
      </c>
      <c r="J56" s="76" t="str">
        <f>VLOOKUP(G56,'[2]Vendor list'!$A$3:$D$406,4,0)</f>
        <v>FCA</v>
      </c>
      <c r="K56" s="76">
        <f t="shared" si="0"/>
        <v>1</v>
      </c>
      <c r="L56" s="95">
        <f t="shared" si="1"/>
        <v>38.361000000000004</v>
      </c>
      <c r="M56" s="82">
        <f>VLOOKUP(F56,Appendix!$B$7:$N$1048576,13,0)</f>
        <v>1101000</v>
      </c>
      <c r="N56" s="82">
        <f>K56*H56*[2]Add.fees!$F$11</f>
        <v>223804.89</v>
      </c>
      <c r="O56" s="96">
        <f>IF(AND(C56=[2]Add.fees!$G$4),[2]Add.fees!$E$7,IF(AND(C56=[2]Add.fees!$G$5),[2]Add.fees!$E$7,IF(AND(C56=[2]Add.fees!$G$6),[2]Add.fees!$F$7,0)))*(H56/L56*K56)</f>
        <v>133175.92867756312</v>
      </c>
      <c r="P56" s="96">
        <f>IF(AND(C56=[2]Add.fees!$G$4),[2]Add.fees!$E$4,IF(AND(C56=[2]Add.fees!$G$5),[2]Add.fees!$E$4,IF(AND(C56=[2]Add.fees!$G$6),[2]Add.fees!$F$4,0)))*(H56/L56*K56)</f>
        <v>34359.11472589348</v>
      </c>
      <c r="Q56" s="96">
        <f>IF(AND(C56=[2]Add.fees!$G$4),[2]Add.fees!$E$5,IF(AND(C56=[2]Add.fees!$G$5),[2]Add.fees!$E$5,IF(AND(C56=[2]Add.fees!$G$6),[2]Add.fees!$F$5,0)))*(H56/L56*K56)</f>
        <v>127403.59740361302</v>
      </c>
      <c r="R56" s="96">
        <f>IF(AND(C56=[2]Add.fees!$G$4),[2]Add.fees!$E$6,IF(AND(C56=[2]Add.fees!$G$5),[2]Add.fees!$E$6,IF(AND(C56=[2]Add.fees!$G$6),[2]Add.fees!$F$6,0)))*(H56/L56*K56)</f>
        <v>6253.3588801126134</v>
      </c>
      <c r="S56" s="82">
        <v>0</v>
      </c>
      <c r="T56" s="96">
        <f>IF(AND(C56=[2]Add.fees!$G$4,Appendix!D57=[2]Add.fees!$G$8),[2]Add.fees!$E$8,IF(AND(C56=[2]Add.fees!$G$5,Appendix!D57=[2]Add.fees!$G$8),[2]Add.fees!$E$8,IF(AND(C56=[2]Add.fees!$G$6,Appendix!D57=[2]Add.fees!$G$8),[2]Add.fees!$F$8,IF(AND(C56=[2]Add.fees!$G$4,Appendix!D57=[2]Add.fees!$G$9),[2]Add.fees!$E$9,IF(AND(C56=[2]Add.fees!$G$5,Appendix!D57=[2]Add.fees!$G$9),[2]Add.fees!$E$9,IF(AND(C56=[2]Add.fees!$G$6,Appendix!D57=[2]Add.fees!$G$9),[2]Add.fees!$F$9,0))))))*(H56/L56*K56)</f>
        <v>192754.63361226243</v>
      </c>
      <c r="U56" s="96">
        <v>0</v>
      </c>
      <c r="V56" s="96">
        <f t="shared" si="7"/>
        <v>1818751.5232994445</v>
      </c>
      <c r="W56" s="97">
        <f t="shared" si="3"/>
        <v>1413.94</v>
      </c>
      <c r="X56" s="84">
        <f t="shared" si="4"/>
        <v>1413.94</v>
      </c>
      <c r="Y56" s="85">
        <f t="shared" si="5"/>
        <v>1</v>
      </c>
      <c r="Z56" s="86">
        <f t="shared" si="6"/>
        <v>1413.94</v>
      </c>
      <c r="AC56" s="88">
        <v>43452.800000000003</v>
      </c>
    </row>
    <row r="57" spans="1:29" s="108" customFormat="1" ht="15">
      <c r="A57" s="325"/>
      <c r="B57" s="98" t="s">
        <v>351</v>
      </c>
      <c r="C57" s="99" t="s">
        <v>21</v>
      </c>
      <c r="D57" s="100">
        <v>45124</v>
      </c>
      <c r="E57" s="99" t="s">
        <v>84</v>
      </c>
      <c r="F57" s="137" t="s">
        <v>352</v>
      </c>
      <c r="G57" s="99" t="s">
        <v>353</v>
      </c>
      <c r="H57" s="138">
        <v>12</v>
      </c>
      <c r="I57" s="139">
        <v>6030</v>
      </c>
      <c r="J57" s="76" t="str">
        <f>VLOOKUP(G57,'[2]Vendor list'!$A$3:$D$406,4,0)</f>
        <v>FOB</v>
      </c>
      <c r="K57" s="76">
        <f t="shared" si="0"/>
        <v>0</v>
      </c>
      <c r="L57" s="95">
        <f t="shared" si="1"/>
        <v>38.361000000000004</v>
      </c>
      <c r="M57" s="104">
        <f>VLOOKUP(F57,Appendix!$B$7:$N$1048576,13,0)</f>
        <v>0</v>
      </c>
      <c r="N57" s="104">
        <f>K57*H57*[2]Add.fees!$F$11</f>
        <v>0</v>
      </c>
      <c r="O57" s="105">
        <f>IF(AND(C57=[2]Add.fees!$G$4),[2]Add.fees!$E$7,IF(AND(C57=[2]Add.fees!$G$5),[2]Add.fees!$E$7,IF(AND(C57=[2]Add.fees!$G$6),[2]Add.fees!$F$7,0)))*(H57/L57*K57)</f>
        <v>0</v>
      </c>
      <c r="P57" s="105">
        <f>IF(AND(C57=[2]Add.fees!$G$4),[2]Add.fees!$E$4,IF(AND(C57=[2]Add.fees!$G$5),[2]Add.fees!$E$4,IF(AND(C57=[2]Add.fees!$G$6),[2]Add.fees!$F$4,0)))*(H57/L57*K57)</f>
        <v>0</v>
      </c>
      <c r="Q57" s="105">
        <f>IF(AND(C57=[2]Add.fees!$G$4),[2]Add.fees!$E$5,IF(AND(C57=[2]Add.fees!$G$5),[2]Add.fees!$E$5,IF(AND(C57=[2]Add.fees!$G$6),[2]Add.fees!$F$5,0)))*(H57/L57*K57)</f>
        <v>0</v>
      </c>
      <c r="R57" s="105">
        <f>IF(AND(C57=[2]Add.fees!$G$4),[2]Add.fees!$E$6,IF(AND(C57=[2]Add.fees!$G$5),[2]Add.fees!$E$6,IF(AND(C57=[2]Add.fees!$G$6),[2]Add.fees!$F$6,0)))*(H57/L57*K57)</f>
        <v>0</v>
      </c>
      <c r="S57" s="104">
        <v>0</v>
      </c>
      <c r="T57" s="105">
        <f>IF(AND(C57=[2]Add.fees!$G$4,Appendix!D58=[2]Add.fees!$G$8),[2]Add.fees!$E$8,IF(AND(C57=[2]Add.fees!$G$5,Appendix!D58=[2]Add.fees!$G$8),[2]Add.fees!$E$8,IF(AND(C57=[2]Add.fees!$G$6,Appendix!D58=[2]Add.fees!$G$8),[2]Add.fees!$F$8,IF(AND(C57=[2]Add.fees!$G$4,Appendix!D58=[2]Add.fees!$G$9),[2]Add.fees!$E$9,IF(AND(C57=[2]Add.fees!$G$5,Appendix!D58=[2]Add.fees!$G$9),[2]Add.fees!$E$9,IF(AND(C57=[2]Add.fees!$G$6,Appendix!D58=[2]Add.fees!$G$9),[2]Add.fees!$F$9,0))))))*(H57/L57*K57)</f>
        <v>0</v>
      </c>
      <c r="U57" s="105">
        <v>0</v>
      </c>
      <c r="V57" s="105">
        <f t="shared" si="7"/>
        <v>0</v>
      </c>
      <c r="W57" s="106">
        <f t="shared" si="3"/>
        <v>0</v>
      </c>
      <c r="X57" s="84">
        <f t="shared" si="4"/>
        <v>1413.94</v>
      </c>
      <c r="Y57" s="85">
        <f t="shared" si="5"/>
        <v>0</v>
      </c>
      <c r="Z57" s="107">
        <f t="shared" si="6"/>
        <v>0</v>
      </c>
      <c r="AC57" s="109">
        <v>10080</v>
      </c>
    </row>
    <row r="58" spans="1:29" s="85" customFormat="1" ht="15">
      <c r="A58" s="314">
        <v>18</v>
      </c>
      <c r="B58" s="89" t="s">
        <v>354</v>
      </c>
      <c r="C58" s="90" t="s">
        <v>21</v>
      </c>
      <c r="D58" s="91">
        <v>45124</v>
      </c>
      <c r="E58" s="90" t="s">
        <v>84</v>
      </c>
      <c r="F58" s="126" t="s">
        <v>224</v>
      </c>
      <c r="G58" s="136" t="s">
        <v>100</v>
      </c>
      <c r="H58" s="93">
        <v>22.79</v>
      </c>
      <c r="I58" s="94">
        <v>1864.8</v>
      </c>
      <c r="J58" s="76" t="str">
        <f>VLOOKUP(G58,'[2]Vendor list'!$A$3:$D$406,4,0)</f>
        <v>FCA</v>
      </c>
      <c r="K58" s="76">
        <f t="shared" si="0"/>
        <v>1</v>
      </c>
      <c r="L58" s="95">
        <f t="shared" si="1"/>
        <v>42.854999999999997</v>
      </c>
      <c r="M58" s="82">
        <f>VLOOKUP(F58,Appendix!$B$7:$N$1048576,13,0)</f>
        <v>291000</v>
      </c>
      <c r="N58" s="82">
        <f>K58*H58*[2]Add.fees!$F$11</f>
        <v>193487.1</v>
      </c>
      <c r="O58" s="96">
        <f>IF(AND(C58=[2]Add.fees!$G$4),[2]Add.fees!$E$7,IF(AND(C58=[2]Add.fees!$G$5),[2]Add.fees!$E$7,IF(AND(C58=[2]Add.fees!$G$6),[2]Add.fees!$F$7,0)))*(H58/L58*K58)</f>
        <v>103061.53307665384</v>
      </c>
      <c r="P58" s="96">
        <f>IF(AND(C58=[2]Add.fees!$G$4),[2]Add.fees!$E$4,IF(AND(C58=[2]Add.fees!$G$5),[2]Add.fees!$E$4,IF(AND(C58=[2]Add.fees!$G$6),[2]Add.fees!$F$4,0)))*(H58/L58*K58)</f>
        <v>26589.662816474156</v>
      </c>
      <c r="Q58" s="96">
        <f>IF(AND(C58=[2]Add.fees!$G$4),[2]Add.fees!$E$5,IF(AND(C58=[2]Add.fees!$G$5),[2]Add.fees!$E$5,IF(AND(C58=[2]Add.fees!$G$6),[2]Add.fees!$F$5,0)))*(H58/L58*K58)</f>
        <v>98594.469723486181</v>
      </c>
      <c r="R58" s="96">
        <f>IF(AND(C58=[2]Add.fees!$G$4),[2]Add.fees!$E$6,IF(AND(C58=[2]Add.fees!$G$5),[2]Add.fees!$E$6,IF(AND(C58=[2]Add.fees!$G$6),[2]Add.fees!$F$6,0)))*(H58/L58*K58)</f>
        <v>4839.318632598297</v>
      </c>
      <c r="S58" s="82">
        <v>0</v>
      </c>
      <c r="T58" s="96">
        <f>IF(AND(C58=[2]Add.fees!$G$4,Appendix!D59=[2]Add.fees!$G$8),[2]Add.fees!$E$8,IF(AND(C58=[2]Add.fees!$G$5,Appendix!D59=[2]Add.fees!$G$8),[2]Add.fees!$E$8,IF(AND(C58=[2]Add.fees!$G$6,Appendix!D59=[2]Add.fees!$G$8),[2]Add.fees!$F$8,IF(AND(C58=[2]Add.fees!$G$4,Appendix!D59=[2]Add.fees!$G$9),[2]Add.fees!$E$9,IF(AND(C58=[2]Add.fees!$G$5,Appendix!D59=[2]Add.fees!$G$9),[2]Add.fees!$E$9,IF(AND(C58=[2]Add.fees!$G$6,Appendix!D59=[2]Add.fees!$G$9),[2]Add.fees!$F$9,0))))))*(H58/L58*K58)</f>
        <v>149168.00840042002</v>
      </c>
      <c r="U58" s="96">
        <v>0</v>
      </c>
      <c r="V58" s="96">
        <f t="shared" si="7"/>
        <v>866740.0926496326</v>
      </c>
      <c r="W58" s="97">
        <f t="shared" si="3"/>
        <v>673.82</v>
      </c>
      <c r="X58" s="84">
        <f t="shared" si="4"/>
        <v>3020.77</v>
      </c>
      <c r="Y58" s="85">
        <f t="shared" si="5"/>
        <v>1</v>
      </c>
      <c r="Z58" s="86">
        <f t="shared" si="6"/>
        <v>3020.77</v>
      </c>
      <c r="AC58" s="88">
        <v>81385.919999999998</v>
      </c>
    </row>
    <row r="59" spans="1:29" s="108" customFormat="1" ht="15">
      <c r="A59" s="315"/>
      <c r="B59" s="98" t="s">
        <v>354</v>
      </c>
      <c r="C59" s="99" t="s">
        <v>21</v>
      </c>
      <c r="D59" s="100">
        <v>45124</v>
      </c>
      <c r="E59" s="99" t="s">
        <v>84</v>
      </c>
      <c r="F59" s="137" t="s">
        <v>225</v>
      </c>
      <c r="G59" s="123" t="s">
        <v>355</v>
      </c>
      <c r="H59" s="140">
        <v>0.04</v>
      </c>
      <c r="I59" s="141">
        <v>272.2</v>
      </c>
      <c r="J59" s="76" t="str">
        <f>VLOOKUP(G59,'[2]Vendor list'!$A$3:$D$406,4,0)</f>
        <v>FOB</v>
      </c>
      <c r="K59" s="76">
        <f t="shared" si="0"/>
        <v>0</v>
      </c>
      <c r="L59" s="95">
        <f t="shared" si="1"/>
        <v>42.854999999999997</v>
      </c>
      <c r="M59" s="104">
        <f>VLOOKUP(F59,Appendix!$B$7:$N$1048576,13,0)</f>
        <v>0</v>
      </c>
      <c r="N59" s="104">
        <f>K59*H59*[2]Add.fees!$F$11</f>
        <v>0</v>
      </c>
      <c r="O59" s="105">
        <f>IF(AND(C59=[2]Add.fees!$G$4),[2]Add.fees!$E$7,IF(AND(C59=[2]Add.fees!$G$5),[2]Add.fees!$E$7,IF(AND(C59=[2]Add.fees!$G$6),[2]Add.fees!$F$7,0)))*(H59/L59*K59)</f>
        <v>0</v>
      </c>
      <c r="P59" s="105">
        <f>IF(AND(C59=[2]Add.fees!$G$4),[2]Add.fees!$E$4,IF(AND(C59=[2]Add.fees!$G$5),[2]Add.fees!$E$4,IF(AND(C59=[2]Add.fees!$G$6),[2]Add.fees!$F$4,0)))*(H59/L59*K59)</f>
        <v>0</v>
      </c>
      <c r="Q59" s="105">
        <f>IF(AND(C59=[2]Add.fees!$G$4),[2]Add.fees!$E$5,IF(AND(C59=[2]Add.fees!$G$5),[2]Add.fees!$E$5,IF(AND(C59=[2]Add.fees!$G$6),[2]Add.fees!$F$5,0)))*(H59/L59*K59)</f>
        <v>0</v>
      </c>
      <c r="R59" s="105">
        <f>IF(AND(C59=[2]Add.fees!$G$4),[2]Add.fees!$E$6,IF(AND(C59=[2]Add.fees!$G$5),[2]Add.fees!$E$6,IF(AND(C59=[2]Add.fees!$G$6),[2]Add.fees!$F$6,0)))*(H59/L59*K59)</f>
        <v>0</v>
      </c>
      <c r="S59" s="104">
        <v>0</v>
      </c>
      <c r="T59" s="105">
        <f>IF(AND(C59=[2]Add.fees!$G$4,Appendix!D60=[2]Add.fees!$G$8),[2]Add.fees!$E$8,IF(AND(C59=[2]Add.fees!$G$5,Appendix!D60=[2]Add.fees!$G$8),[2]Add.fees!$E$8,IF(AND(C59=[2]Add.fees!$G$6,Appendix!D60=[2]Add.fees!$G$8),[2]Add.fees!$F$8,IF(AND(C59=[2]Add.fees!$G$4,Appendix!D60=[2]Add.fees!$G$9),[2]Add.fees!$E$9,IF(AND(C59=[2]Add.fees!$G$5,Appendix!D60=[2]Add.fees!$G$9),[2]Add.fees!$E$9,IF(AND(C59=[2]Add.fees!$G$6,Appendix!D60=[2]Add.fees!$G$9),[2]Add.fees!$F$9,0))))))*(H59/L59*K59)</f>
        <v>0</v>
      </c>
      <c r="U59" s="105">
        <v>0</v>
      </c>
      <c r="V59" s="105">
        <f t="shared" si="7"/>
        <v>0</v>
      </c>
      <c r="W59" s="106">
        <f t="shared" si="3"/>
        <v>0</v>
      </c>
      <c r="X59" s="84">
        <f t="shared" si="4"/>
        <v>3020.77</v>
      </c>
      <c r="Y59" s="85">
        <f t="shared" si="5"/>
        <v>0</v>
      </c>
      <c r="Z59" s="107">
        <f t="shared" si="6"/>
        <v>0</v>
      </c>
      <c r="AC59" s="109">
        <v>7899.02</v>
      </c>
    </row>
    <row r="60" spans="1:29" s="85" customFormat="1" ht="17.25" customHeight="1">
      <c r="A60" s="316"/>
      <c r="B60" s="89" t="s">
        <v>354</v>
      </c>
      <c r="C60" s="90" t="s">
        <v>21</v>
      </c>
      <c r="D60" s="91">
        <v>45124</v>
      </c>
      <c r="E60" s="90" t="s">
        <v>84</v>
      </c>
      <c r="F60" s="92" t="s">
        <v>356</v>
      </c>
      <c r="G60" s="90" t="s">
        <v>357</v>
      </c>
      <c r="H60" s="110">
        <v>12.29</v>
      </c>
      <c r="I60" s="120">
        <v>13005</v>
      </c>
      <c r="J60" s="76" t="str">
        <f>VLOOKUP(G60,'[2]Vendor list'!$A$3:$D$406,4,0)</f>
        <v>FCA</v>
      </c>
      <c r="K60" s="76">
        <f t="shared" si="0"/>
        <v>1</v>
      </c>
      <c r="L60" s="95">
        <f t="shared" si="1"/>
        <v>42.854999999999997</v>
      </c>
      <c r="M60" s="82">
        <f>VLOOKUP(F60,Appendix!$B$7:$N$1048576,13,0)</f>
        <v>1230000</v>
      </c>
      <c r="N60" s="82">
        <f>K60*H60*[2]Add.fees!$F$11</f>
        <v>104342.09999999999</v>
      </c>
      <c r="O60" s="96">
        <f>IF(AND(C60=[2]Add.fees!$G$4),[2]Add.fees!$E$7,IF(AND(C60=[2]Add.fees!$G$5),[2]Add.fees!$E$7,IF(AND(C60=[2]Add.fees!$G$6),[2]Add.fees!$F$7,0)))*(H60/L60*K60)</f>
        <v>55578.158907945399</v>
      </c>
      <c r="P60" s="96">
        <f>IF(AND(C60=[2]Add.fees!$G$4),[2]Add.fees!$E$4,IF(AND(C60=[2]Add.fees!$G$5),[2]Add.fees!$E$4,IF(AND(C60=[2]Add.fees!$G$6),[2]Add.fees!$F$4,0)))*(H60/L60*K60)</f>
        <v>14339.050285847627</v>
      </c>
      <c r="Q60" s="96">
        <f>IF(AND(C60=[2]Add.fees!$G$4),[2]Add.fees!$E$5,IF(AND(C60=[2]Add.fees!$G$5),[2]Add.fees!$E$5,IF(AND(C60=[2]Add.fees!$G$6),[2]Add.fees!$F$5,0)))*(H60/L60*K60)</f>
        <v>53169.198459922998</v>
      </c>
      <c r="R60" s="96">
        <f>IF(AND(C60=[2]Add.fees!$G$4),[2]Add.fees!$E$6,IF(AND(C60=[2]Add.fees!$G$5),[2]Add.fees!$E$6,IF(AND(C60=[2]Add.fees!$G$6),[2]Add.fees!$F$6,0)))*(H60/L60*K60)</f>
        <v>2609.707152024268</v>
      </c>
      <c r="S60" s="82">
        <v>0</v>
      </c>
      <c r="T60" s="96">
        <f>IF(AND(C60=[2]Add.fees!$G$4,Appendix!D61=[2]Add.fees!$G$8),[2]Add.fees!$E$8,IF(AND(C60=[2]Add.fees!$G$5,Appendix!D61=[2]Add.fees!$G$8),[2]Add.fees!$E$8,IF(AND(C60=[2]Add.fees!$G$6,Appendix!D61=[2]Add.fees!$G$8),[2]Add.fees!$F$8,IF(AND(C60=[2]Add.fees!$G$4,Appendix!D61=[2]Add.fees!$G$9),[2]Add.fees!$E$9,IF(AND(C60=[2]Add.fees!$G$5,Appendix!D61=[2]Add.fees!$G$9),[2]Add.fees!$E$9,IF(AND(C60=[2]Add.fees!$G$6,Appendix!D61=[2]Add.fees!$G$9),[2]Add.fees!$F$9,0))))))*(H60/L60*K60)</f>
        <v>80442.072103605184</v>
      </c>
      <c r="U60" s="96">
        <v>0</v>
      </c>
      <c r="V60" s="96">
        <f t="shared" si="7"/>
        <v>1540480.2869093458</v>
      </c>
      <c r="W60" s="97">
        <f t="shared" si="3"/>
        <v>1197.6099999999999</v>
      </c>
      <c r="X60" s="84">
        <f t="shared" si="4"/>
        <v>3020.77</v>
      </c>
      <c r="Y60" s="85">
        <f t="shared" si="5"/>
        <v>0</v>
      </c>
      <c r="Z60" s="86">
        <f t="shared" si="6"/>
        <v>0</v>
      </c>
      <c r="AC60" s="318">
        <v>71289.600000000006</v>
      </c>
    </row>
    <row r="61" spans="1:29" s="85" customFormat="1" ht="15">
      <c r="A61" s="316"/>
      <c r="B61" s="89" t="s">
        <v>354</v>
      </c>
      <c r="C61" s="90" t="s">
        <v>21</v>
      </c>
      <c r="D61" s="91">
        <v>45124</v>
      </c>
      <c r="E61" s="90" t="s">
        <v>84</v>
      </c>
      <c r="F61" s="92" t="s">
        <v>358</v>
      </c>
      <c r="G61" s="90" t="s">
        <v>145</v>
      </c>
      <c r="H61" s="93">
        <v>4.0289999999999999</v>
      </c>
      <c r="I61" s="94">
        <v>633</v>
      </c>
      <c r="J61" s="76" t="str">
        <f>VLOOKUP(G61,'[2]Vendor list'!$A$3:$D$406,4,0)</f>
        <v>FCA</v>
      </c>
      <c r="K61" s="76">
        <f t="shared" si="0"/>
        <v>1</v>
      </c>
      <c r="L61" s="95">
        <f t="shared" si="1"/>
        <v>42.854999999999997</v>
      </c>
      <c r="M61" s="82">
        <f>VLOOKUP(F61,Appendix!$B$7:$N$1048576,13,0)</f>
        <v>241000</v>
      </c>
      <c r="N61" s="82">
        <f>K61*H61*[2]Add.fees!$F$11</f>
        <v>34206.21</v>
      </c>
      <c r="O61" s="96">
        <f>IF(AND(C61=[2]Add.fees!$G$4),[2]Add.fees!$E$7,IF(AND(C61=[2]Add.fees!$G$5),[2]Add.fees!$E$7,IF(AND(C61=[2]Add.fees!$G$6),[2]Add.fees!$F$7,0)))*(H61/L61*K61)</f>
        <v>18220.049002450123</v>
      </c>
      <c r="P61" s="96">
        <f>IF(AND(C61=[2]Add.fees!$G$4),[2]Add.fees!$E$4,IF(AND(C61=[2]Add.fees!$G$5),[2]Add.fees!$E$4,IF(AND(C61=[2]Add.fees!$G$6),[2]Add.fees!$F$4,0)))*(H61/L61*K61)</f>
        <v>4700.7350367518384</v>
      </c>
      <c r="Q61" s="96">
        <f>IF(AND(C61=[2]Add.fees!$G$4),[2]Add.fees!$E$5,IF(AND(C61=[2]Add.fees!$G$5),[2]Add.fees!$E$5,IF(AND(C61=[2]Add.fees!$G$6),[2]Add.fees!$F$5,0)))*(H61/L61*K61)</f>
        <v>17430.325516275814</v>
      </c>
      <c r="R61" s="96">
        <f>IF(AND(C61=[2]Add.fees!$G$4),[2]Add.fees!$E$6,IF(AND(C61=[2]Add.fees!$G$5),[2]Add.fees!$E$6,IF(AND(C61=[2]Add.fees!$G$6),[2]Add.fees!$F$6,0)))*(H61/L61*K61)</f>
        <v>855.53377668883456</v>
      </c>
      <c r="S61" s="82">
        <v>0</v>
      </c>
      <c r="T61" s="96">
        <f>IF(AND(C61=[2]Add.fees!$G$4,Appendix!D62=[2]Add.fees!$G$8),[2]Add.fees!$E$8,IF(AND(C61=[2]Add.fees!$G$5,Appendix!D62=[2]Add.fees!$G$8),[2]Add.fees!$E$8,IF(AND(C61=[2]Add.fees!$G$6,Appendix!D62=[2]Add.fees!$G$8),[2]Add.fees!$F$8,IF(AND(C61=[2]Add.fees!$G$4,Appendix!D62=[2]Add.fees!$G$9),[2]Add.fees!$E$9,IF(AND(C61=[2]Add.fees!$G$5,Appendix!D62=[2]Add.fees!$G$9),[2]Add.fees!$E$9,IF(AND(C61=[2]Add.fees!$G$6,Appendix!D62=[2]Add.fees!$G$9),[2]Add.fees!$F$9,0))))))*(H61/L61*K61)</f>
        <v>26371.123556177812</v>
      </c>
      <c r="U61" s="96">
        <v>0</v>
      </c>
      <c r="V61" s="96">
        <f t="shared" si="7"/>
        <v>342783.97688834451</v>
      </c>
      <c r="W61" s="97">
        <f t="shared" si="3"/>
        <v>266.49</v>
      </c>
      <c r="X61" s="84">
        <f t="shared" si="4"/>
        <v>3020.77</v>
      </c>
      <c r="Y61" s="85">
        <f t="shared" si="5"/>
        <v>0</v>
      </c>
      <c r="Z61" s="86">
        <f t="shared" si="6"/>
        <v>0</v>
      </c>
      <c r="AC61" s="319"/>
    </row>
    <row r="62" spans="1:29" s="85" customFormat="1" ht="15">
      <c r="A62" s="316"/>
      <c r="B62" s="89" t="s">
        <v>354</v>
      </c>
      <c r="C62" s="90" t="s">
        <v>21</v>
      </c>
      <c r="D62" s="91">
        <v>45124</v>
      </c>
      <c r="E62" s="90" t="s">
        <v>84</v>
      </c>
      <c r="F62" s="92" t="s">
        <v>359</v>
      </c>
      <c r="G62" s="90" t="s">
        <v>144</v>
      </c>
      <c r="H62" s="93">
        <v>2.7450000000000001</v>
      </c>
      <c r="I62" s="94">
        <v>2942.01</v>
      </c>
      <c r="J62" s="76" t="str">
        <f>VLOOKUP(G62,'[2]Vendor list'!$A$3:$D$406,4,0)</f>
        <v>FCA</v>
      </c>
      <c r="K62" s="76">
        <f t="shared" si="0"/>
        <v>1</v>
      </c>
      <c r="L62" s="95">
        <f t="shared" si="1"/>
        <v>42.854999999999997</v>
      </c>
      <c r="M62" s="82">
        <f>VLOOKUP(F62,Appendix!$B$7:$N$1048576,13,0)</f>
        <v>465000</v>
      </c>
      <c r="N62" s="82">
        <f>K62*H62*[2]Add.fees!$F$11</f>
        <v>23305.05</v>
      </c>
      <c r="O62" s="96">
        <f>IF(AND(C62=[2]Add.fees!$G$4),[2]Add.fees!$E$7,IF(AND(C62=[2]Add.fees!$G$5),[2]Add.fees!$E$7,IF(AND(C62=[2]Add.fees!$G$6),[2]Add.fees!$F$7,0)))*(H62/L62*K62)</f>
        <v>12413.510675533777</v>
      </c>
      <c r="P62" s="96">
        <f>IF(AND(C62=[2]Add.fees!$G$4),[2]Add.fees!$E$4,IF(AND(C62=[2]Add.fees!$G$5),[2]Add.fees!$E$4,IF(AND(C62=[2]Add.fees!$G$6),[2]Add.fees!$F$4,0)))*(H62/L62*K62)</f>
        <v>3202.6601330066505</v>
      </c>
      <c r="Q62" s="96">
        <f>IF(AND(C62=[2]Add.fees!$G$4),[2]Add.fees!$E$5,IF(AND(C62=[2]Add.fees!$G$5),[2]Add.fees!$E$5,IF(AND(C62=[2]Add.fees!$G$6),[2]Add.fees!$F$5,0)))*(H62/L62*K62)</f>
        <v>11875.46377318866</v>
      </c>
      <c r="R62" s="96">
        <f>IF(AND(C62=[2]Add.fees!$G$4),[2]Add.fees!$E$6,IF(AND(C62=[2]Add.fees!$G$5),[2]Add.fees!$E$6,IF(AND(C62=[2]Add.fees!$G$6),[2]Add.fees!$F$6,0)))*(H62/L62*K62)</f>
        <v>582.8841442072104</v>
      </c>
      <c r="S62" s="82">
        <v>0</v>
      </c>
      <c r="T62" s="96">
        <f>IF(AND(C62=[2]Add.fees!$G$4,Appendix!D63=[2]Add.fees!$G$8),[2]Add.fees!$E$8,IF(AND(C62=[2]Add.fees!$G$5,Appendix!D63=[2]Add.fees!$G$8),[2]Add.fees!$E$8,IF(AND(C62=[2]Add.fees!$G$6,Appendix!D63=[2]Add.fees!$G$8),[2]Add.fees!$F$8,IF(AND(C62=[2]Add.fees!$G$4,Appendix!D63=[2]Add.fees!$G$9),[2]Add.fees!$E$9,IF(AND(C62=[2]Add.fees!$G$5,Appendix!D63=[2]Add.fees!$G$9),[2]Add.fees!$E$9,IF(AND(C62=[2]Add.fees!$G$6,Appendix!D63=[2]Add.fees!$G$9),[2]Add.fees!$F$9,0))))))*(H62/L62*K62)</f>
        <v>17966.92334616731</v>
      </c>
      <c r="U62" s="96">
        <v>0</v>
      </c>
      <c r="V62" s="96">
        <f t="shared" si="7"/>
        <v>534346.49207210355</v>
      </c>
      <c r="W62" s="97">
        <f t="shared" si="3"/>
        <v>415.41</v>
      </c>
      <c r="X62" s="84">
        <f t="shared" si="4"/>
        <v>3020.77</v>
      </c>
      <c r="Y62" s="85">
        <f t="shared" si="5"/>
        <v>0</v>
      </c>
      <c r="Z62" s="86">
        <f t="shared" si="6"/>
        <v>0</v>
      </c>
      <c r="AC62" s="319"/>
    </row>
    <row r="63" spans="1:29" s="85" customFormat="1" ht="15">
      <c r="A63" s="316"/>
      <c r="B63" s="89" t="s">
        <v>354</v>
      </c>
      <c r="C63" s="90" t="s">
        <v>21</v>
      </c>
      <c r="D63" s="91">
        <v>45124</v>
      </c>
      <c r="E63" s="90" t="s">
        <v>84</v>
      </c>
      <c r="F63" s="92" t="s">
        <v>360</v>
      </c>
      <c r="G63" s="90" t="s">
        <v>144</v>
      </c>
      <c r="H63" s="93">
        <v>0.75600000000000001</v>
      </c>
      <c r="I63" s="94">
        <v>374.7</v>
      </c>
      <c r="J63" s="76" t="str">
        <f>VLOOKUP(G63,'[2]Vendor list'!$A$3:$D$406,4,0)</f>
        <v>FCA</v>
      </c>
      <c r="K63" s="76">
        <f t="shared" si="0"/>
        <v>1</v>
      </c>
      <c r="L63" s="95">
        <f t="shared" si="1"/>
        <v>42.854999999999997</v>
      </c>
      <c r="M63" s="82">
        <f>VLOOKUP(F63,Appendix!$B$7:$N$1048576,13,0)</f>
        <v>289000</v>
      </c>
      <c r="N63" s="82">
        <f>K63*H63*[2]Add.fees!$F$11</f>
        <v>6418.44</v>
      </c>
      <c r="O63" s="96">
        <f>IF(AND(C63=[2]Add.fees!$G$4),[2]Add.fees!$E$7,IF(AND(C63=[2]Add.fees!$G$5),[2]Add.fees!$E$7,IF(AND(C63=[2]Add.fees!$G$6),[2]Add.fees!$F$7,0)))*(H63/L63*K63)</f>
        <v>3418.802940147008</v>
      </c>
      <c r="P63" s="96">
        <f>IF(AND(C63=[2]Add.fees!$G$4),[2]Add.fees!$E$4,IF(AND(C63=[2]Add.fees!$G$5),[2]Add.fees!$E$4,IF(AND(C63=[2]Add.fees!$G$6),[2]Add.fees!$F$4,0)))*(H63/L63*K63)</f>
        <v>882.04410220511045</v>
      </c>
      <c r="Q63" s="96">
        <f>IF(AND(C63=[2]Add.fees!$G$4),[2]Add.fees!$E$5,IF(AND(C63=[2]Add.fees!$G$5),[2]Add.fees!$E$5,IF(AND(C63=[2]Add.fees!$G$6),[2]Add.fees!$F$5,0)))*(H63/L63*K63)</f>
        <v>3270.6195309765494</v>
      </c>
      <c r="R63" s="96">
        <f>IF(AND(C63=[2]Add.fees!$G$4),[2]Add.fees!$E$6,IF(AND(C63=[2]Add.fees!$G$5),[2]Add.fees!$E$6,IF(AND(C63=[2]Add.fees!$G$6),[2]Add.fees!$F$6,0)))*(H63/L63*K63)</f>
        <v>160.5320266013301</v>
      </c>
      <c r="S63" s="82">
        <v>0</v>
      </c>
      <c r="T63" s="96">
        <f>IF(AND(C63=[2]Add.fees!$G$4,Appendix!D64=[2]Add.fees!$G$8),[2]Add.fees!$E$8,IF(AND(C63=[2]Add.fees!$G$5,Appendix!D64=[2]Add.fees!$G$8),[2]Add.fees!$E$8,IF(AND(C63=[2]Add.fees!$G$6,Appendix!D64=[2]Add.fees!$G$8),[2]Add.fees!$F$8,IF(AND(C63=[2]Add.fees!$G$4,Appendix!D64=[2]Add.fees!$G$9),[2]Add.fees!$E$9,IF(AND(C63=[2]Add.fees!$G$5,Appendix!D64=[2]Add.fees!$G$9),[2]Add.fees!$E$9,IF(AND(C63=[2]Add.fees!$G$6,Appendix!D64=[2]Add.fees!$G$9),[2]Add.fees!$F$9,0))))))*(H63/L63*K63)</f>
        <v>4948.2674133706696</v>
      </c>
      <c r="U63" s="96">
        <v>0</v>
      </c>
      <c r="V63" s="96">
        <f t="shared" si="7"/>
        <v>308098.70601330069</v>
      </c>
      <c r="W63" s="97">
        <f t="shared" si="3"/>
        <v>239.52</v>
      </c>
      <c r="X63" s="84">
        <f t="shared" si="4"/>
        <v>3020.77</v>
      </c>
      <c r="Y63" s="85">
        <f t="shared" si="5"/>
        <v>0</v>
      </c>
      <c r="Z63" s="86">
        <f t="shared" si="6"/>
        <v>0</v>
      </c>
      <c r="AC63" s="319"/>
    </row>
    <row r="64" spans="1:29" s="85" customFormat="1" ht="15">
      <c r="A64" s="317"/>
      <c r="B64" s="89" t="s">
        <v>354</v>
      </c>
      <c r="C64" s="90" t="s">
        <v>21</v>
      </c>
      <c r="D64" s="91">
        <v>45124</v>
      </c>
      <c r="E64" s="90" t="s">
        <v>84</v>
      </c>
      <c r="F64" s="92" t="s">
        <v>361</v>
      </c>
      <c r="G64" s="142" t="s">
        <v>362</v>
      </c>
      <c r="H64" s="130">
        <v>0.20499999999999999</v>
      </c>
      <c r="I64" s="131">
        <v>21</v>
      </c>
      <c r="J64" s="76" t="str">
        <f>VLOOKUP(G64,'[2]Vendor list'!$A$3:$D$406,4,0)</f>
        <v>FCA</v>
      </c>
      <c r="K64" s="76">
        <f t="shared" si="0"/>
        <v>1</v>
      </c>
      <c r="L64" s="95">
        <f t="shared" si="1"/>
        <v>42.854999999999997</v>
      </c>
      <c r="M64" s="82">
        <f>VLOOKUP(F64,Appendix!$B$7:$N$1048576,13,0)</f>
        <v>288000</v>
      </c>
      <c r="N64" s="82">
        <f>K64*H64*[2]Add.fees!$F$11</f>
        <v>1740.4499999999998</v>
      </c>
      <c r="O64" s="96">
        <f>IF(AND(C64=[2]Add.fees!$G$4),[2]Add.fees!$E$7,IF(AND(C64=[2]Add.fees!$G$5),[2]Add.fees!$E$7,IF(AND(C64=[2]Add.fees!$G$6),[2]Add.fees!$F$7,0)))*(H64/L64*K64)</f>
        <v>927.05635281764091</v>
      </c>
      <c r="P64" s="96">
        <f>IF(AND(C64=[2]Add.fees!$G$4),[2]Add.fees!$E$4,IF(AND(C64=[2]Add.fees!$G$5),[2]Add.fees!$E$4,IF(AND(C64=[2]Add.fees!$G$6),[2]Add.fees!$F$4,0)))*(H64/L64*K64)</f>
        <v>239.17862559794659</v>
      </c>
      <c r="Q64" s="96">
        <f>IF(AND(C64=[2]Add.fees!$G$4),[2]Add.fees!$E$5,IF(AND(C64=[2]Add.fees!$G$5),[2]Add.fees!$E$5,IF(AND(C64=[2]Add.fees!$G$6),[2]Add.fees!$F$5,0)))*(H64/L64*K64)</f>
        <v>886.87434371718598</v>
      </c>
      <c r="R64" s="96">
        <f>IF(AND(C64=[2]Add.fees!$G$4),[2]Add.fees!$E$6,IF(AND(C64=[2]Add.fees!$G$5),[2]Add.fees!$E$6,IF(AND(C64=[2]Add.fees!$G$6),[2]Add.fees!$F$6,0)))*(H64/L64*K64)</f>
        <v>43.530509858826278</v>
      </c>
      <c r="S64" s="82">
        <v>0</v>
      </c>
      <c r="T64" s="96">
        <f>IF(AND(C64=[2]Add.fees!$G$4,Appendix!D65=[2]Add.fees!$G$8),[2]Add.fees!$E$8,IF(AND(C64=[2]Add.fees!$G$5,Appendix!D65=[2]Add.fees!$G$8),[2]Add.fees!$E$8,IF(AND(C64=[2]Add.fees!$G$6,Appendix!D65=[2]Add.fees!$G$8),[2]Add.fees!$F$8,IF(AND(C64=[2]Add.fees!$G$4,Appendix!D65=[2]Add.fees!$G$9),[2]Add.fees!$E$9,IF(AND(C64=[2]Add.fees!$G$5,Appendix!D65=[2]Add.fees!$G$9),[2]Add.fees!$E$9,IF(AND(C64=[2]Add.fees!$G$6,Appendix!D65=[2]Add.fees!$G$9),[2]Add.fees!$F$9,0))))))*(H64/L64*K64)</f>
        <v>1341.7920896044802</v>
      </c>
      <c r="U64" s="96">
        <v>0</v>
      </c>
      <c r="V64" s="96">
        <f t="shared" si="7"/>
        <v>293178.88192159607</v>
      </c>
      <c r="W64" s="97">
        <f t="shared" si="3"/>
        <v>227.92</v>
      </c>
      <c r="X64" s="84">
        <f t="shared" si="4"/>
        <v>3020.77</v>
      </c>
      <c r="Y64" s="85">
        <f t="shared" si="5"/>
        <v>0</v>
      </c>
      <c r="Z64" s="86">
        <f t="shared" si="6"/>
        <v>0</v>
      </c>
      <c r="AC64" s="320"/>
    </row>
    <row r="65" spans="1:31" s="85" customFormat="1" ht="15">
      <c r="A65" s="314">
        <v>9</v>
      </c>
      <c r="B65" s="143" t="s">
        <v>363</v>
      </c>
      <c r="C65" s="90" t="s">
        <v>21</v>
      </c>
      <c r="D65" s="91">
        <v>45130</v>
      </c>
      <c r="E65" s="90" t="s">
        <v>84</v>
      </c>
      <c r="F65" s="92" t="s">
        <v>234</v>
      </c>
      <c r="G65" s="92" t="s">
        <v>328</v>
      </c>
      <c r="H65" s="117">
        <v>26.97</v>
      </c>
      <c r="I65" s="120">
        <v>17900</v>
      </c>
      <c r="J65" s="76" t="str">
        <f>VLOOKUP(G65,'[2]Vendor list'!$A$3:$D$406,4,0)</f>
        <v>FCA</v>
      </c>
      <c r="K65" s="76">
        <f t="shared" si="0"/>
        <v>1</v>
      </c>
      <c r="L65" s="95">
        <f t="shared" si="1"/>
        <v>52.369</v>
      </c>
      <c r="M65" s="82">
        <f>VLOOKUP(F65,Appendix!$B$7:$N$1048576,13,0)</f>
        <v>768000</v>
      </c>
      <c r="N65" s="82">
        <f>K65*H65*[2]Add.fees!$F$11</f>
        <v>228975.3</v>
      </c>
      <c r="O65" s="96">
        <f>IF(AND(C65=[2]Add.fees!$G$4),[2]Add.fees!$E$7,IF(AND(C65=[2]Add.fees!$G$5),[2]Add.fees!$E$7,IF(AND(C65=[2]Add.fees!$G$6),[2]Add.fees!$F$7,0)))*(H65/L65*K65)</f>
        <v>99806.870476808792</v>
      </c>
      <c r="P65" s="96">
        <f>IF(AND(C65=[2]Add.fees!$G$4),[2]Add.fees!$E$4,IF(AND(C65=[2]Add.fees!$G$5),[2]Add.fees!$E$4,IF(AND(C65=[2]Add.fees!$G$6),[2]Add.fees!$F$4,0)))*(H65/L65*K65)</f>
        <v>25749.966583284</v>
      </c>
      <c r="Q65" s="96">
        <f>IF(AND(C65=[2]Add.fees!$G$4),[2]Add.fees!$E$5,IF(AND(C65=[2]Add.fees!$G$5),[2]Add.fees!$E$5,IF(AND(C65=[2]Add.fees!$G$6),[2]Add.fees!$F$5,0)))*(H65/L65*K65)</f>
        <v>95480.876090817081</v>
      </c>
      <c r="R65" s="96">
        <f>IF(AND(C65=[2]Add.fees!$G$4),[2]Add.fees!$E$6,IF(AND(C65=[2]Add.fees!$G$5),[2]Add.fees!$E$6,IF(AND(C65=[2]Add.fees!$G$6),[2]Add.fees!$F$6,0)))*(H65/L65*K65)</f>
        <v>4686.4939181576883</v>
      </c>
      <c r="S65" s="82">
        <v>0</v>
      </c>
      <c r="T65" s="96">
        <f>IF(AND(C65=[2]Add.fees!$G$4,Appendix!D66=[2]Add.fees!$G$8),[2]Add.fees!$E$8,IF(AND(C65=[2]Add.fees!$G$5,Appendix!D66=[2]Add.fees!$G$8),[2]Add.fees!$E$8,IF(AND(C65=[2]Add.fees!$G$6,Appendix!D66=[2]Add.fees!$G$8),[2]Add.fees!$F$8,IF(AND(C65=[2]Add.fees!$G$4,Appendix!D66=[2]Add.fees!$G$9),[2]Add.fees!$E$9,IF(AND(C65=[2]Add.fees!$G$5,Appendix!D66=[2]Add.fees!$G$9),[2]Add.fees!$E$9,IF(AND(C65=[2]Add.fees!$G$6,Appendix!D66=[2]Add.fees!$G$9),[2]Add.fees!$F$9,0))))))*(H65/L65*K65)</f>
        <v>144457.31253222324</v>
      </c>
      <c r="U65" s="96">
        <v>0</v>
      </c>
      <c r="V65" s="96">
        <f t="shared" si="7"/>
        <v>1367156.8196012911</v>
      </c>
      <c r="W65" s="144">
        <f t="shared" si="3"/>
        <v>1062.8599999999999</v>
      </c>
      <c r="X65" s="84">
        <f t="shared" si="4"/>
        <v>2357.5499999999997</v>
      </c>
      <c r="Y65" s="85">
        <f t="shared" si="5"/>
        <v>1</v>
      </c>
      <c r="Z65" s="86">
        <f t="shared" si="6"/>
        <v>2357.5499999999997</v>
      </c>
      <c r="AC65" s="88">
        <v>40080</v>
      </c>
      <c r="AD65" s="85">
        <v>1062.8599999999999</v>
      </c>
      <c r="AE65" s="145">
        <f>AD65-W65</f>
        <v>0</v>
      </c>
    </row>
    <row r="66" spans="1:31" s="85" customFormat="1" ht="15">
      <c r="A66" s="316"/>
      <c r="B66" s="143" t="s">
        <v>363</v>
      </c>
      <c r="C66" s="90" t="s">
        <v>21</v>
      </c>
      <c r="D66" s="91">
        <v>45130</v>
      </c>
      <c r="E66" s="90" t="s">
        <v>84</v>
      </c>
      <c r="F66" s="92" t="s">
        <v>235</v>
      </c>
      <c r="G66" s="92" t="s">
        <v>328</v>
      </c>
      <c r="H66" s="146">
        <v>14.023999999999999</v>
      </c>
      <c r="I66" s="147">
        <v>1746.42</v>
      </c>
      <c r="J66" s="76" t="str">
        <f>VLOOKUP(G66,'[2]Vendor list'!$A$3:$D$406,4,0)</f>
        <v>FCA</v>
      </c>
      <c r="K66" s="76">
        <f t="shared" si="0"/>
        <v>1</v>
      </c>
      <c r="L66" s="95">
        <f t="shared" si="1"/>
        <v>52.369</v>
      </c>
      <c r="M66" s="82">
        <f>VLOOKUP(F66,Appendix!$B$7:$N$1048576,13,0)</f>
        <v>332000</v>
      </c>
      <c r="N66" s="82">
        <f>K66*H66*[2]Add.fees!$F$11</f>
        <v>119063.76</v>
      </c>
      <c r="O66" s="96">
        <f>IF(AND(C66=[2]Add.fees!$G$4),[2]Add.fees!$E$7,IF(AND(C66=[2]Add.fees!$G$5),[2]Add.fees!$E$7,IF(AND(C66=[2]Add.fees!$G$6),[2]Add.fees!$F$7,0)))*(H66/L66*K66)</f>
        <v>51898.092382898278</v>
      </c>
      <c r="P66" s="96">
        <f>IF(AND(C66=[2]Add.fees!$G$4),[2]Add.fees!$E$4,IF(AND(C66=[2]Add.fees!$G$5),[2]Add.fees!$E$4,IF(AND(C66=[2]Add.fees!$G$6),[2]Add.fees!$F$4,0)))*(H66/L66*K66)</f>
        <v>13389.600717982012</v>
      </c>
      <c r="Q66" s="96">
        <f>IF(AND(C66=[2]Add.fees!$G$4),[2]Add.fees!$E$5,IF(AND(C66=[2]Add.fees!$G$5),[2]Add.fees!$E$5,IF(AND(C66=[2]Add.fees!$G$6),[2]Add.fees!$F$5,0)))*(H66/L66*K66)</f>
        <v>49648.6394622773</v>
      </c>
      <c r="R66" s="96">
        <f>IF(AND(C66=[2]Add.fees!$G$4),[2]Add.fees!$E$6,IF(AND(C66=[2]Add.fees!$G$5),[2]Add.fees!$E$6,IF(AND(C66=[2]Add.fees!$G$6),[2]Add.fees!$F$6,0)))*(H66/L66*K66)</f>
        <v>2436.9073306727259</v>
      </c>
      <c r="S66" s="82">
        <v>0</v>
      </c>
      <c r="T66" s="96">
        <f>IF(AND(C66=[2]Add.fees!$G$4,Appendix!D67=[2]Add.fees!$G$8),[2]Add.fees!$E$8,IF(AND(C66=[2]Add.fees!$G$5,Appendix!D67=[2]Add.fees!$G$8),[2]Add.fees!$E$8,IF(AND(C66=[2]Add.fees!$G$6,Appendix!D67=[2]Add.fees!$G$8),[2]Add.fees!$F$8,IF(AND(C66=[2]Add.fees!$G$4,Appendix!D67=[2]Add.fees!$G$9),[2]Add.fees!$E$9,IF(AND(C66=[2]Add.fees!$G$5,Appendix!D67=[2]Add.fees!$G$9),[2]Add.fees!$E$9,IF(AND(C66=[2]Add.fees!$G$6,Appendix!D67=[2]Add.fees!$G$9),[2]Add.fees!$F$9,0))))))*(H66/L66*K66)</f>
        <v>75115.660027879087</v>
      </c>
      <c r="U66" s="96">
        <v>0</v>
      </c>
      <c r="V66" s="96">
        <f t="shared" si="7"/>
        <v>643552.65992170933</v>
      </c>
      <c r="W66" s="97">
        <f t="shared" si="3"/>
        <v>500.31</v>
      </c>
      <c r="X66" s="84">
        <f t="shared" si="4"/>
        <v>2357.5499999999997</v>
      </c>
      <c r="Y66" s="85">
        <f t="shared" si="5"/>
        <v>0</v>
      </c>
      <c r="Z66" s="86">
        <f t="shared" si="6"/>
        <v>0</v>
      </c>
      <c r="AC66" s="148">
        <v>14523.6</v>
      </c>
      <c r="AD66" s="85">
        <v>500.31</v>
      </c>
      <c r="AE66" s="145">
        <f t="shared" ref="AE66:AE125" si="8">AD66-W66</f>
        <v>0</v>
      </c>
    </row>
    <row r="67" spans="1:31" s="85" customFormat="1" ht="15">
      <c r="A67" s="316"/>
      <c r="B67" s="143" t="s">
        <v>363</v>
      </c>
      <c r="C67" s="90" t="s">
        <v>21</v>
      </c>
      <c r="D67" s="91">
        <v>45130</v>
      </c>
      <c r="E67" s="90" t="s">
        <v>84</v>
      </c>
      <c r="F67" s="92" t="s">
        <v>236</v>
      </c>
      <c r="G67" s="92" t="s">
        <v>328</v>
      </c>
      <c r="H67" s="111">
        <v>5.3949999999999996</v>
      </c>
      <c r="I67" s="94">
        <v>424.4</v>
      </c>
      <c r="J67" s="76" t="str">
        <f>VLOOKUP(G67,'[2]Vendor list'!$A$3:$D$406,4,0)</f>
        <v>FCA</v>
      </c>
      <c r="K67" s="76">
        <f t="shared" si="0"/>
        <v>1</v>
      </c>
      <c r="L67" s="95">
        <f t="shared" si="1"/>
        <v>52.369</v>
      </c>
      <c r="M67" s="82">
        <f>VLOOKUP(F67,Appendix!$B$7:$N$1048576,13,0)</f>
        <v>291100</v>
      </c>
      <c r="N67" s="82">
        <f>K67*H67*[2]Add.fees!$F$11</f>
        <v>45803.549999999996</v>
      </c>
      <c r="O67" s="96">
        <f>IF(AND(C67=[2]Add.fees!$G$4),[2]Add.fees!$E$7,IF(AND(C67=[2]Add.fees!$G$5),[2]Add.fees!$E$7,IF(AND(C67=[2]Add.fees!$G$6),[2]Add.fees!$F$7,0)))*(H67/L67*K67)</f>
        <v>19965.074757967497</v>
      </c>
      <c r="P67" s="96">
        <f>IF(AND(C67=[2]Add.fees!$G$4),[2]Add.fees!$E$4,IF(AND(C67=[2]Add.fees!$G$5),[2]Add.fees!$E$4,IF(AND(C67=[2]Add.fees!$G$6),[2]Add.fees!$F$4,0)))*(H67/L67*K67)</f>
        <v>5150.9480799709745</v>
      </c>
      <c r="Q67" s="96">
        <f>IF(AND(C67=[2]Add.fees!$G$4),[2]Add.fees!$E$5,IF(AND(C67=[2]Add.fees!$G$5),[2]Add.fees!$E$5,IF(AND(C67=[2]Add.fees!$G$6),[2]Add.fees!$F$5,0)))*(H67/L67*K67)</f>
        <v>19099.715480532373</v>
      </c>
      <c r="R67" s="96">
        <f>IF(AND(C67=[2]Add.fees!$G$4),[2]Add.fees!$E$6,IF(AND(C67=[2]Add.fees!$G$5),[2]Add.fees!$E$6,IF(AND(C67=[2]Add.fees!$G$6),[2]Add.fees!$F$6,0)))*(H67/L67*K67)</f>
        <v>937.47255055471737</v>
      </c>
      <c r="S67" s="82">
        <v>0</v>
      </c>
      <c r="T67" s="96">
        <f>IF(AND(C67=[2]Add.fees!$G$4,Appendix!D68=[2]Add.fees!$G$8),[2]Add.fees!$E$8,IF(AND(C67=[2]Add.fees!$G$5,Appendix!D68=[2]Add.fees!$G$8),[2]Add.fees!$E$8,IF(AND(C67=[2]Add.fees!$G$6,Appendix!D68=[2]Add.fees!$G$8),[2]Add.fees!$F$8,IF(AND(C67=[2]Add.fees!$G$4,Appendix!D68=[2]Add.fees!$G$9),[2]Add.fees!$E$9,IF(AND(C67=[2]Add.fees!$G$5,Appendix!D68=[2]Add.fees!$G$9),[2]Add.fees!$E$9,IF(AND(C67=[2]Add.fees!$G$6,Appendix!D68=[2]Add.fees!$G$9),[2]Add.fees!$F$9,0))))))*(H67/L67*K67)</f>
        <v>28896.818728637169</v>
      </c>
      <c r="U67" s="96">
        <v>0</v>
      </c>
      <c r="V67" s="96">
        <f t="shared" si="7"/>
        <v>410953.57959766273</v>
      </c>
      <c r="W67" s="97">
        <f t="shared" si="3"/>
        <v>319.49</v>
      </c>
      <c r="X67" s="84">
        <f t="shared" si="4"/>
        <v>2357.5499999999997</v>
      </c>
      <c r="Y67" s="85">
        <f t="shared" si="5"/>
        <v>0</v>
      </c>
      <c r="Z67" s="86">
        <f t="shared" si="6"/>
        <v>0</v>
      </c>
      <c r="AC67" s="88">
        <v>5919.2</v>
      </c>
      <c r="AD67" s="85">
        <v>319.49</v>
      </c>
      <c r="AE67" s="145">
        <f t="shared" si="8"/>
        <v>0</v>
      </c>
    </row>
    <row r="68" spans="1:31" s="85" customFormat="1" ht="15">
      <c r="A68" s="317"/>
      <c r="B68" s="143" t="s">
        <v>363</v>
      </c>
      <c r="C68" s="90" t="s">
        <v>21</v>
      </c>
      <c r="D68" s="91">
        <v>45130</v>
      </c>
      <c r="E68" s="90" t="s">
        <v>84</v>
      </c>
      <c r="F68" s="92" t="s">
        <v>364</v>
      </c>
      <c r="G68" s="92" t="s">
        <v>85</v>
      </c>
      <c r="H68" s="93">
        <v>5.98</v>
      </c>
      <c r="I68" s="94">
        <v>2568</v>
      </c>
      <c r="J68" s="76" t="str">
        <f>VLOOKUP(G68,'[2]Vendor list'!$A$3:$D$406,4,0)</f>
        <v>FCA</v>
      </c>
      <c r="K68" s="76">
        <f t="shared" si="0"/>
        <v>1</v>
      </c>
      <c r="L68" s="95">
        <f t="shared" si="1"/>
        <v>52.369</v>
      </c>
      <c r="M68" s="82">
        <f>VLOOKUP(F68,Appendix!$B$7:$N$1048576,13,0)</f>
        <v>478000</v>
      </c>
      <c r="N68" s="82">
        <f>K68*H68*[2]Add.fees!$F$11</f>
        <v>50770.200000000004</v>
      </c>
      <c r="O68" s="96">
        <f>IF(AND(C68=[2]Add.fees!$G$4),[2]Add.fees!$E$7,IF(AND(C68=[2]Add.fees!$G$5),[2]Add.fees!$E$7,IF(AND(C68=[2]Add.fees!$G$6),[2]Add.fees!$F$7,0)))*(H68/L68*K68)</f>
        <v>22129.962382325422</v>
      </c>
      <c r="P68" s="96">
        <f>IF(AND(C68=[2]Add.fees!$G$4),[2]Add.fees!$E$4,IF(AND(C68=[2]Add.fees!$G$5),[2]Add.fees!$E$4,IF(AND(C68=[2]Add.fees!$G$6),[2]Add.fees!$F$4,0)))*(H68/L68*K68)</f>
        <v>5709.4846187630092</v>
      </c>
      <c r="Q68" s="96">
        <f>IF(AND(C68=[2]Add.fees!$G$4),[2]Add.fees!$E$5,IF(AND(C68=[2]Add.fees!$G$5),[2]Add.fees!$E$5,IF(AND(C68=[2]Add.fees!$G$6),[2]Add.fees!$F$5,0)))*(H68/L68*K68)</f>
        <v>21170.768966373238</v>
      </c>
      <c r="R68" s="96">
        <f>IF(AND(C68=[2]Add.fees!$G$4),[2]Add.fees!$E$6,IF(AND(C68=[2]Add.fees!$G$5),[2]Add.fees!$E$6,IF(AND(C68=[2]Add.fees!$G$6),[2]Add.fees!$F$6,0)))*(H68/L68*K68)</f>
        <v>1039.1262006148677</v>
      </c>
      <c r="S68" s="82">
        <v>0</v>
      </c>
      <c r="T68" s="96">
        <f>IF(AND(C68=[2]Add.fees!$G$4,Appendix!D69=[2]Add.fees!$G$8),[2]Add.fees!$E$8,IF(AND(C68=[2]Add.fees!$G$5,Appendix!D69=[2]Add.fees!$G$8),[2]Add.fees!$E$8,IF(AND(C68=[2]Add.fees!$G$6,Appendix!D69=[2]Add.fees!$G$8),[2]Add.fees!$F$8,IF(AND(C68=[2]Add.fees!$G$4,Appendix!D69=[2]Add.fees!$G$9),[2]Add.fees!$E$9,IF(AND(C68=[2]Add.fees!$G$5,Appendix!D69=[2]Add.fees!$G$9),[2]Add.fees!$E$9,IF(AND(C68=[2]Add.fees!$G$6,Appendix!D69=[2]Add.fees!$G$9),[2]Add.fees!$F$9,0))))))*(H68/L68*K68)</f>
        <v>32030.208711260479</v>
      </c>
      <c r="U68" s="96">
        <v>0</v>
      </c>
      <c r="V68" s="96">
        <f t="shared" si="7"/>
        <v>610849.75087933696</v>
      </c>
      <c r="W68" s="97">
        <f t="shared" si="3"/>
        <v>474.89</v>
      </c>
      <c r="X68" s="84">
        <f t="shared" si="4"/>
        <v>2357.5499999999997</v>
      </c>
      <c r="Y68" s="85">
        <f t="shared" si="5"/>
        <v>0</v>
      </c>
      <c r="Z68" s="86">
        <f t="shared" si="6"/>
        <v>0</v>
      </c>
      <c r="AC68" s="88">
        <v>8444.7999999999993</v>
      </c>
      <c r="AD68" s="85">
        <v>474.89</v>
      </c>
      <c r="AE68" s="145">
        <f t="shared" si="8"/>
        <v>0</v>
      </c>
    </row>
    <row r="69" spans="1:31" s="85" customFormat="1" ht="15">
      <c r="A69" s="314">
        <v>10</v>
      </c>
      <c r="B69" s="89" t="s">
        <v>365</v>
      </c>
      <c r="C69" s="90" t="s">
        <v>21</v>
      </c>
      <c r="D69" s="91">
        <v>45130</v>
      </c>
      <c r="E69" s="90" t="s">
        <v>84</v>
      </c>
      <c r="F69" s="92" t="s">
        <v>239</v>
      </c>
      <c r="G69" s="92" t="s">
        <v>328</v>
      </c>
      <c r="H69" s="93">
        <v>22.654</v>
      </c>
      <c r="I69" s="94">
        <v>3330.18</v>
      </c>
      <c r="J69" s="76" t="str">
        <f>VLOOKUP(G69,'[2]Vendor list'!$A$3:$D$406,4,0)</f>
        <v>FCA</v>
      </c>
      <c r="K69" s="76">
        <f t="shared" si="0"/>
        <v>1</v>
      </c>
      <c r="L69" s="95">
        <f t="shared" si="1"/>
        <v>64.730999999999995</v>
      </c>
      <c r="M69" s="82">
        <f>VLOOKUP(F69,Appendix!$B$7:$N$1048576,13,0)</f>
        <v>392000</v>
      </c>
      <c r="N69" s="82">
        <f>K69*H69*[2]Add.fees!$F$11</f>
        <v>192332.46</v>
      </c>
      <c r="O69" s="96">
        <f>IF(AND(C69=[2]Add.fees!$G$4),[2]Add.fees!$E$7,IF(AND(C69=[2]Add.fees!$G$5),[2]Add.fees!$E$7,IF(AND(C69=[2]Add.fees!$G$6),[2]Add.fees!$F$7,0)))*(H69/L69*K69)</f>
        <v>67824.461231867273</v>
      </c>
      <c r="P69" s="96">
        <f>IF(AND(C69=[2]Add.fees!$G$4),[2]Add.fees!$E$4,IF(AND(C69=[2]Add.fees!$G$5),[2]Add.fees!$E$4,IF(AND(C69=[2]Add.fees!$G$6),[2]Add.fees!$F$4,0)))*(H69/L69*K69)</f>
        <v>17498.571009253683</v>
      </c>
      <c r="Q69" s="96">
        <f>IF(AND(C69=[2]Add.fees!$G$4),[2]Add.fees!$E$5,IF(AND(C69=[2]Add.fees!$G$5),[2]Add.fees!$E$5,IF(AND(C69=[2]Add.fees!$G$6),[2]Add.fees!$F$5,0)))*(H69/L69*K69)</f>
        <v>64884.701302312656</v>
      </c>
      <c r="R69" s="96">
        <f>IF(AND(C69=[2]Add.fees!$G$4),[2]Add.fees!$E$6,IF(AND(C69=[2]Add.fees!$G$5),[2]Add.fees!$E$6,IF(AND(C69=[2]Add.fees!$G$6),[2]Add.fees!$F$6,0)))*(H69/L69*K69)</f>
        <v>3184.7399236841702</v>
      </c>
      <c r="S69" s="82">
        <v>0</v>
      </c>
      <c r="T69" s="96">
        <f>IF(AND(C69=[2]Add.fees!$G$4,Appendix!D70=[2]Add.fees!$G$8),[2]Add.fees!$E$8,IF(AND(C69=[2]Add.fees!$G$5,Appendix!D70=[2]Add.fees!$G$8),[2]Add.fees!$E$8,IF(AND(C69=[2]Add.fees!$G$6,Appendix!D70=[2]Add.fees!$G$8),[2]Add.fees!$F$8,IF(AND(C69=[2]Add.fees!$G$4,Appendix!D70=[2]Add.fees!$G$9),[2]Add.fees!$E$9,IF(AND(C69=[2]Add.fees!$G$5,Appendix!D70=[2]Add.fees!$G$9),[2]Add.fees!$E$9,IF(AND(C69=[2]Add.fees!$G$6,Appendix!D70=[2]Add.fees!$G$9),[2]Add.fees!$F$9,0))))))*(H69/L69*K69)</f>
        <v>98166.983361913168</v>
      </c>
      <c r="U69" s="96">
        <v>0</v>
      </c>
      <c r="V69" s="96">
        <f t="shared" si="7"/>
        <v>835891.91682903096</v>
      </c>
      <c r="W69" s="97">
        <f t="shared" si="3"/>
        <v>649.84</v>
      </c>
      <c r="X69" s="84">
        <f t="shared" si="4"/>
        <v>2326.34</v>
      </c>
      <c r="Y69" s="85">
        <f t="shared" si="5"/>
        <v>1</v>
      </c>
      <c r="Z69" s="86">
        <f t="shared" si="6"/>
        <v>2326.34</v>
      </c>
      <c r="AC69" s="88">
        <v>34142.22</v>
      </c>
      <c r="AD69" s="85">
        <v>649.84</v>
      </c>
      <c r="AE69" s="145">
        <f t="shared" si="8"/>
        <v>0</v>
      </c>
    </row>
    <row r="70" spans="1:31" s="85" customFormat="1" ht="16.5" customHeight="1">
      <c r="A70" s="316"/>
      <c r="B70" s="89" t="s">
        <v>365</v>
      </c>
      <c r="C70" s="90" t="s">
        <v>21</v>
      </c>
      <c r="D70" s="91">
        <v>45130</v>
      </c>
      <c r="E70" s="90" t="s">
        <v>84</v>
      </c>
      <c r="F70" s="92" t="s">
        <v>240</v>
      </c>
      <c r="G70" s="92" t="s">
        <v>328</v>
      </c>
      <c r="H70" s="111">
        <v>14.026999999999999</v>
      </c>
      <c r="I70" s="122">
        <v>12019.8</v>
      </c>
      <c r="J70" s="76" t="str">
        <f>VLOOKUP(G70,'[2]Vendor list'!$A$3:$D$406,4,0)</f>
        <v>FCA</v>
      </c>
      <c r="K70" s="76">
        <f t="shared" ref="K70:K125" si="9">IF(AND(J70="FCA"),1,IF(AND(J70="FOB"),0,"No data"))</f>
        <v>1</v>
      </c>
      <c r="L70" s="95">
        <f t="shared" ref="L70:L125" si="10">SUMIF($B$6:$B$1048576,B70,$H$6:$H$1048576)</f>
        <v>64.730999999999995</v>
      </c>
      <c r="M70" s="82">
        <f>VLOOKUP(F70,Appendix!$B$7:$N$1048576,13,0)</f>
        <v>624000</v>
      </c>
      <c r="N70" s="82">
        <f>K70*H70*[2]Add.fees!$F$11</f>
        <v>119089.23</v>
      </c>
      <c r="O70" s="96">
        <f>IF(AND(C70=[2]Add.fees!$G$4),[2]Add.fees!$E$7,IF(AND(C70=[2]Add.fees!$G$5),[2]Add.fees!$E$7,IF(AND(C70=[2]Add.fees!$G$6),[2]Add.fees!$F$7,0)))*(H70/L70*K70)</f>
        <v>41995.838161004773</v>
      </c>
      <c r="P70" s="96">
        <f>IF(AND(C70=[2]Add.fees!$G$4),[2]Add.fees!$E$4,IF(AND(C70=[2]Add.fees!$G$5),[2]Add.fees!$E$4,IF(AND(C70=[2]Add.fees!$G$6),[2]Add.fees!$F$4,0)))*(H70/L70*K70)</f>
        <v>10834.839566822697</v>
      </c>
      <c r="Q70" s="96">
        <f>IF(AND(C70=[2]Add.fees!$G$4),[2]Add.fees!$E$5,IF(AND(C70=[2]Add.fees!$G$5),[2]Add.fees!$E$5,IF(AND(C70=[2]Add.fees!$G$6),[2]Add.fees!$F$5,0)))*(H70/L70*K70)</f>
        <v>40175.585113778565</v>
      </c>
      <c r="R70" s="96">
        <f>IF(AND(C70=[2]Add.fees!$G$4),[2]Add.fees!$E$6,IF(AND(C70=[2]Add.fees!$G$5),[2]Add.fees!$E$6,IF(AND(C70=[2]Add.fees!$G$6),[2]Add.fees!$F$6,0)))*(H70/L70*K70)</f>
        <v>1971.9408011617309</v>
      </c>
      <c r="S70" s="82">
        <v>0</v>
      </c>
      <c r="T70" s="96">
        <f>IF(AND(C70=[2]Add.fees!$G$4,Appendix!D71=[2]Add.fees!$G$8),[2]Add.fees!$E$8,IF(AND(C70=[2]Add.fees!$G$5,Appendix!D71=[2]Add.fees!$G$8),[2]Add.fees!$E$8,IF(AND(C70=[2]Add.fees!$G$6,Appendix!D71=[2]Add.fees!$G$8),[2]Add.fees!$F$8,IF(AND(C70=[2]Add.fees!$G$4,Appendix!D71=[2]Add.fees!$G$9),[2]Add.fees!$E$9,IF(AND(C70=[2]Add.fees!$G$5,Appendix!D71=[2]Add.fees!$G$9),[2]Add.fees!$E$9,IF(AND(C70=[2]Add.fees!$G$6,Appendix!D71=[2]Add.fees!$G$9),[2]Add.fees!$F$9,0))))))*(H70/L70*K70)</f>
        <v>60783.449969875335</v>
      </c>
      <c r="U70" s="96">
        <v>0</v>
      </c>
      <c r="V70" s="96">
        <f t="shared" si="7"/>
        <v>898850.88361264323</v>
      </c>
      <c r="W70" s="97">
        <f t="shared" ref="W70:W125" si="11">ROUND(V70*$C$129,2)</f>
        <v>698.79</v>
      </c>
      <c r="X70" s="84">
        <f t="shared" ref="X70:X126" si="12">SUMIF($B$6:$B$1048576,B70,$W$6:$W$1048576)</f>
        <v>2326.34</v>
      </c>
      <c r="Y70" s="85">
        <f t="shared" ref="Y70:Y125" si="13">IF(B70=B69,0,1)</f>
        <v>0</v>
      </c>
      <c r="Z70" s="86">
        <f t="shared" ref="Z70:Z125" si="14">X70*Y70</f>
        <v>0</v>
      </c>
      <c r="AC70" s="88">
        <v>52884</v>
      </c>
      <c r="AD70" s="85">
        <v>698.79</v>
      </c>
      <c r="AE70" s="145">
        <f t="shared" si="8"/>
        <v>0</v>
      </c>
    </row>
    <row r="71" spans="1:31" s="85" customFormat="1" ht="15">
      <c r="A71" s="316"/>
      <c r="B71" s="89" t="s">
        <v>365</v>
      </c>
      <c r="C71" s="90" t="s">
        <v>21</v>
      </c>
      <c r="D71" s="91">
        <v>45130</v>
      </c>
      <c r="E71" s="90" t="s">
        <v>84</v>
      </c>
      <c r="F71" s="92" t="s">
        <v>241</v>
      </c>
      <c r="G71" s="92" t="s">
        <v>328</v>
      </c>
      <c r="H71" s="111">
        <v>8.6319999999999997</v>
      </c>
      <c r="I71" s="94">
        <v>4832</v>
      </c>
      <c r="J71" s="76" t="str">
        <f>VLOOKUP(G71,'[2]Vendor list'!$A$3:$D$406,4,0)</f>
        <v>FCA</v>
      </c>
      <c r="K71" s="76">
        <f t="shared" si="9"/>
        <v>1</v>
      </c>
      <c r="L71" s="95">
        <f t="shared" si="10"/>
        <v>64.730999999999995</v>
      </c>
      <c r="M71" s="82">
        <f>VLOOKUP(F71,Appendix!$B$7:$N$1048576,13,0)</f>
        <v>332000</v>
      </c>
      <c r="N71" s="82">
        <f>K71*H71*[2]Add.fees!$F$11</f>
        <v>73285.679999999993</v>
      </c>
      <c r="O71" s="96">
        <f>IF(AND(C71=[2]Add.fees!$G$4),[2]Add.fees!$E$7,IF(AND(C71=[2]Add.fees!$G$5),[2]Add.fees!$E$7,IF(AND(C71=[2]Add.fees!$G$6),[2]Add.fees!$F$7,0)))*(H71/L71*K71)</f>
        <v>25843.592714464477</v>
      </c>
      <c r="P71" s="96">
        <f>IF(AND(C71=[2]Add.fees!$G$4),[2]Add.fees!$E$4,IF(AND(C71=[2]Add.fees!$G$5),[2]Add.fees!$E$4,IF(AND(C71=[2]Add.fees!$G$6),[2]Add.fees!$F$4,0)))*(H71/L71*K71)</f>
        <v>6667.5935795831992</v>
      </c>
      <c r="Q71" s="96">
        <f>IF(AND(C71=[2]Add.fees!$G$4),[2]Add.fees!$E$5,IF(AND(C71=[2]Add.fees!$G$5),[2]Add.fees!$E$5,IF(AND(C71=[2]Add.fees!$G$6),[2]Add.fees!$F$5,0)))*(H71/L71*K71)</f>
        <v>24723.436993094503</v>
      </c>
      <c r="R71" s="96">
        <f>IF(AND(C71=[2]Add.fees!$G$4),[2]Add.fees!$E$6,IF(AND(C71=[2]Add.fees!$G$5),[2]Add.fees!$E$6,IF(AND(C71=[2]Add.fees!$G$6),[2]Add.fees!$F$6,0)))*(H71/L71*K71)</f>
        <v>1213.5020314841422</v>
      </c>
      <c r="S71" s="82">
        <v>0</v>
      </c>
      <c r="T71" s="96">
        <f>IF(AND(C71=[2]Add.fees!$G$4,Appendix!D72=[2]Add.fees!$G$8),[2]Add.fees!$E$8,IF(AND(C71=[2]Add.fees!$G$5,Appendix!D72=[2]Add.fees!$G$8),[2]Add.fees!$E$8,IF(AND(C71=[2]Add.fees!$G$6,Appendix!D72=[2]Add.fees!$G$8),[2]Add.fees!$F$8,IF(AND(C71=[2]Add.fees!$G$4,Appendix!D72=[2]Add.fees!$G$9),[2]Add.fees!$E$9,IF(AND(C71=[2]Add.fees!$G$5,Appendix!D72=[2]Add.fees!$G$9),[2]Add.fees!$E$9,IF(AND(C71=[2]Add.fees!$G$6,Appendix!D72=[2]Add.fees!$G$9),[2]Add.fees!$F$9,0))))))*(H71/L71*K71)</f>
        <v>37405.199981461745</v>
      </c>
      <c r="U71" s="96">
        <v>0</v>
      </c>
      <c r="V71" s="96">
        <f t="shared" si="7"/>
        <v>501139.00530008809</v>
      </c>
      <c r="W71" s="97">
        <f t="shared" si="11"/>
        <v>389.6</v>
      </c>
      <c r="X71" s="84">
        <f t="shared" si="12"/>
        <v>2326.34</v>
      </c>
      <c r="Y71" s="85">
        <f t="shared" si="13"/>
        <v>0</v>
      </c>
      <c r="Z71" s="86">
        <f t="shared" si="14"/>
        <v>0</v>
      </c>
      <c r="AC71" s="88">
        <v>32281.199999999997</v>
      </c>
      <c r="AD71" s="85">
        <v>389.6</v>
      </c>
      <c r="AE71" s="145">
        <f t="shared" si="8"/>
        <v>0</v>
      </c>
    </row>
    <row r="72" spans="1:31" s="85" customFormat="1" ht="15">
      <c r="A72" s="317"/>
      <c r="B72" s="89" t="s">
        <v>365</v>
      </c>
      <c r="C72" s="90" t="s">
        <v>21</v>
      </c>
      <c r="D72" s="91">
        <v>45130</v>
      </c>
      <c r="E72" s="90" t="s">
        <v>84</v>
      </c>
      <c r="F72" s="112" t="s">
        <v>242</v>
      </c>
      <c r="G72" s="92" t="s">
        <v>328</v>
      </c>
      <c r="H72" s="93">
        <v>19.417999999999999</v>
      </c>
      <c r="I72" s="94">
        <v>2418.12</v>
      </c>
      <c r="J72" s="76" t="str">
        <f>VLOOKUP(G72,'[2]Vendor list'!$A$3:$D$406,4,0)</f>
        <v>FCA</v>
      </c>
      <c r="K72" s="76">
        <f t="shared" si="9"/>
        <v>1</v>
      </c>
      <c r="L72" s="95">
        <f t="shared" si="10"/>
        <v>64.730999999999995</v>
      </c>
      <c r="M72" s="82">
        <f>VLOOKUP(F72,Appendix!$B$7:$N$1048576,13,0)</f>
        <v>376000</v>
      </c>
      <c r="N72" s="82">
        <f>K72*H72*[2]Add.fees!$F$11</f>
        <v>164858.82</v>
      </c>
      <c r="O72" s="96">
        <f>IF(AND(C72=[2]Add.fees!$G$4),[2]Add.fees!$E$7,IF(AND(C72=[2]Add.fees!$G$5),[2]Add.fees!$E$7,IF(AND(C72=[2]Add.fees!$G$6),[2]Add.fees!$F$7,0)))*(H72/L72*K72)</f>
        <v>58136.10789266348</v>
      </c>
      <c r="P72" s="96">
        <f>IF(AND(C72=[2]Add.fees!$G$4),[2]Add.fees!$E$4,IF(AND(C72=[2]Add.fees!$G$5),[2]Add.fees!$E$4,IF(AND(C72=[2]Add.fees!$G$6),[2]Add.fees!$F$4,0)))*(H72/L72*K72)</f>
        <v>14998.995844340423</v>
      </c>
      <c r="Q72" s="96">
        <f>IF(AND(C72=[2]Add.fees!$G$4),[2]Add.fees!$E$5,IF(AND(C72=[2]Add.fees!$G$5),[2]Add.fees!$E$5,IF(AND(C72=[2]Add.fees!$G$6),[2]Add.fees!$F$5,0)))*(H72/L72*K72)</f>
        <v>55616.27659081429</v>
      </c>
      <c r="R72" s="96">
        <f>IF(AND(C72=[2]Add.fees!$G$4),[2]Add.fees!$E$6,IF(AND(C72=[2]Add.fees!$G$5),[2]Add.fees!$E$6,IF(AND(C72=[2]Add.fees!$G$6),[2]Add.fees!$F$6,0)))*(H72/L72*K72)</f>
        <v>2729.817243669957</v>
      </c>
      <c r="S72" s="82">
        <v>0</v>
      </c>
      <c r="T72" s="96">
        <f>IF(AND(C72=[2]Add.fees!$G$4,Appendix!D73=[2]Add.fees!$G$8),[2]Add.fees!$E$8,IF(AND(C72=[2]Add.fees!$G$5,Appendix!D73=[2]Add.fees!$G$8),[2]Add.fees!$E$8,IF(AND(C72=[2]Add.fees!$G$6,Appendix!D73=[2]Add.fees!$G$8),[2]Add.fees!$F$8,IF(AND(C72=[2]Add.fees!$G$4,Appendix!D73=[2]Add.fees!$G$9),[2]Add.fees!$E$9,IF(AND(C72=[2]Add.fees!$G$5,Appendix!D73=[2]Add.fees!$G$9),[2]Add.fees!$E$9,IF(AND(C72=[2]Add.fees!$G$6,Appendix!D73=[2]Add.fees!$G$9),[2]Add.fees!$F$9,0))))))*(H72/L72*K72)</f>
        <v>84144.366686749781</v>
      </c>
      <c r="U72" s="96">
        <v>0</v>
      </c>
      <c r="V72" s="96">
        <f t="shared" si="7"/>
        <v>756484.38425823802</v>
      </c>
      <c r="W72" s="97">
        <f t="shared" si="11"/>
        <v>588.11</v>
      </c>
      <c r="X72" s="84">
        <f t="shared" si="12"/>
        <v>2326.34</v>
      </c>
      <c r="Y72" s="85">
        <f t="shared" si="13"/>
        <v>0</v>
      </c>
      <c r="Z72" s="86">
        <f t="shared" si="14"/>
        <v>0</v>
      </c>
      <c r="AC72" s="88">
        <v>20109.600000000002</v>
      </c>
      <c r="AD72" s="85">
        <v>588.11</v>
      </c>
      <c r="AE72" s="145">
        <f t="shared" si="8"/>
        <v>0</v>
      </c>
    </row>
    <row r="73" spans="1:31" s="85" customFormat="1" ht="15">
      <c r="A73" s="314">
        <v>11</v>
      </c>
      <c r="B73" s="89" t="s">
        <v>366</v>
      </c>
      <c r="C73" s="90" t="s">
        <v>21</v>
      </c>
      <c r="D73" s="91">
        <v>45130</v>
      </c>
      <c r="E73" s="90" t="s">
        <v>84</v>
      </c>
      <c r="F73" s="112" t="s">
        <v>244</v>
      </c>
      <c r="G73" s="110" t="s">
        <v>328</v>
      </c>
      <c r="H73" s="117">
        <v>10.788</v>
      </c>
      <c r="I73" s="94">
        <v>1343.4</v>
      </c>
      <c r="J73" s="76" t="str">
        <f>VLOOKUP(G73,'[2]Vendor list'!$A$3:$D$406,4,0)</f>
        <v>FCA</v>
      </c>
      <c r="K73" s="76">
        <f t="shared" si="9"/>
        <v>1</v>
      </c>
      <c r="L73" s="95">
        <f t="shared" si="10"/>
        <v>62.757999999999996</v>
      </c>
      <c r="M73" s="82">
        <f>VLOOKUP(F73,Appendix!$B$7:$N$1048576,13,0)</f>
        <v>332000</v>
      </c>
      <c r="N73" s="82">
        <f>K73*H73*[2]Add.fees!$F$11</f>
        <v>91590.12</v>
      </c>
      <c r="O73" s="96">
        <f>IF(AND(C73=[2]Add.fees!$G$4),[2]Add.fees!$E$7,IF(AND(C73=[2]Add.fees!$G$5),[2]Add.fees!$E$7,IF(AND(C73=[2]Add.fees!$G$6),[2]Add.fees!$F$7,0)))*(H73/L73*K73)</f>
        <v>33313.910577137576</v>
      </c>
      <c r="P73" s="96">
        <f>IF(AND(C73=[2]Add.fees!$G$4),[2]Add.fees!$E$4,IF(AND(C73=[2]Add.fees!$G$5),[2]Add.fees!$E$4,IF(AND(C73=[2]Add.fees!$G$6),[2]Add.fees!$F$4,0)))*(H73/L73*K73)</f>
        <v>8594.9201695401389</v>
      </c>
      <c r="Q73" s="96">
        <f>IF(AND(C73=[2]Add.fees!$G$4),[2]Add.fees!$E$5,IF(AND(C73=[2]Add.fees!$G$5),[2]Add.fees!$E$5,IF(AND(C73=[2]Add.fees!$G$6),[2]Add.fees!$F$5,0)))*(H73/L73*K73)</f>
        <v>31869.963988654836</v>
      </c>
      <c r="R73" s="96">
        <f>IF(AND(C73=[2]Add.fees!$G$4),[2]Add.fees!$E$6,IF(AND(C73=[2]Add.fees!$G$5),[2]Add.fees!$E$6,IF(AND(C73=[2]Add.fees!$G$6),[2]Add.fees!$F$6,0)))*(H73/L73*K73)</f>
        <v>1564.2754708563054</v>
      </c>
      <c r="S73" s="82">
        <v>0</v>
      </c>
      <c r="T73" s="96">
        <f>IF(AND(C73=[2]Add.fees!$G$4,Appendix!D74=[2]Add.fees!$G$8),[2]Add.fees!$E$8,IF(AND(C73=[2]Add.fees!$G$5,Appendix!D74=[2]Add.fees!$G$8),[2]Add.fees!$E$8,IF(AND(C73=[2]Add.fees!$G$6,Appendix!D74=[2]Add.fees!$G$8),[2]Add.fees!$F$8,IF(AND(C73=[2]Add.fees!$G$4,Appendix!D74=[2]Add.fees!$G$9),[2]Add.fees!$E$9,IF(AND(C73=[2]Add.fees!$G$5,Appendix!D74=[2]Add.fees!$G$9),[2]Add.fees!$E$9,IF(AND(C73=[2]Add.fees!$G$6,Appendix!D74=[2]Add.fees!$G$9),[2]Add.fees!$F$9,0))))))*(H73/L73*K73)</f>
        <v>48217.502151120178</v>
      </c>
      <c r="U73" s="96">
        <v>0</v>
      </c>
      <c r="V73" s="96">
        <f t="shared" si="7"/>
        <v>547150.69235730905</v>
      </c>
      <c r="W73" s="97">
        <f t="shared" si="11"/>
        <v>425.37</v>
      </c>
      <c r="X73" s="84">
        <f t="shared" si="12"/>
        <v>2066.86</v>
      </c>
      <c r="Y73" s="85">
        <f t="shared" si="13"/>
        <v>1</v>
      </c>
      <c r="Z73" s="86">
        <f t="shared" si="14"/>
        <v>2066.86</v>
      </c>
      <c r="AC73" s="88">
        <v>11172</v>
      </c>
      <c r="AD73" s="85">
        <v>425.37</v>
      </c>
      <c r="AE73" s="145">
        <f t="shared" si="8"/>
        <v>0</v>
      </c>
    </row>
    <row r="74" spans="1:31" s="85" customFormat="1" ht="16.5" customHeight="1">
      <c r="A74" s="316"/>
      <c r="B74" s="89" t="s">
        <v>366</v>
      </c>
      <c r="C74" s="90" t="s">
        <v>21</v>
      </c>
      <c r="D74" s="91">
        <v>45130</v>
      </c>
      <c r="E74" s="90" t="s">
        <v>84</v>
      </c>
      <c r="F74" s="92" t="s">
        <v>245</v>
      </c>
      <c r="G74" s="110" t="s">
        <v>328</v>
      </c>
      <c r="H74" s="111">
        <v>10.79</v>
      </c>
      <c r="I74" s="94">
        <v>8614</v>
      </c>
      <c r="J74" s="76" t="str">
        <f>VLOOKUP(G74,'[2]Vendor list'!$A$3:$D$406,4,0)</f>
        <v>FCA</v>
      </c>
      <c r="K74" s="76">
        <f t="shared" si="9"/>
        <v>1</v>
      </c>
      <c r="L74" s="95">
        <f t="shared" si="10"/>
        <v>62.757999999999996</v>
      </c>
      <c r="M74" s="82">
        <f>VLOOKUP(F74,Appendix!$B$7:$N$1048576,13,0)</f>
        <v>392000</v>
      </c>
      <c r="N74" s="82">
        <f>K74*H74*[2]Add.fees!$F$11</f>
        <v>91607.099999999991</v>
      </c>
      <c r="O74" s="96">
        <f>IF(AND(C74=[2]Add.fees!$G$4),[2]Add.fees!$E$7,IF(AND(C74=[2]Add.fees!$G$5),[2]Add.fees!$E$7,IF(AND(C74=[2]Add.fees!$G$6),[2]Add.fees!$F$7,0)))*(H74/L74*K74)</f>
        <v>33320.086682175977</v>
      </c>
      <c r="P74" s="96">
        <f>IF(AND(C74=[2]Add.fees!$G$4),[2]Add.fees!$E$4,IF(AND(C74=[2]Add.fees!$G$5),[2]Add.fees!$E$4,IF(AND(C74=[2]Add.fees!$G$6),[2]Add.fees!$F$4,0)))*(H74/L74*K74)</f>
        <v>8596.5135918926662</v>
      </c>
      <c r="Q74" s="96">
        <f>IF(AND(C74=[2]Add.fees!$G$4),[2]Add.fees!$E$5,IF(AND(C74=[2]Add.fees!$G$5),[2]Add.fees!$E$5,IF(AND(C74=[2]Add.fees!$G$6),[2]Add.fees!$F$5,0)))*(H74/L74*K74)</f>
        <v>31875.872398738007</v>
      </c>
      <c r="R74" s="96">
        <f>IF(AND(C74=[2]Add.fees!$G$4),[2]Add.fees!$E$6,IF(AND(C74=[2]Add.fees!$G$5),[2]Add.fees!$E$6,IF(AND(C74=[2]Add.fees!$G$6),[2]Add.fees!$F$6,0)))*(H74/L74*K74)</f>
        <v>1564.5654737244654</v>
      </c>
      <c r="S74" s="82">
        <v>0</v>
      </c>
      <c r="T74" s="96">
        <f>IF(AND(C74=[2]Add.fees!$G$4,Appendix!D75=[2]Add.fees!$G$8),[2]Add.fees!$E$8,IF(AND(C74=[2]Add.fees!$G$5,Appendix!D75=[2]Add.fees!$G$8),[2]Add.fees!$E$8,IF(AND(C74=[2]Add.fees!$G$6,Appendix!D75=[2]Add.fees!$G$8),[2]Add.fees!$F$8,IF(AND(C74=[2]Add.fees!$G$4,Appendix!D75=[2]Add.fees!$G$9),[2]Add.fees!$E$9,IF(AND(C74=[2]Add.fees!$G$5,Appendix!D75=[2]Add.fees!$G$9),[2]Add.fees!$E$9,IF(AND(C74=[2]Add.fees!$G$6,Appendix!D75=[2]Add.fees!$G$9),[2]Add.fees!$F$9,0))))))*(H74/L74*K74)</f>
        <v>48226.441250517862</v>
      </c>
      <c r="U74" s="96">
        <v>0</v>
      </c>
      <c r="V74" s="96">
        <f t="shared" si="7"/>
        <v>607190.57939704903</v>
      </c>
      <c r="W74" s="97">
        <f t="shared" si="11"/>
        <v>472.04</v>
      </c>
      <c r="X74" s="84">
        <f t="shared" si="12"/>
        <v>2066.86</v>
      </c>
      <c r="Y74" s="85">
        <f t="shared" si="13"/>
        <v>0</v>
      </c>
      <c r="Z74" s="86">
        <f t="shared" si="14"/>
        <v>0</v>
      </c>
      <c r="AC74" s="88">
        <v>43092</v>
      </c>
      <c r="AD74" s="85">
        <v>472.04</v>
      </c>
      <c r="AE74" s="145">
        <f t="shared" si="8"/>
        <v>0</v>
      </c>
    </row>
    <row r="75" spans="1:31" s="85" customFormat="1" ht="15">
      <c r="A75" s="316"/>
      <c r="B75" s="89" t="s">
        <v>366</v>
      </c>
      <c r="C75" s="90" t="s">
        <v>21</v>
      </c>
      <c r="D75" s="91">
        <v>45130</v>
      </c>
      <c r="E75" s="90" t="s">
        <v>84</v>
      </c>
      <c r="F75" s="92" t="s">
        <v>246</v>
      </c>
      <c r="G75" s="110" t="s">
        <v>328</v>
      </c>
      <c r="H75" s="118">
        <v>10.79</v>
      </c>
      <c r="I75" s="119">
        <v>8614</v>
      </c>
      <c r="J75" s="76" t="str">
        <f>VLOOKUP(G75,'[2]Vendor list'!$A$3:$D$406,4,0)</f>
        <v>FCA</v>
      </c>
      <c r="K75" s="76">
        <f t="shared" si="9"/>
        <v>1</v>
      </c>
      <c r="L75" s="95">
        <f t="shared" si="10"/>
        <v>62.757999999999996</v>
      </c>
      <c r="M75" s="82">
        <f>VLOOKUP(F75,Appendix!$B$7:$N$1048576,13,0)</f>
        <v>392000</v>
      </c>
      <c r="N75" s="82">
        <f>K75*H75*[2]Add.fees!$F$11</f>
        <v>91607.099999999991</v>
      </c>
      <c r="O75" s="96">
        <f>IF(AND(C75=[2]Add.fees!$G$4),[2]Add.fees!$E$7,IF(AND(C75=[2]Add.fees!$G$5),[2]Add.fees!$E$7,IF(AND(C75=[2]Add.fees!$G$6),[2]Add.fees!$F$7,0)))*(H75/L75*K75)</f>
        <v>33320.086682175977</v>
      </c>
      <c r="P75" s="96">
        <f>IF(AND(C75=[2]Add.fees!$G$4),[2]Add.fees!$E$4,IF(AND(C75=[2]Add.fees!$G$5),[2]Add.fees!$E$4,IF(AND(C75=[2]Add.fees!$G$6),[2]Add.fees!$F$4,0)))*(H75/L75*K75)</f>
        <v>8596.5135918926662</v>
      </c>
      <c r="Q75" s="96">
        <f>IF(AND(C75=[2]Add.fees!$G$4),[2]Add.fees!$E$5,IF(AND(C75=[2]Add.fees!$G$5),[2]Add.fees!$E$5,IF(AND(C75=[2]Add.fees!$G$6),[2]Add.fees!$F$5,0)))*(H75/L75*K75)</f>
        <v>31875.872398738007</v>
      </c>
      <c r="R75" s="96">
        <f>IF(AND(C75=[2]Add.fees!$G$4),[2]Add.fees!$E$6,IF(AND(C75=[2]Add.fees!$G$5),[2]Add.fees!$E$6,IF(AND(C75=[2]Add.fees!$G$6),[2]Add.fees!$F$6,0)))*(H75/L75*K75)</f>
        <v>1564.5654737244654</v>
      </c>
      <c r="S75" s="82">
        <v>0</v>
      </c>
      <c r="T75" s="96">
        <f>IF(AND(C75=[2]Add.fees!$G$4,Appendix!D76=[2]Add.fees!$G$8),[2]Add.fees!$E$8,IF(AND(C75=[2]Add.fees!$G$5,Appendix!D76=[2]Add.fees!$G$8),[2]Add.fees!$E$8,IF(AND(C75=[2]Add.fees!$G$6,Appendix!D76=[2]Add.fees!$G$8),[2]Add.fees!$F$8,IF(AND(C75=[2]Add.fees!$G$4,Appendix!D76=[2]Add.fees!$G$9),[2]Add.fees!$E$9,IF(AND(C75=[2]Add.fees!$G$5,Appendix!D76=[2]Add.fees!$G$9),[2]Add.fees!$E$9,IF(AND(C75=[2]Add.fees!$G$6,Appendix!D76=[2]Add.fees!$G$9),[2]Add.fees!$F$9,0))))))*(H75/L75*K75)</f>
        <v>48226.441250517862</v>
      </c>
      <c r="U75" s="96">
        <v>0</v>
      </c>
      <c r="V75" s="96">
        <f t="shared" si="7"/>
        <v>607190.57939704903</v>
      </c>
      <c r="W75" s="97">
        <f t="shared" si="11"/>
        <v>472.04</v>
      </c>
      <c r="X75" s="84">
        <f t="shared" si="12"/>
        <v>2066.86</v>
      </c>
      <c r="Y75" s="85">
        <f t="shared" si="13"/>
        <v>0</v>
      </c>
      <c r="Z75" s="86">
        <f t="shared" si="14"/>
        <v>0</v>
      </c>
      <c r="AC75" s="88">
        <v>43092</v>
      </c>
      <c r="AD75" s="85">
        <v>472.04</v>
      </c>
      <c r="AE75" s="145">
        <f t="shared" si="8"/>
        <v>0</v>
      </c>
    </row>
    <row r="76" spans="1:31" s="85" customFormat="1" ht="15">
      <c r="A76" s="317"/>
      <c r="B76" s="89" t="s">
        <v>366</v>
      </c>
      <c r="C76" s="90" t="s">
        <v>21</v>
      </c>
      <c r="D76" s="91">
        <v>45130</v>
      </c>
      <c r="E76" s="90" t="s">
        <v>84</v>
      </c>
      <c r="F76" s="92" t="s">
        <v>247</v>
      </c>
      <c r="G76" s="110" t="s">
        <v>100</v>
      </c>
      <c r="H76" s="118">
        <v>30.39</v>
      </c>
      <c r="I76" s="119">
        <v>2486.4</v>
      </c>
      <c r="J76" s="76" t="str">
        <f>VLOOKUP(G76,'[2]Vendor list'!$A$3:$D$406,4,0)</f>
        <v>FCA</v>
      </c>
      <c r="K76" s="76">
        <f t="shared" si="9"/>
        <v>1</v>
      </c>
      <c r="L76" s="95">
        <f t="shared" si="10"/>
        <v>62.757999999999996</v>
      </c>
      <c r="M76" s="82">
        <f>VLOOKUP(F76,Appendix!$B$7:$N$1048576,13,0)</f>
        <v>291000</v>
      </c>
      <c r="N76" s="82">
        <f>K76*H76*[2]Add.fees!$F$11</f>
        <v>258011.1</v>
      </c>
      <c r="O76" s="96">
        <f>IF(AND(C76=[2]Add.fees!$G$4),[2]Add.fees!$E$7,IF(AND(C76=[2]Add.fees!$G$5),[2]Add.fees!$E$7,IF(AND(C76=[2]Add.fees!$G$6),[2]Add.fees!$F$7,0)))*(H76/L76*K76)</f>
        <v>93845.916058510469</v>
      </c>
      <c r="P76" s="96">
        <f>IF(AND(C76=[2]Add.fees!$G$4),[2]Add.fees!$E$4,IF(AND(C76=[2]Add.fees!$G$5),[2]Add.fees!$E$4,IF(AND(C76=[2]Add.fees!$G$6),[2]Add.fees!$F$4,0)))*(H76/L76*K76)</f>
        <v>24212.052646674529</v>
      </c>
      <c r="Q76" s="96">
        <f>IF(AND(C76=[2]Add.fees!$G$4),[2]Add.fees!$E$5,IF(AND(C76=[2]Add.fees!$G$5),[2]Add.fees!$E$5,IF(AND(C76=[2]Add.fees!$G$6),[2]Add.fees!$F$5,0)))*(H76/L76*K76)</f>
        <v>89778.291213869146</v>
      </c>
      <c r="R76" s="96">
        <f>IF(AND(C76=[2]Add.fees!$G$4),[2]Add.fees!$E$6,IF(AND(C76=[2]Add.fees!$G$5),[2]Add.fees!$E$6,IF(AND(C76=[2]Add.fees!$G$6),[2]Add.fees!$F$6,0)))*(H76/L76*K76)</f>
        <v>4406.593581694764</v>
      </c>
      <c r="S76" s="82">
        <v>0</v>
      </c>
      <c r="T76" s="96">
        <f>IF(AND(C76=[2]Add.fees!$G$4,Appendix!D77=[2]Add.fees!$G$8),[2]Add.fees!$E$8,IF(AND(C76=[2]Add.fees!$G$5,Appendix!D77=[2]Add.fees!$G$8),[2]Add.fees!$E$8,IF(AND(C76=[2]Add.fees!$G$6,Appendix!D77=[2]Add.fees!$G$8),[2]Add.fees!$F$8,IF(AND(C76=[2]Add.fees!$G$4,Appendix!D77=[2]Add.fees!$G$9),[2]Add.fees!$E$9,IF(AND(C76=[2]Add.fees!$G$5,Appendix!D77=[2]Add.fees!$G$9),[2]Add.fees!$E$9,IF(AND(C76=[2]Add.fees!$G$6,Appendix!D77=[2]Add.fees!$G$9),[2]Add.fees!$F$9,0))))))*(H76/L76*K76)</f>
        <v>135829.61534784411</v>
      </c>
      <c r="U76" s="96">
        <v>0</v>
      </c>
      <c r="V76" s="96">
        <f t="shared" si="7"/>
        <v>897083.56884859293</v>
      </c>
      <c r="W76" s="97">
        <f t="shared" si="11"/>
        <v>697.41</v>
      </c>
      <c r="X76" s="84">
        <f t="shared" si="12"/>
        <v>2066.86</v>
      </c>
      <c r="Y76" s="85">
        <f t="shared" si="13"/>
        <v>0</v>
      </c>
      <c r="Z76" s="86">
        <f t="shared" si="14"/>
        <v>0</v>
      </c>
      <c r="AC76" s="88">
        <v>108514.56</v>
      </c>
      <c r="AD76" s="85">
        <v>697.41</v>
      </c>
      <c r="AE76" s="145">
        <f t="shared" si="8"/>
        <v>0</v>
      </c>
    </row>
    <row r="77" spans="1:31" s="85" customFormat="1" ht="16.5" customHeight="1">
      <c r="A77" s="314">
        <v>12</v>
      </c>
      <c r="B77" s="89" t="s">
        <v>367</v>
      </c>
      <c r="C77" s="90" t="s">
        <v>21</v>
      </c>
      <c r="D77" s="91">
        <v>45130</v>
      </c>
      <c r="E77" s="90" t="s">
        <v>84</v>
      </c>
      <c r="F77" s="92" t="s">
        <v>249</v>
      </c>
      <c r="G77" s="110" t="s">
        <v>328</v>
      </c>
      <c r="H77" s="110">
        <v>31.327999999999999</v>
      </c>
      <c r="I77" s="120">
        <v>5218.3999999999996</v>
      </c>
      <c r="J77" s="76" t="str">
        <f>VLOOKUP(G77,'[2]Vendor list'!$A$3:$D$406,4,0)</f>
        <v>FCA</v>
      </c>
      <c r="K77" s="76">
        <f t="shared" si="9"/>
        <v>1</v>
      </c>
      <c r="L77" s="95">
        <f t="shared" si="10"/>
        <v>64.341999999999999</v>
      </c>
      <c r="M77" s="82">
        <f>VLOOKUP(F77,Appendix!$B$7:$N$1048576,13,0)</f>
        <v>392000</v>
      </c>
      <c r="N77" s="82">
        <f>K77*H77*[2]Add.fees!$F$11</f>
        <v>265974.71999999997</v>
      </c>
      <c r="O77" s="96">
        <f>IF(AND(C77=[2]Add.fees!$G$4),[2]Add.fees!$E$7,IF(AND(C77=[2]Add.fees!$G$5),[2]Add.fees!$E$7,IF(AND(C77=[2]Add.fees!$G$6),[2]Add.fees!$F$7,0)))*(H77/L77*K77)</f>
        <v>94360.859158869789</v>
      </c>
      <c r="P77" s="96">
        <f>IF(AND(C77=[2]Add.fees!$G$4),[2]Add.fees!$E$4,IF(AND(C77=[2]Add.fees!$G$5),[2]Add.fees!$E$4,IF(AND(C77=[2]Add.fees!$G$6),[2]Add.fees!$F$4,0)))*(H77/L77*K77)</f>
        <v>24344.906903733176</v>
      </c>
      <c r="Q77" s="96">
        <f>IF(AND(C77=[2]Add.fees!$G$4),[2]Add.fees!$E$5,IF(AND(C77=[2]Add.fees!$G$5),[2]Add.fees!$E$5,IF(AND(C77=[2]Add.fees!$G$6),[2]Add.fees!$F$5,0)))*(H77/L77*K77)</f>
        <v>90270.914799042614</v>
      </c>
      <c r="R77" s="96">
        <f>IF(AND(C77=[2]Add.fees!$G$4),[2]Add.fees!$E$6,IF(AND(C77=[2]Add.fees!$G$5),[2]Add.fees!$E$6,IF(AND(C77=[2]Add.fees!$G$6),[2]Add.fees!$F$6,0)))*(H77/L77*K77)</f>
        <v>4430.7730564794383</v>
      </c>
      <c r="S77" s="82">
        <v>0</v>
      </c>
      <c r="T77" s="96">
        <f>IF(AND(C77=[2]Add.fees!$G$4,Appendix!D78=[2]Add.fees!$G$8),[2]Add.fees!$E$8,IF(AND(C77=[2]Add.fees!$G$5,Appendix!D78=[2]Add.fees!$G$8),[2]Add.fees!$E$8,IF(AND(C77=[2]Add.fees!$G$6,Appendix!D78=[2]Add.fees!$G$8),[2]Add.fees!$F$8,IF(AND(C77=[2]Add.fees!$G$4,Appendix!D78=[2]Add.fees!$G$9),[2]Add.fees!$E$9,IF(AND(C77=[2]Add.fees!$G$5,Appendix!D78=[2]Add.fees!$G$9),[2]Add.fees!$E$9,IF(AND(C77=[2]Add.fees!$G$6,Appendix!D78=[2]Add.fees!$G$9),[2]Add.fees!$F$9,0))))))*(H77/L77*K77)</f>
        <v>136574.92772994313</v>
      </c>
      <c r="U77" s="96">
        <v>0</v>
      </c>
      <c r="V77" s="96">
        <f t="shared" si="7"/>
        <v>1007957.1016480681</v>
      </c>
      <c r="W77" s="97">
        <f t="shared" si="11"/>
        <v>783.61</v>
      </c>
      <c r="X77" s="84">
        <f t="shared" si="12"/>
        <v>2211.8199999999997</v>
      </c>
      <c r="Y77" s="85">
        <f t="shared" si="13"/>
        <v>1</v>
      </c>
      <c r="Z77" s="86">
        <f t="shared" si="14"/>
        <v>2211.8199999999997</v>
      </c>
      <c r="AC77" s="88">
        <v>33348.479999999996</v>
      </c>
      <c r="AD77" s="85">
        <v>783.61</v>
      </c>
      <c r="AE77" s="145">
        <f t="shared" si="8"/>
        <v>0</v>
      </c>
    </row>
    <row r="78" spans="1:31" s="85" customFormat="1" ht="15">
      <c r="A78" s="316"/>
      <c r="B78" s="89" t="s">
        <v>367</v>
      </c>
      <c r="C78" s="90" t="s">
        <v>21</v>
      </c>
      <c r="D78" s="91">
        <v>45130</v>
      </c>
      <c r="E78" s="90" t="s">
        <v>84</v>
      </c>
      <c r="F78" s="92" t="s">
        <v>250</v>
      </c>
      <c r="G78" s="110" t="s">
        <v>328</v>
      </c>
      <c r="H78" s="117">
        <v>21.361999999999998</v>
      </c>
      <c r="I78" s="94">
        <v>3254.16</v>
      </c>
      <c r="J78" s="76" t="str">
        <f>VLOOKUP(G78,'[2]Vendor list'!$A$3:$D$406,4,0)</f>
        <v>FCA</v>
      </c>
      <c r="K78" s="76">
        <f t="shared" si="9"/>
        <v>1</v>
      </c>
      <c r="L78" s="95">
        <f t="shared" si="10"/>
        <v>64.341999999999999</v>
      </c>
      <c r="M78" s="82">
        <f>VLOOKUP(F78,Appendix!$B$7:$N$1048576,13,0)</f>
        <v>392000</v>
      </c>
      <c r="N78" s="82">
        <f>K78*H78*[2]Add.fees!$F$11</f>
        <v>181363.37999999998</v>
      </c>
      <c r="O78" s="96">
        <f>IF(AND(C78=[2]Add.fees!$G$4),[2]Add.fees!$E$7,IF(AND(C78=[2]Add.fees!$G$5),[2]Add.fees!$E$7,IF(AND(C78=[2]Add.fees!$G$6),[2]Add.fees!$F$7,0)))*(H78/L78*K78)</f>
        <v>64342.973485437193</v>
      </c>
      <c r="P78" s="96">
        <f>IF(AND(C78=[2]Add.fees!$G$4),[2]Add.fees!$E$4,IF(AND(C78=[2]Add.fees!$G$5),[2]Add.fees!$E$4,IF(AND(C78=[2]Add.fees!$G$6),[2]Add.fees!$F$4,0)))*(H78/L78*K78)</f>
        <v>16600.354356407945</v>
      </c>
      <c r="Q78" s="96">
        <f>IF(AND(C78=[2]Add.fees!$G$4),[2]Add.fees!$E$5,IF(AND(C78=[2]Add.fees!$G$5),[2]Add.fees!$E$5,IF(AND(C78=[2]Add.fees!$G$6),[2]Add.fees!$F$5,0)))*(H78/L78*K78)</f>
        <v>61554.113953560664</v>
      </c>
      <c r="R78" s="96">
        <f>IF(AND(C78=[2]Add.fees!$G$4),[2]Add.fees!$E$6,IF(AND(C78=[2]Add.fees!$G$5),[2]Add.fees!$E$6,IF(AND(C78=[2]Add.fees!$G$6),[2]Add.fees!$F$6,0)))*(H78/L78*K78)</f>
        <v>3021.2644928662462</v>
      </c>
      <c r="S78" s="82">
        <v>0</v>
      </c>
      <c r="T78" s="96">
        <f>IF(AND(C78=[2]Add.fees!$G$4,Appendix!D79=[2]Add.fees!$G$8),[2]Add.fees!$E$8,IF(AND(C78=[2]Add.fees!$G$5,Appendix!D79=[2]Add.fees!$G$8),[2]Add.fees!$E$8,IF(AND(C78=[2]Add.fees!$G$6,Appendix!D79=[2]Add.fees!$G$8),[2]Add.fees!$F$8,IF(AND(C78=[2]Add.fees!$G$4,Appendix!D79=[2]Add.fees!$G$9),[2]Add.fees!$E$9,IF(AND(C78=[2]Add.fees!$G$5,Appendix!D79=[2]Add.fees!$G$9),[2]Add.fees!$E$9,IF(AND(C78=[2]Add.fees!$G$6,Appendix!D79=[2]Add.fees!$G$9),[2]Add.fees!$F$9,0))))))*(H78/L78*K78)</f>
        <v>93127.987939448576</v>
      </c>
      <c r="U78" s="96">
        <v>0</v>
      </c>
      <c r="V78" s="96">
        <f t="shared" si="7"/>
        <v>812010.07422772073</v>
      </c>
      <c r="W78" s="97">
        <f t="shared" si="11"/>
        <v>631.28</v>
      </c>
      <c r="X78" s="84">
        <f t="shared" si="12"/>
        <v>2211.8199999999997</v>
      </c>
      <c r="Y78" s="85">
        <f t="shared" si="13"/>
        <v>0</v>
      </c>
      <c r="Z78" s="86">
        <f t="shared" si="14"/>
        <v>0</v>
      </c>
      <c r="AC78" s="88">
        <v>40399.199999999997</v>
      </c>
      <c r="AD78" s="85">
        <v>631.28</v>
      </c>
      <c r="AE78" s="145">
        <f t="shared" si="8"/>
        <v>0</v>
      </c>
    </row>
    <row r="79" spans="1:31" s="85" customFormat="1" ht="16.5" customHeight="1">
      <c r="A79" s="316"/>
      <c r="B79" s="89" t="s">
        <v>367</v>
      </c>
      <c r="C79" s="90" t="s">
        <v>21</v>
      </c>
      <c r="D79" s="91">
        <v>45130</v>
      </c>
      <c r="E79" s="90" t="s">
        <v>84</v>
      </c>
      <c r="F79" s="92" t="s">
        <v>251</v>
      </c>
      <c r="G79" s="110" t="s">
        <v>328</v>
      </c>
      <c r="H79" s="93">
        <v>7.1210000000000004</v>
      </c>
      <c r="I79" s="94">
        <v>1084.72</v>
      </c>
      <c r="J79" s="76" t="str">
        <f>VLOOKUP(G79,'[2]Vendor list'!$A$3:$D$406,4,0)</f>
        <v>FCA</v>
      </c>
      <c r="K79" s="76">
        <f t="shared" si="9"/>
        <v>1</v>
      </c>
      <c r="L79" s="95">
        <f t="shared" si="10"/>
        <v>64.341999999999999</v>
      </c>
      <c r="M79" s="82">
        <f>VLOOKUP(F79,Appendix!$B$7:$N$1048576,13,0)</f>
        <v>332000</v>
      </c>
      <c r="N79" s="82">
        <f>K79*H79*[2]Add.fees!$F$11</f>
        <v>60457.29</v>
      </c>
      <c r="O79" s="96">
        <f>IF(AND(C79=[2]Add.fees!$G$4),[2]Add.fees!$E$7,IF(AND(C79=[2]Add.fees!$G$5),[2]Add.fees!$E$7,IF(AND(C79=[2]Add.fees!$G$6),[2]Add.fees!$F$7,0)))*(H79/L79*K79)</f>
        <v>21448.661838301578</v>
      </c>
      <c r="P79" s="96">
        <f>IF(AND(C79=[2]Add.fees!$G$4),[2]Add.fees!$E$4,IF(AND(C79=[2]Add.fees!$G$5),[2]Add.fees!$E$4,IF(AND(C79=[2]Add.fees!$G$6),[2]Add.fees!$F$4,0)))*(H79/L79*K79)</f>
        <v>5533.7104845979302</v>
      </c>
      <c r="Q79" s="96">
        <f>IF(AND(C79=[2]Add.fees!$G$4),[2]Add.fees!$E$5,IF(AND(C79=[2]Add.fees!$G$5),[2]Add.fees!$E$5,IF(AND(C79=[2]Add.fees!$G$6),[2]Add.fees!$F$5,0)))*(H79/L79*K79)</f>
        <v>20518.998476889126</v>
      </c>
      <c r="R79" s="96">
        <f>IF(AND(C79=[2]Add.fees!$G$4),[2]Add.fees!$E$6,IF(AND(C79=[2]Add.fees!$G$5),[2]Add.fees!$E$6,IF(AND(C79=[2]Add.fees!$G$6),[2]Add.fees!$F$6,0)))*(H79/L79*K79)</f>
        <v>1007.1353081968234</v>
      </c>
      <c r="S79" s="82">
        <v>0</v>
      </c>
      <c r="T79" s="96">
        <f>IF(AND(C79=[2]Add.fees!$G$4,Appendix!D80=[2]Add.fees!$G$8),[2]Add.fees!$E$8,IF(AND(C79=[2]Add.fees!$G$5,Appendix!D80=[2]Add.fees!$G$8),[2]Add.fees!$E$8,IF(AND(C79=[2]Add.fees!$G$6,Appendix!D80=[2]Add.fees!$G$8),[2]Add.fees!$F$8,IF(AND(C79=[2]Add.fees!$G$4,Appendix!D80=[2]Add.fees!$G$9),[2]Add.fees!$E$9,IF(AND(C79=[2]Add.fees!$G$5,Appendix!D80=[2]Add.fees!$G$9),[2]Add.fees!$E$9,IF(AND(C79=[2]Add.fees!$G$6,Appendix!D80=[2]Add.fees!$G$9),[2]Add.fees!$F$9,0))))))*(H79/L79*K79)</f>
        <v>31044.11581859439</v>
      </c>
      <c r="U79" s="96">
        <v>0</v>
      </c>
      <c r="V79" s="96">
        <f t="shared" si="7"/>
        <v>472009.91192657984</v>
      </c>
      <c r="W79" s="97">
        <f t="shared" si="11"/>
        <v>366.95</v>
      </c>
      <c r="X79" s="84">
        <f t="shared" si="12"/>
        <v>2211.8199999999997</v>
      </c>
      <c r="Y79" s="85">
        <f t="shared" si="13"/>
        <v>0</v>
      </c>
      <c r="Z79" s="86">
        <f t="shared" si="14"/>
        <v>0</v>
      </c>
      <c r="AC79" s="88">
        <v>13466.399999999998</v>
      </c>
      <c r="AD79" s="85">
        <v>366.95</v>
      </c>
      <c r="AE79" s="145">
        <f t="shared" si="8"/>
        <v>0</v>
      </c>
    </row>
    <row r="80" spans="1:31" s="85" customFormat="1" ht="17.25" customHeight="1">
      <c r="A80" s="316"/>
      <c r="B80" s="89" t="s">
        <v>367</v>
      </c>
      <c r="C80" s="90" t="s">
        <v>21</v>
      </c>
      <c r="D80" s="91">
        <v>45130</v>
      </c>
      <c r="E80" s="90" t="s">
        <v>84</v>
      </c>
      <c r="F80" s="92" t="s">
        <v>252</v>
      </c>
      <c r="G80" s="110" t="s">
        <v>152</v>
      </c>
      <c r="H80" s="93">
        <v>1.8129999999999999</v>
      </c>
      <c r="I80" s="94">
        <v>324.38</v>
      </c>
      <c r="J80" s="76" t="str">
        <f>VLOOKUP(G80,'[2]Vendor list'!$A$3:$D$406,4,0)</f>
        <v>FCA</v>
      </c>
      <c r="K80" s="76">
        <f t="shared" si="9"/>
        <v>1</v>
      </c>
      <c r="L80" s="95">
        <f t="shared" si="10"/>
        <v>64.341999999999999</v>
      </c>
      <c r="M80" s="82">
        <f>VLOOKUP(F80,Appendix!$B$7:$N$1048576,13,0)</f>
        <v>232000</v>
      </c>
      <c r="N80" s="82">
        <f>K80*H80*[2]Add.fees!$F$11</f>
        <v>15392.369999999999</v>
      </c>
      <c r="O80" s="96">
        <f>IF(AND(C80=[2]Add.fees!$G$4),[2]Add.fees!$E$7,IF(AND(C80=[2]Add.fees!$G$5),[2]Add.fees!$E$7,IF(AND(C80=[2]Add.fees!$G$6),[2]Add.fees!$F$7,0)))*(H80/L80*K80)</f>
        <v>5460.8094246370956</v>
      </c>
      <c r="P80" s="96">
        <f>IF(AND(C80=[2]Add.fees!$G$4),[2]Add.fees!$E$4,IF(AND(C80=[2]Add.fees!$G$5),[2]Add.fees!$E$4,IF(AND(C80=[2]Add.fees!$G$6),[2]Add.fees!$F$4,0)))*(H80/L80*K80)</f>
        <v>1408.8775605358862</v>
      </c>
      <c r="Q80" s="96">
        <f>IF(AND(C80=[2]Add.fees!$G$4),[2]Add.fees!$E$5,IF(AND(C80=[2]Add.fees!$G$5),[2]Add.fees!$E$5,IF(AND(C80=[2]Add.fees!$G$6),[2]Add.fees!$F$5,0)))*(H80/L80*K80)</f>
        <v>5224.1179944670666</v>
      </c>
      <c r="R80" s="96">
        <f>IF(AND(C80=[2]Add.fees!$G$4),[2]Add.fees!$E$6,IF(AND(C80=[2]Add.fees!$G$5),[2]Add.fees!$E$6,IF(AND(C80=[2]Add.fees!$G$6),[2]Add.fees!$F$6,0)))*(H80/L80*K80)</f>
        <v>256.41571601753134</v>
      </c>
      <c r="S80" s="82">
        <v>0</v>
      </c>
      <c r="T80" s="96">
        <f>IF(AND(C80=[2]Add.fees!$G$4,Appendix!D81=[2]Add.fees!$G$8),[2]Add.fees!$E$8,IF(AND(C80=[2]Add.fees!$G$5,Appendix!D81=[2]Add.fees!$G$8),[2]Add.fees!$E$8,IF(AND(C80=[2]Add.fees!$G$6,Appendix!D81=[2]Add.fees!$G$8),[2]Add.fees!$F$8,IF(AND(C80=[2]Add.fees!$G$4,Appendix!D81=[2]Add.fees!$G$9),[2]Add.fees!$E$9,IF(AND(C80=[2]Add.fees!$G$5,Appendix!D81=[2]Add.fees!$G$9),[2]Add.fees!$E$9,IF(AND(C80=[2]Add.fees!$G$6,Appendix!D81=[2]Add.fees!$G$9),[2]Add.fees!$F$9,0))))))*(H80/L80*K80)</f>
        <v>7903.8031146063222</v>
      </c>
      <c r="U80" s="96">
        <v>0</v>
      </c>
      <c r="V80" s="96">
        <f t="shared" si="7"/>
        <v>267646.39381026389</v>
      </c>
      <c r="W80" s="97">
        <f t="shared" si="11"/>
        <v>208.07</v>
      </c>
      <c r="X80" s="84">
        <f t="shared" si="12"/>
        <v>2211.8199999999997</v>
      </c>
      <c r="Y80" s="85">
        <f t="shared" si="13"/>
        <v>0</v>
      </c>
      <c r="Z80" s="86">
        <f t="shared" si="14"/>
        <v>0</v>
      </c>
      <c r="AC80" s="121">
        <v>34485.119999999995</v>
      </c>
      <c r="AD80" s="85">
        <v>208.07</v>
      </c>
      <c r="AE80" s="145">
        <f t="shared" si="8"/>
        <v>0</v>
      </c>
    </row>
    <row r="81" spans="1:31" s="85" customFormat="1" ht="15">
      <c r="A81" s="317"/>
      <c r="B81" s="89" t="s">
        <v>367</v>
      </c>
      <c r="C81" s="90" t="s">
        <v>21</v>
      </c>
      <c r="D81" s="91">
        <v>45130</v>
      </c>
      <c r="E81" s="90" t="s">
        <v>84</v>
      </c>
      <c r="F81" s="92" t="s">
        <v>253</v>
      </c>
      <c r="G81" s="92" t="s">
        <v>152</v>
      </c>
      <c r="H81" s="111">
        <v>2.718</v>
      </c>
      <c r="I81" s="94">
        <v>486.57</v>
      </c>
      <c r="J81" s="76" t="str">
        <f>VLOOKUP(G81,'[2]Vendor list'!$A$3:$D$406,4,0)</f>
        <v>FCA</v>
      </c>
      <c r="K81" s="76">
        <f t="shared" si="9"/>
        <v>1</v>
      </c>
      <c r="L81" s="95">
        <f t="shared" si="10"/>
        <v>64.341999999999999</v>
      </c>
      <c r="M81" s="82">
        <f>VLOOKUP(F81,Appendix!$B$7:$N$1048576,13,0)</f>
        <v>232000</v>
      </c>
      <c r="N81" s="82">
        <f>K81*H81*[2]Add.fees!$F$11</f>
        <v>23075.82</v>
      </c>
      <c r="O81" s="96">
        <f>IF(AND(C81=[2]Add.fees!$G$4),[2]Add.fees!$E$7,IF(AND(C81=[2]Add.fees!$G$5),[2]Add.fees!$E$7,IF(AND(C81=[2]Add.fees!$G$6),[2]Add.fees!$F$7,0)))*(H81/L81*K81)</f>
        <v>8186.6960927543441</v>
      </c>
      <c r="P81" s="96">
        <f>IF(AND(C81=[2]Add.fees!$G$4),[2]Add.fees!$E$4,IF(AND(C81=[2]Add.fees!$G$5),[2]Add.fees!$E$4,IF(AND(C81=[2]Add.fees!$G$6),[2]Add.fees!$F$4,0)))*(H81/L81*K81)</f>
        <v>2112.1506947250632</v>
      </c>
      <c r="Q81" s="96">
        <f>IF(AND(C81=[2]Add.fees!$G$4),[2]Add.fees!$E$5,IF(AND(C81=[2]Add.fees!$G$5),[2]Add.fees!$E$5,IF(AND(C81=[2]Add.fees!$G$6),[2]Add.fees!$F$5,0)))*(H81/L81*K81)</f>
        <v>7831.8547760405336</v>
      </c>
      <c r="R81" s="96">
        <f>IF(AND(C81=[2]Add.fees!$G$4),[2]Add.fees!$E$6,IF(AND(C81=[2]Add.fees!$G$5),[2]Add.fees!$E$6,IF(AND(C81=[2]Add.fees!$G$6),[2]Add.fees!$F$6,0)))*(H81/L81*K81)</f>
        <v>384.41142643996147</v>
      </c>
      <c r="S81" s="82">
        <v>0</v>
      </c>
      <c r="T81" s="96">
        <f>IF(AND(C81=[2]Add.fees!$G$4,Appendix!D82=[2]Add.fees!$G$8),[2]Add.fees!$E$8,IF(AND(C81=[2]Add.fees!$G$5,Appendix!D82=[2]Add.fees!$G$8),[2]Add.fees!$E$8,IF(AND(C81=[2]Add.fees!$G$6,Appendix!D82=[2]Add.fees!$G$8),[2]Add.fees!$F$8,IF(AND(C81=[2]Add.fees!$G$4,Appendix!D82=[2]Add.fees!$G$9),[2]Add.fees!$E$9,IF(AND(C81=[2]Add.fees!$G$5,Appendix!D82=[2]Add.fees!$G$9),[2]Add.fees!$E$9,IF(AND(C81=[2]Add.fees!$G$6,Appendix!D82=[2]Add.fees!$G$9),[2]Add.fees!$F$9,0))))))*(H81/L81*K81)</f>
        <v>11849.165397407603</v>
      </c>
      <c r="U81" s="96">
        <v>0</v>
      </c>
      <c r="V81" s="96">
        <f t="shared" si="7"/>
        <v>285440.0983873675</v>
      </c>
      <c r="W81" s="97">
        <f t="shared" si="11"/>
        <v>221.91</v>
      </c>
      <c r="X81" s="84">
        <f t="shared" si="12"/>
        <v>2211.8199999999997</v>
      </c>
      <c r="Y81" s="85">
        <f t="shared" si="13"/>
        <v>0</v>
      </c>
      <c r="Z81" s="86">
        <f t="shared" si="14"/>
        <v>0</v>
      </c>
      <c r="AC81" s="88">
        <v>51727.680000000008</v>
      </c>
      <c r="AD81" s="85">
        <v>221.91</v>
      </c>
      <c r="AE81" s="145">
        <f t="shared" si="8"/>
        <v>0</v>
      </c>
    </row>
    <row r="82" spans="1:31" s="149" customFormat="1" ht="16.5" customHeight="1">
      <c r="A82" s="314">
        <v>13</v>
      </c>
      <c r="B82" s="89" t="s">
        <v>368</v>
      </c>
      <c r="C82" s="90" t="s">
        <v>21</v>
      </c>
      <c r="D82" s="91">
        <v>45130</v>
      </c>
      <c r="E82" s="90" t="s">
        <v>84</v>
      </c>
      <c r="F82" s="92" t="s">
        <v>255</v>
      </c>
      <c r="G82" s="90" t="s">
        <v>328</v>
      </c>
      <c r="H82" s="111">
        <v>54.834000000000003</v>
      </c>
      <c r="I82" s="122">
        <v>7091.1</v>
      </c>
      <c r="J82" s="76" t="str">
        <f>VLOOKUP(G82,'[2]Vendor list'!$A$3:$D$406,4,0)</f>
        <v>FCA</v>
      </c>
      <c r="K82" s="76">
        <f t="shared" si="9"/>
        <v>1</v>
      </c>
      <c r="L82" s="95">
        <f t="shared" si="10"/>
        <v>55.917000000000009</v>
      </c>
      <c r="M82" s="82">
        <f>VLOOKUP(F82,Appendix!$B$7:$N$1048576,13,0)</f>
        <v>784000</v>
      </c>
      <c r="N82" s="82">
        <f>K82*H82*[2]Add.fees!$F$11</f>
        <v>465540.66000000003</v>
      </c>
      <c r="O82" s="96">
        <f>IF(AND(C82=[2]Add.fees!$G$4),[2]Add.fees!$E$7,IF(AND(C82=[2]Add.fees!$G$5),[2]Add.fees!$E$7,IF(AND(C82=[2]Add.fees!$G$6),[2]Add.fees!$F$7,0)))*(H82/L82*K82)</f>
        <v>190046.48318042813</v>
      </c>
      <c r="P82" s="96">
        <f>IF(AND(C82=[2]Add.fees!$G$4),[2]Add.fees!$E$4,IF(AND(C82=[2]Add.fees!$G$5),[2]Add.fees!$E$4,IF(AND(C82=[2]Add.fees!$G$6),[2]Add.fees!$F$4,0)))*(H82/L82*K82)</f>
        <v>49031.600407747195</v>
      </c>
      <c r="Q82" s="96">
        <f>IF(AND(C82=[2]Add.fees!$G$4),[2]Add.fees!$E$5,IF(AND(C82=[2]Add.fees!$G$5),[2]Add.fees!$E$5,IF(AND(C82=[2]Add.fees!$G$6),[2]Add.fees!$F$5,0)))*(H82/L82*K82)</f>
        <v>181809.17431192659</v>
      </c>
      <c r="R82" s="96">
        <f>IF(AND(C82=[2]Add.fees!$G$4),[2]Add.fees!$E$6,IF(AND(C82=[2]Add.fees!$G$5),[2]Add.fees!$E$6,IF(AND(C82=[2]Add.fees!$G$6),[2]Add.fees!$F$6,0)))*(H82/L82*K82)</f>
        <v>8923.7512742099898</v>
      </c>
      <c r="S82" s="82">
        <v>0</v>
      </c>
      <c r="T82" s="96">
        <f>IF(AND(C82=[2]Add.fees!$G$4,Appendix!D83=[2]Add.fees!$G$8),[2]Add.fees!$E$8,IF(AND(C82=[2]Add.fees!$G$5,Appendix!D83=[2]Add.fees!$G$8),[2]Add.fees!$E$8,IF(AND(C82=[2]Add.fees!$G$6,Appendix!D83=[2]Add.fees!$G$8),[2]Add.fees!$F$8,IF(AND(C82=[2]Add.fees!$G$4,Appendix!D83=[2]Add.fees!$G$9),[2]Add.fees!$E$9,IF(AND(C82=[2]Add.fees!$G$5,Appendix!D83=[2]Add.fees!$G$9),[2]Add.fees!$E$9,IF(AND(C82=[2]Add.fees!$G$6,Appendix!D83=[2]Add.fees!$G$9),[2]Add.fees!$F$9,0))))))*(H82/L82*K82)</f>
        <v>275067.27828746178</v>
      </c>
      <c r="U82" s="96">
        <v>0</v>
      </c>
      <c r="V82" s="96">
        <f t="shared" si="7"/>
        <v>1954418.9474617736</v>
      </c>
      <c r="W82" s="97">
        <f t="shared" si="11"/>
        <v>1519.41</v>
      </c>
      <c r="X82" s="84">
        <f t="shared" si="12"/>
        <v>1923.76</v>
      </c>
      <c r="Y82" s="85">
        <f t="shared" si="13"/>
        <v>1</v>
      </c>
      <c r="Z82" s="86">
        <f t="shared" si="14"/>
        <v>1923.76</v>
      </c>
      <c r="AA82" s="85"/>
      <c r="AB82" s="85"/>
      <c r="AC82" s="88">
        <v>59243.519999999997</v>
      </c>
      <c r="AD82" s="149">
        <v>1519.41</v>
      </c>
      <c r="AE82" s="145">
        <f t="shared" si="8"/>
        <v>0</v>
      </c>
    </row>
    <row r="83" spans="1:31" s="149" customFormat="1" ht="15">
      <c r="A83" s="316"/>
      <c r="B83" s="89" t="s">
        <v>368</v>
      </c>
      <c r="C83" s="90" t="s">
        <v>21</v>
      </c>
      <c r="D83" s="91">
        <v>45130</v>
      </c>
      <c r="E83" s="90" t="s">
        <v>84</v>
      </c>
      <c r="F83" s="92" t="s">
        <v>256</v>
      </c>
      <c r="G83" s="90" t="s">
        <v>328</v>
      </c>
      <c r="H83" s="111">
        <v>0.627</v>
      </c>
      <c r="I83" s="122">
        <v>46.5</v>
      </c>
      <c r="J83" s="76" t="str">
        <f>VLOOKUP(G83,'[2]Vendor list'!$A$3:$D$406,4,0)</f>
        <v>FCA</v>
      </c>
      <c r="K83" s="76">
        <f t="shared" si="9"/>
        <v>1</v>
      </c>
      <c r="L83" s="95">
        <f t="shared" si="10"/>
        <v>55.917000000000009</v>
      </c>
      <c r="M83" s="82">
        <f>VLOOKUP(F83,Appendix!$B$7:$N$1048576,13,0)</f>
        <v>232000</v>
      </c>
      <c r="N83" s="82">
        <f>K83*H83*[2]Add.fees!$F$11</f>
        <v>5323.23</v>
      </c>
      <c r="O83" s="96">
        <f>IF(AND(C83=[2]Add.fees!$G$4),[2]Add.fees!$E$7,IF(AND(C83=[2]Add.fees!$G$5),[2]Add.fees!$E$7,IF(AND(C83=[2]Add.fees!$G$6),[2]Add.fees!$F$7,0)))*(H83/L83*K83)</f>
        <v>2173.0886850152901</v>
      </c>
      <c r="P83" s="96">
        <f>IF(AND(C83=[2]Add.fees!$G$4),[2]Add.fees!$E$4,IF(AND(C83=[2]Add.fees!$G$5),[2]Add.fees!$E$4,IF(AND(C83=[2]Add.fees!$G$6),[2]Add.fees!$F$4,0)))*(H83/L83*K83)</f>
        <v>560.65239551478078</v>
      </c>
      <c r="Q83" s="96">
        <f>IF(AND(C83=[2]Add.fees!$G$4),[2]Add.fees!$E$5,IF(AND(C83=[2]Add.fees!$G$5),[2]Add.fees!$E$5,IF(AND(C83=[2]Add.fees!$G$6),[2]Add.fees!$F$5,0)))*(H83/L83*K83)</f>
        <v>2078.899082568807</v>
      </c>
      <c r="R83" s="96">
        <f>IF(AND(C83=[2]Add.fees!$G$4),[2]Add.fees!$E$6,IF(AND(C83=[2]Add.fees!$G$5),[2]Add.fees!$E$6,IF(AND(C83=[2]Add.fees!$G$6),[2]Add.fees!$F$6,0)))*(H83/L83*K83)</f>
        <v>102.0387359836901</v>
      </c>
      <c r="S83" s="82">
        <v>0</v>
      </c>
      <c r="T83" s="96">
        <f>IF(AND(C83=[2]Add.fees!$G$4,Appendix!D84=[2]Add.fees!$G$8),[2]Add.fees!$E$8,IF(AND(C83=[2]Add.fees!$G$5,Appendix!D84=[2]Add.fees!$G$8),[2]Add.fees!$E$8,IF(AND(C83=[2]Add.fees!$G$6,Appendix!D84=[2]Add.fees!$G$8),[2]Add.fees!$F$8,IF(AND(C83=[2]Add.fees!$G$4,Appendix!D84=[2]Add.fees!$G$9),[2]Add.fees!$E$9,IF(AND(C83=[2]Add.fees!$G$5,Appendix!D84=[2]Add.fees!$G$9),[2]Add.fees!$E$9,IF(AND(C83=[2]Add.fees!$G$6,Appendix!D84=[2]Add.fees!$G$9),[2]Add.fees!$F$9,0))))))*(H83/L83*K83)</f>
        <v>3145.2599388379199</v>
      </c>
      <c r="U83" s="96">
        <v>0</v>
      </c>
      <c r="V83" s="96">
        <f t="shared" si="7"/>
        <v>245383.1688379205</v>
      </c>
      <c r="W83" s="97">
        <f t="shared" si="11"/>
        <v>190.77</v>
      </c>
      <c r="X83" s="84">
        <f t="shared" si="12"/>
        <v>1923.76</v>
      </c>
      <c r="Y83" s="85">
        <f t="shared" si="13"/>
        <v>0</v>
      </c>
      <c r="Z83" s="86">
        <f t="shared" si="14"/>
        <v>0</v>
      </c>
      <c r="AA83" s="85"/>
      <c r="AB83" s="85"/>
      <c r="AC83" s="88">
        <v>960</v>
      </c>
      <c r="AD83" s="149">
        <v>190.77</v>
      </c>
      <c r="AE83" s="145">
        <f t="shared" si="8"/>
        <v>0</v>
      </c>
    </row>
    <row r="84" spans="1:31" s="150" customFormat="1" ht="15">
      <c r="A84" s="317"/>
      <c r="B84" s="89" t="s">
        <v>368</v>
      </c>
      <c r="C84" s="90" t="s">
        <v>21</v>
      </c>
      <c r="D84" s="91">
        <v>45130</v>
      </c>
      <c r="E84" s="90" t="s">
        <v>84</v>
      </c>
      <c r="F84" s="92" t="s">
        <v>257</v>
      </c>
      <c r="G84" s="90" t="s">
        <v>344</v>
      </c>
      <c r="H84" s="111">
        <v>0.45600000000000002</v>
      </c>
      <c r="I84" s="122">
        <v>85</v>
      </c>
      <c r="J84" s="76" t="str">
        <f>VLOOKUP(G84,'[2]Vendor list'!$A$3:$D$406,4,0)</f>
        <v>FCA</v>
      </c>
      <c r="K84" s="76">
        <f t="shared" si="9"/>
        <v>1</v>
      </c>
      <c r="L84" s="95">
        <f t="shared" si="10"/>
        <v>55.917000000000009</v>
      </c>
      <c r="M84" s="82">
        <f>VLOOKUP(F84,Appendix!$B$7:$N$1048576,13,0)</f>
        <v>265000</v>
      </c>
      <c r="N84" s="82">
        <f>K84*H84*[2]Add.fees!$F$11</f>
        <v>3871.44</v>
      </c>
      <c r="O84" s="96">
        <f>IF(AND(C84=[2]Add.fees!$G$4),[2]Add.fees!$E$7,IF(AND(C84=[2]Add.fees!$G$5),[2]Add.fees!$E$7,IF(AND(C84=[2]Add.fees!$G$6),[2]Add.fees!$F$7,0)))*(H84/L84*K84)</f>
        <v>1580.4281345565746</v>
      </c>
      <c r="P84" s="96">
        <f>IF(AND(C84=[2]Add.fees!$G$4),[2]Add.fees!$E$4,IF(AND(C84=[2]Add.fees!$G$5),[2]Add.fees!$E$4,IF(AND(C84=[2]Add.fees!$G$6),[2]Add.fees!$F$4,0)))*(H84/L84*K84)</f>
        <v>407.74719673802235</v>
      </c>
      <c r="Q84" s="96">
        <f>IF(AND(C84=[2]Add.fees!$G$4),[2]Add.fees!$E$5,IF(AND(C84=[2]Add.fees!$G$5),[2]Add.fees!$E$5,IF(AND(C84=[2]Add.fees!$G$6),[2]Add.fees!$F$5,0)))*(H84/L84*K84)</f>
        <v>1511.9266055045869</v>
      </c>
      <c r="R84" s="96">
        <f>IF(AND(C84=[2]Add.fees!$G$4),[2]Add.fees!$E$6,IF(AND(C84=[2]Add.fees!$G$5),[2]Add.fees!$E$6,IF(AND(C84=[2]Add.fees!$G$6),[2]Add.fees!$F$6,0)))*(H84/L84*K84)</f>
        <v>74.209989806320067</v>
      </c>
      <c r="S84" s="82">
        <v>0</v>
      </c>
      <c r="T84" s="96">
        <f>IF(AND(C84=[2]Add.fees!$G$4,Appendix!D85=[2]Add.fees!$G$8),[2]Add.fees!$E$8,IF(AND(C84=[2]Add.fees!$G$5,Appendix!D85=[2]Add.fees!$G$8),[2]Add.fees!$E$8,IF(AND(C84=[2]Add.fees!$G$6,Appendix!D85=[2]Add.fees!$G$8),[2]Add.fees!$F$8,IF(AND(C84=[2]Add.fees!$G$4,Appendix!D85=[2]Add.fees!$G$9),[2]Add.fees!$E$9,IF(AND(C84=[2]Add.fees!$G$5,Appendix!D85=[2]Add.fees!$G$9),[2]Add.fees!$E$9,IF(AND(C84=[2]Add.fees!$G$6,Appendix!D85=[2]Add.fees!$G$9),[2]Add.fees!$F$9,0))))))*(H84/L84*K84)</f>
        <v>2287.4617737003055</v>
      </c>
      <c r="U84" s="96">
        <v>0</v>
      </c>
      <c r="V84" s="96">
        <f t="shared" si="7"/>
        <v>274733.21370030585</v>
      </c>
      <c r="W84" s="97">
        <f t="shared" si="11"/>
        <v>213.58</v>
      </c>
      <c r="X84" s="84">
        <f t="shared" si="12"/>
        <v>1923.76</v>
      </c>
      <c r="Y84" s="85">
        <f t="shared" si="13"/>
        <v>0</v>
      </c>
      <c r="Z84" s="86">
        <f t="shared" si="14"/>
        <v>0</v>
      </c>
      <c r="AA84" s="85"/>
      <c r="AB84" s="85"/>
      <c r="AC84" s="88">
        <v>10291.200000000001</v>
      </c>
      <c r="AD84" s="150">
        <v>213.58</v>
      </c>
      <c r="AE84" s="145">
        <f t="shared" si="8"/>
        <v>0</v>
      </c>
    </row>
    <row r="85" spans="1:31" s="150" customFormat="1" ht="15">
      <c r="A85" s="314">
        <v>14</v>
      </c>
      <c r="B85" s="89" t="s">
        <v>369</v>
      </c>
      <c r="C85" s="90" t="s">
        <v>21</v>
      </c>
      <c r="D85" s="91">
        <v>45130</v>
      </c>
      <c r="E85" s="90" t="s">
        <v>84</v>
      </c>
      <c r="F85" s="92" t="s">
        <v>259</v>
      </c>
      <c r="G85" s="90" t="s">
        <v>328</v>
      </c>
      <c r="H85" s="111">
        <v>24.812000000000001</v>
      </c>
      <c r="I85" s="94">
        <v>3089.82</v>
      </c>
      <c r="J85" s="76" t="str">
        <f>VLOOKUP(G85,'[2]Vendor list'!$A$3:$D$406,4,0)</f>
        <v>FCA</v>
      </c>
      <c r="K85" s="76">
        <f t="shared" si="9"/>
        <v>1</v>
      </c>
      <c r="L85" s="95">
        <f t="shared" si="10"/>
        <v>60.662999999999997</v>
      </c>
      <c r="M85" s="82">
        <f>VLOOKUP(F85,Appendix!$B$7:$N$1048576,13,0)</f>
        <v>392000</v>
      </c>
      <c r="N85" s="82">
        <f>K85*H85*[2]Add.fees!$F$11</f>
        <v>210653.88</v>
      </c>
      <c r="O85" s="96">
        <f>IF(AND(C85=[2]Add.fees!$G$4),[2]Add.fees!$E$7,IF(AND(C85=[2]Add.fees!$G$5),[2]Add.fees!$E$7,IF(AND(C85=[2]Add.fees!$G$6),[2]Add.fees!$F$7,0)))*(H85/L85*K85)</f>
        <v>79266.861183917717</v>
      </c>
      <c r="P85" s="96">
        <f>IF(AND(C85=[2]Add.fees!$G$4),[2]Add.fees!$E$4,IF(AND(C85=[2]Add.fees!$G$5),[2]Add.fees!$E$4,IF(AND(C85=[2]Add.fees!$G$6),[2]Add.fees!$F$4,0)))*(H85/L85*K85)</f>
        <v>20450.686579958132</v>
      </c>
      <c r="Q85" s="96">
        <f>IF(AND(C85=[2]Add.fees!$G$4),[2]Add.fees!$E$5,IF(AND(C85=[2]Add.fees!$G$5),[2]Add.fees!$E$5,IF(AND(C85=[2]Add.fees!$G$6),[2]Add.fees!$F$5,0)))*(H85/L85*K85)</f>
        <v>75831.14583848475</v>
      </c>
      <c r="R85" s="96">
        <f>IF(AND(C85=[2]Add.fees!$G$4),[2]Add.fees!$E$6,IF(AND(C85=[2]Add.fees!$G$5),[2]Add.fees!$E$6,IF(AND(C85=[2]Add.fees!$G$6),[2]Add.fees!$F$6,0)))*(H85/L85*K85)</f>
        <v>3722.0249575523803</v>
      </c>
      <c r="S85" s="82">
        <v>0</v>
      </c>
      <c r="T85" s="96">
        <f>IF(AND(C85=[2]Add.fees!$G$4,Appendix!D86=[2]Add.fees!$G$8),[2]Add.fees!$E$8,IF(AND(C85=[2]Add.fees!$G$5,Appendix!D86=[2]Add.fees!$G$8),[2]Add.fees!$E$8,IF(AND(C85=[2]Add.fees!$G$6,Appendix!D86=[2]Add.fees!$G$8),[2]Add.fees!$F$8,IF(AND(C85=[2]Add.fees!$G$4,Appendix!D86=[2]Add.fees!$G$9),[2]Add.fees!$E$9,IF(AND(C85=[2]Add.fees!$G$5,Appendix!D86=[2]Add.fees!$G$9),[2]Add.fees!$E$9,IF(AND(C85=[2]Add.fees!$G$6,Appendix!D86=[2]Add.fees!$G$9),[2]Add.fees!$F$9,0))))))*(H85/L85*K85)</f>
        <v>114728.35171356512</v>
      </c>
      <c r="U85" s="96">
        <v>0</v>
      </c>
      <c r="V85" s="96">
        <f t="shared" si="7"/>
        <v>896652.95027347817</v>
      </c>
      <c r="W85" s="97">
        <f t="shared" si="11"/>
        <v>697.08</v>
      </c>
      <c r="X85" s="84">
        <f t="shared" si="12"/>
        <v>2053.8200000000002</v>
      </c>
      <c r="Y85" s="85">
        <f t="shared" si="13"/>
        <v>1</v>
      </c>
      <c r="Z85" s="86">
        <f t="shared" si="14"/>
        <v>2053.8200000000002</v>
      </c>
      <c r="AA85" s="85"/>
      <c r="AB85" s="85"/>
      <c r="AC85" s="88">
        <v>24619.200000000001</v>
      </c>
      <c r="AD85" s="150">
        <v>697.08</v>
      </c>
      <c r="AE85" s="145">
        <f t="shared" si="8"/>
        <v>0</v>
      </c>
    </row>
    <row r="86" spans="1:31" s="150" customFormat="1" ht="16.5" customHeight="1">
      <c r="A86" s="316"/>
      <c r="B86" s="89" t="s">
        <v>369</v>
      </c>
      <c r="C86" s="90" t="s">
        <v>21</v>
      </c>
      <c r="D86" s="91">
        <v>45130</v>
      </c>
      <c r="E86" s="90" t="s">
        <v>84</v>
      </c>
      <c r="F86" s="92" t="s">
        <v>260</v>
      </c>
      <c r="G86" s="90" t="s">
        <v>328</v>
      </c>
      <c r="H86" s="93">
        <v>14.026999999999999</v>
      </c>
      <c r="I86" s="94">
        <v>12019.8</v>
      </c>
      <c r="J86" s="76" t="str">
        <f>VLOOKUP(G86,'[2]Vendor list'!$A$3:$D$406,4,0)</f>
        <v>FCA</v>
      </c>
      <c r="K86" s="76">
        <f t="shared" si="9"/>
        <v>1</v>
      </c>
      <c r="L86" s="95">
        <f t="shared" si="10"/>
        <v>60.662999999999997</v>
      </c>
      <c r="M86" s="82">
        <f>VLOOKUP(F86,Appendix!$B$7:$N$1048576,13,0)</f>
        <v>624000</v>
      </c>
      <c r="N86" s="82">
        <f>K86*H86*[2]Add.fees!$F$11</f>
        <v>119089.23</v>
      </c>
      <c r="O86" s="96">
        <f>IF(AND(C86=[2]Add.fees!$G$4),[2]Add.fees!$E$7,IF(AND(C86=[2]Add.fees!$G$5),[2]Add.fees!$E$7,IF(AND(C86=[2]Add.fees!$G$6),[2]Add.fees!$F$7,0)))*(H86/L86*K86)</f>
        <v>44812.036991246721</v>
      </c>
      <c r="P86" s="96">
        <f>IF(AND(C86=[2]Add.fees!$G$4),[2]Add.fees!$E$4,IF(AND(C86=[2]Add.fees!$G$5),[2]Add.fees!$E$4,IF(AND(C86=[2]Add.fees!$G$6),[2]Add.fees!$F$4,0)))*(H86/L86*K86)</f>
        <v>11561.413052437234</v>
      </c>
      <c r="Q86" s="96">
        <f>IF(AND(C86=[2]Add.fees!$G$4),[2]Add.fees!$E$5,IF(AND(C86=[2]Add.fees!$G$5),[2]Add.fees!$E$5,IF(AND(C86=[2]Add.fees!$G$6),[2]Add.fees!$F$5,0)))*(H86/L86*K86)</f>
        <v>42869.719598437267</v>
      </c>
      <c r="R86" s="96">
        <f>IF(AND(C86=[2]Add.fees!$G$4),[2]Add.fees!$E$6,IF(AND(C86=[2]Add.fees!$G$5),[2]Add.fees!$E$6,IF(AND(C86=[2]Add.fees!$G$6),[2]Add.fees!$F$6,0)))*(H86/L86*K86)</f>
        <v>2104.1771755435766</v>
      </c>
      <c r="S86" s="82">
        <v>0</v>
      </c>
      <c r="T86" s="96">
        <f>IF(AND(C86=[2]Add.fees!$G$4,Appendix!D87=[2]Add.fees!$G$8),[2]Add.fees!$E$8,IF(AND(C86=[2]Add.fees!$G$5,Appendix!D87=[2]Add.fees!$G$8),[2]Add.fees!$E$8,IF(AND(C86=[2]Add.fees!$G$6,Appendix!D87=[2]Add.fees!$G$8),[2]Add.fees!$F$8,IF(AND(C86=[2]Add.fees!$G$4,Appendix!D87=[2]Add.fees!$G$9),[2]Add.fees!$E$9,IF(AND(C86=[2]Add.fees!$G$5,Appendix!D87=[2]Add.fees!$G$9),[2]Add.fees!$E$9,IF(AND(C86=[2]Add.fees!$G$6,Appendix!D87=[2]Add.fees!$G$9),[2]Add.fees!$F$9,0))))))*(H86/L86*K86)</f>
        <v>64859.527224172889</v>
      </c>
      <c r="U86" s="96">
        <v>0</v>
      </c>
      <c r="V86" s="96">
        <f t="shared" si="7"/>
        <v>909296.10404183774</v>
      </c>
      <c r="W86" s="97">
        <f t="shared" si="11"/>
        <v>706.91</v>
      </c>
      <c r="X86" s="84">
        <f t="shared" si="12"/>
        <v>2053.8200000000002</v>
      </c>
      <c r="Y86" s="85">
        <f t="shared" si="13"/>
        <v>0</v>
      </c>
      <c r="Z86" s="86">
        <f t="shared" si="14"/>
        <v>0</v>
      </c>
      <c r="AA86" s="85"/>
      <c r="AB86" s="85"/>
      <c r="AC86" s="88">
        <v>52884</v>
      </c>
      <c r="AD86" s="150">
        <v>706.91</v>
      </c>
      <c r="AE86" s="145">
        <f t="shared" si="8"/>
        <v>0</v>
      </c>
    </row>
    <row r="87" spans="1:31" s="150" customFormat="1" ht="15">
      <c r="A87" s="317"/>
      <c r="B87" s="89" t="s">
        <v>369</v>
      </c>
      <c r="C87" s="90" t="s">
        <v>21</v>
      </c>
      <c r="D87" s="91">
        <v>45130</v>
      </c>
      <c r="E87" s="90" t="s">
        <v>84</v>
      </c>
      <c r="F87" s="92" t="s">
        <v>261</v>
      </c>
      <c r="G87" s="90" t="s">
        <v>328</v>
      </c>
      <c r="H87" s="111">
        <v>21.824000000000002</v>
      </c>
      <c r="I87" s="122">
        <v>7810</v>
      </c>
      <c r="J87" s="76" t="str">
        <f>VLOOKUP(G87,'[2]Vendor list'!$A$3:$D$406,4,0)</f>
        <v>FCA</v>
      </c>
      <c r="K87" s="76">
        <f t="shared" si="9"/>
        <v>1</v>
      </c>
      <c r="L87" s="95">
        <f t="shared" si="10"/>
        <v>60.662999999999997</v>
      </c>
      <c r="M87" s="82">
        <f>VLOOKUP(F87,Appendix!$B$7:$N$1048576,13,0)</f>
        <v>392000</v>
      </c>
      <c r="N87" s="82">
        <f>K87*H87*[2]Add.fees!$F$11</f>
        <v>185285.76000000001</v>
      </c>
      <c r="O87" s="96">
        <f>IF(AND(C87=[2]Add.fees!$G$4),[2]Add.fees!$E$7,IF(AND(C87=[2]Add.fees!$G$5),[2]Add.fees!$E$7,IF(AND(C87=[2]Add.fees!$G$6),[2]Add.fees!$F$7,0)))*(H87/L87*K87)</f>
        <v>69721.101824835569</v>
      </c>
      <c r="P87" s="96">
        <f>IF(AND(C87=[2]Add.fees!$G$4),[2]Add.fees!$E$4,IF(AND(C87=[2]Add.fees!$G$5),[2]Add.fees!$E$4,IF(AND(C87=[2]Add.fees!$G$6),[2]Add.fees!$F$4,0)))*(H87/L87*K87)</f>
        <v>17987.900367604638</v>
      </c>
      <c r="Q87" s="96">
        <f>IF(AND(C87=[2]Add.fees!$G$4),[2]Add.fees!$E$5,IF(AND(C87=[2]Add.fees!$G$5),[2]Add.fees!$E$5,IF(AND(C87=[2]Add.fees!$G$6),[2]Add.fees!$F$5,0)))*(H87/L87*K87)</f>
        <v>66699.134563077998</v>
      </c>
      <c r="R87" s="96">
        <f>IF(AND(C87=[2]Add.fees!$G$4),[2]Add.fees!$E$6,IF(AND(C87=[2]Add.fees!$G$5),[2]Add.fees!$E$6,IF(AND(C87=[2]Add.fees!$G$6),[2]Add.fees!$F$6,0)))*(H87/L87*K87)</f>
        <v>3273.797866904044</v>
      </c>
      <c r="S87" s="82">
        <v>0</v>
      </c>
      <c r="T87" s="96">
        <f>IF(AND(C87=[2]Add.fees!$G$4,Appendix!D88=[2]Add.fees!$G$8),[2]Add.fees!$E$8,IF(AND(C87=[2]Add.fees!$G$5,Appendix!D88=[2]Add.fees!$G$8),[2]Add.fees!$E$8,IF(AND(C87=[2]Add.fees!$G$6,Appendix!D88=[2]Add.fees!$G$8),[2]Add.fees!$F$8,IF(AND(C87=[2]Add.fees!$G$4,Appendix!D88=[2]Add.fees!$G$9),[2]Add.fees!$E$9,IF(AND(C87=[2]Add.fees!$G$5,Appendix!D88=[2]Add.fees!$G$9),[2]Add.fees!$E$9,IF(AND(C87=[2]Add.fees!$G$6,Appendix!D88=[2]Add.fees!$G$9),[2]Add.fees!$F$9,0))))))*(H87/L87*K87)</f>
        <v>100912.12106226201</v>
      </c>
      <c r="U87" s="96">
        <v>0</v>
      </c>
      <c r="V87" s="96">
        <f t="shared" si="7"/>
        <v>835879.8156846842</v>
      </c>
      <c r="W87" s="97">
        <f t="shared" si="11"/>
        <v>649.83000000000004</v>
      </c>
      <c r="X87" s="84">
        <f t="shared" si="12"/>
        <v>2053.8200000000002</v>
      </c>
      <c r="Y87" s="85">
        <f t="shared" si="13"/>
        <v>0</v>
      </c>
      <c r="Z87" s="86">
        <f t="shared" si="14"/>
        <v>0</v>
      </c>
      <c r="AA87" s="85"/>
      <c r="AB87" s="85"/>
      <c r="AC87" s="88">
        <v>47055.360000000001</v>
      </c>
      <c r="AD87" s="150">
        <v>649.83000000000004</v>
      </c>
      <c r="AE87" s="145">
        <f t="shared" si="8"/>
        <v>0</v>
      </c>
    </row>
    <row r="88" spans="1:31" s="150" customFormat="1" ht="15">
      <c r="A88" s="314">
        <v>15</v>
      </c>
      <c r="B88" s="89" t="s">
        <v>370</v>
      </c>
      <c r="C88" s="90" t="s">
        <v>21</v>
      </c>
      <c r="D88" s="91">
        <v>45130</v>
      </c>
      <c r="E88" s="90" t="s">
        <v>84</v>
      </c>
      <c r="F88" s="92" t="s">
        <v>263</v>
      </c>
      <c r="G88" s="92" t="s">
        <v>328</v>
      </c>
      <c r="H88" s="111">
        <v>20.010000000000002</v>
      </c>
      <c r="I88" s="122">
        <v>8250</v>
      </c>
      <c r="J88" s="76" t="str">
        <f>VLOOKUP(G88,'[2]Vendor list'!$A$3:$D$406,4,0)</f>
        <v>FCA</v>
      </c>
      <c r="K88" s="76">
        <f t="shared" si="9"/>
        <v>1</v>
      </c>
      <c r="L88" s="95">
        <f t="shared" si="10"/>
        <v>61.136000000000003</v>
      </c>
      <c r="M88" s="82">
        <f>VLOOKUP(F88,Appendix!$B$7:$N$1048576,13,0)</f>
        <v>392000</v>
      </c>
      <c r="N88" s="82">
        <f>K88*H88*[2]Add.fees!$F$11</f>
        <v>169884.90000000002</v>
      </c>
      <c r="O88" s="96">
        <f>IF(AND(C88=[2]Add.fees!$G$4),[2]Add.fees!$E$7,IF(AND(C88=[2]Add.fees!$G$5),[2]Add.fees!$E$7,IF(AND(C88=[2]Add.fees!$G$6),[2]Add.fees!$F$7,0)))*(H88/L88*K88)</f>
        <v>63431.333420570532</v>
      </c>
      <c r="P88" s="96">
        <f>IF(AND(C88=[2]Add.fees!$G$4),[2]Add.fees!$E$4,IF(AND(C88=[2]Add.fees!$G$5),[2]Add.fees!$E$4,IF(AND(C88=[2]Add.fees!$G$6),[2]Add.fees!$F$4,0)))*(H88/L88*K88)</f>
        <v>16365.153101282387</v>
      </c>
      <c r="Q88" s="96">
        <f>IF(AND(C88=[2]Add.fees!$G$4),[2]Add.fees!$E$5,IF(AND(C88=[2]Add.fees!$G$5),[2]Add.fees!$E$5,IF(AND(C88=[2]Add.fees!$G$6),[2]Add.fees!$F$5,0)))*(H88/L88*K88)</f>
        <v>60681.987699555088</v>
      </c>
      <c r="R88" s="96">
        <f>IF(AND(C88=[2]Add.fees!$G$4),[2]Add.fees!$E$6,IF(AND(C88=[2]Add.fees!$G$5),[2]Add.fees!$E$6,IF(AND(C88=[2]Add.fees!$G$6),[2]Add.fees!$F$6,0)))*(H88/L88*K88)</f>
        <v>2978.4578644333942</v>
      </c>
      <c r="S88" s="82">
        <v>0</v>
      </c>
      <c r="T88" s="96">
        <f>IF(AND(C88=[2]Add.fees!$G$4,Appendix!D89=[2]Add.fees!$G$8),[2]Add.fees!$E$8,IF(AND(C88=[2]Add.fees!$G$5,Appendix!D89=[2]Add.fees!$G$8),[2]Add.fees!$E$8,IF(AND(C88=[2]Add.fees!$G$6,Appendix!D89=[2]Add.fees!$G$8),[2]Add.fees!$F$8,IF(AND(C88=[2]Add.fees!$G$4,Appendix!D89=[2]Add.fees!$G$9),[2]Add.fees!$E$9,IF(AND(C88=[2]Add.fees!$G$5,Appendix!D89=[2]Add.fees!$G$9),[2]Add.fees!$E$9,IF(AND(C88=[2]Add.fees!$G$6,Appendix!D89=[2]Add.fees!$G$9),[2]Add.fees!$F$9,0))))))*(H88/L88*K88)</f>
        <v>91808.508898194195</v>
      </c>
      <c r="U88" s="96">
        <v>0</v>
      </c>
      <c r="V88" s="96">
        <f>SUM(M88:U88)</f>
        <v>797150.34098403575</v>
      </c>
      <c r="W88" s="97">
        <f t="shared" si="11"/>
        <v>619.72</v>
      </c>
      <c r="X88" s="84">
        <f t="shared" si="12"/>
        <v>2109.7999999999997</v>
      </c>
      <c r="Y88" s="85">
        <f t="shared" si="13"/>
        <v>1</v>
      </c>
      <c r="Z88" s="86">
        <f t="shared" si="14"/>
        <v>2109.7999999999997</v>
      </c>
      <c r="AA88" s="85"/>
      <c r="AB88" s="85"/>
      <c r="AC88" s="88">
        <v>58291.199999999997</v>
      </c>
      <c r="AD88" s="150">
        <v>619.72</v>
      </c>
      <c r="AE88" s="145">
        <f t="shared" si="8"/>
        <v>0</v>
      </c>
    </row>
    <row r="89" spans="1:31" s="150" customFormat="1" ht="15">
      <c r="A89" s="316"/>
      <c r="B89" s="89" t="s">
        <v>370</v>
      </c>
      <c r="C89" s="90" t="s">
        <v>21</v>
      </c>
      <c r="D89" s="91">
        <v>45130</v>
      </c>
      <c r="E89" s="90" t="s">
        <v>84</v>
      </c>
      <c r="F89" s="92" t="s">
        <v>264</v>
      </c>
      <c r="G89" s="92" t="s">
        <v>328</v>
      </c>
      <c r="H89" s="111">
        <v>7.9359999999999999</v>
      </c>
      <c r="I89" s="122">
        <v>2840</v>
      </c>
      <c r="J89" s="76" t="str">
        <f>VLOOKUP(G89,'[2]Vendor list'!$A$3:$D$406,4,0)</f>
        <v>FCA</v>
      </c>
      <c r="K89" s="76">
        <f t="shared" si="9"/>
        <v>1</v>
      </c>
      <c r="L89" s="95">
        <f t="shared" si="10"/>
        <v>61.136000000000003</v>
      </c>
      <c r="M89" s="82">
        <f>VLOOKUP(F89,Appendix!$B$7:$N$1048576,13,0)</f>
        <v>332000</v>
      </c>
      <c r="N89" s="82">
        <f>K89*H89*[2]Add.fees!$F$11</f>
        <v>67376.639999999999</v>
      </c>
      <c r="O89" s="96">
        <f>IF(AND(C89=[2]Add.fees!$G$4),[2]Add.fees!$E$7,IF(AND(C89=[2]Add.fees!$G$5),[2]Add.fees!$E$7,IF(AND(C89=[2]Add.fees!$G$6),[2]Add.fees!$F$7,0)))*(H89/L89*K89)</f>
        <v>25156.974613975399</v>
      </c>
      <c r="P89" s="96">
        <f>IF(AND(C89=[2]Add.fees!$G$4),[2]Add.fees!$E$4,IF(AND(C89=[2]Add.fees!$G$5),[2]Add.fees!$E$4,IF(AND(C89=[2]Add.fees!$G$6),[2]Add.fees!$F$4,0)))*(H89/L89*K89)</f>
        <v>6490.4475268254382</v>
      </c>
      <c r="Q89" s="96">
        <f>IF(AND(C89=[2]Add.fees!$G$4),[2]Add.fees!$E$5,IF(AND(C89=[2]Add.fees!$G$5),[2]Add.fees!$E$5,IF(AND(C89=[2]Add.fees!$G$6),[2]Add.fees!$F$5,0)))*(H89/L89*K89)</f>
        <v>24066.579429468726</v>
      </c>
      <c r="R89" s="96">
        <f>IF(AND(C89=[2]Add.fees!$G$4),[2]Add.fees!$E$6,IF(AND(C89=[2]Add.fees!$G$5),[2]Add.fees!$E$6,IF(AND(C89=[2]Add.fees!$G$6),[2]Add.fees!$F$6,0)))*(H89/L89*K89)</f>
        <v>1181.2614498822297</v>
      </c>
      <c r="S89" s="82">
        <v>0</v>
      </c>
      <c r="T89" s="96">
        <f>IF(AND(C89=[2]Add.fees!$G$4,Appendix!D90=[2]Add.fees!$G$8),[2]Add.fees!$E$8,IF(AND(C89=[2]Add.fees!$G$5,Appendix!D90=[2]Add.fees!$G$8),[2]Add.fees!$E$8,IF(AND(C89=[2]Add.fees!$G$6,Appendix!D90=[2]Add.fees!$G$8),[2]Add.fees!$F$8,IF(AND(C89=[2]Add.fees!$G$4,Appendix!D90=[2]Add.fees!$G$9),[2]Add.fees!$E$9,IF(AND(C89=[2]Add.fees!$G$5,Appendix!D90=[2]Add.fees!$G$9),[2]Add.fees!$E$9,IF(AND(C89=[2]Add.fees!$G$6,Appendix!D90=[2]Add.fees!$G$9),[2]Add.fees!$F$9,0))))))*(H89/L89*K89)</f>
        <v>36411.410625490709</v>
      </c>
      <c r="U89" s="96">
        <v>0</v>
      </c>
      <c r="V89" s="96">
        <f t="shared" si="7"/>
        <v>492683.31364564248</v>
      </c>
      <c r="W89" s="97">
        <f t="shared" si="11"/>
        <v>383.02</v>
      </c>
      <c r="X89" s="84">
        <f t="shared" si="12"/>
        <v>2109.7999999999997</v>
      </c>
      <c r="Y89" s="85">
        <f t="shared" si="13"/>
        <v>0</v>
      </c>
      <c r="Z89" s="86">
        <f t="shared" si="14"/>
        <v>0</v>
      </c>
      <c r="AA89" s="85"/>
      <c r="AB89" s="85"/>
      <c r="AC89" s="124">
        <v>17111.04</v>
      </c>
      <c r="AD89" s="150">
        <v>383.02</v>
      </c>
      <c r="AE89" s="145">
        <f t="shared" si="8"/>
        <v>0</v>
      </c>
    </row>
    <row r="90" spans="1:31" s="85" customFormat="1" ht="15">
      <c r="A90" s="316"/>
      <c r="B90" s="89" t="s">
        <v>370</v>
      </c>
      <c r="C90" s="90" t="s">
        <v>21</v>
      </c>
      <c r="D90" s="91">
        <v>45130</v>
      </c>
      <c r="E90" s="90" t="s">
        <v>84</v>
      </c>
      <c r="F90" s="92" t="s">
        <v>265</v>
      </c>
      <c r="G90" s="92" t="s">
        <v>328</v>
      </c>
      <c r="H90" s="111">
        <v>19.84</v>
      </c>
      <c r="I90" s="122">
        <v>7100</v>
      </c>
      <c r="J90" s="76" t="str">
        <f>VLOOKUP(G90,'[2]Vendor list'!$A$3:$D$406,4,0)</f>
        <v>FCA</v>
      </c>
      <c r="K90" s="76">
        <f t="shared" si="9"/>
        <v>1</v>
      </c>
      <c r="L90" s="95">
        <f t="shared" si="10"/>
        <v>61.136000000000003</v>
      </c>
      <c r="M90" s="82">
        <f>VLOOKUP(F90,Appendix!$B$7:$N$1048576,13,0)</f>
        <v>376000</v>
      </c>
      <c r="N90" s="82">
        <f>K90*H90*[2]Add.fees!$F$11</f>
        <v>168441.60000000001</v>
      </c>
      <c r="O90" s="96">
        <f>IF(AND(C90=[2]Add.fees!$G$4),[2]Add.fees!$E$7,IF(AND(C90=[2]Add.fees!$G$5),[2]Add.fees!$E$7,IF(AND(C90=[2]Add.fees!$G$6),[2]Add.fees!$F$7,0)))*(H90/L90*K90)</f>
        <v>62892.436534938497</v>
      </c>
      <c r="P90" s="96">
        <f>IF(AND(C90=[2]Add.fees!$G$4),[2]Add.fees!$E$4,IF(AND(C90=[2]Add.fees!$G$5),[2]Add.fees!$E$4,IF(AND(C90=[2]Add.fees!$G$6),[2]Add.fees!$F$4,0)))*(H90/L90*K90)</f>
        <v>16226.118817063594</v>
      </c>
      <c r="Q90" s="96">
        <f>IF(AND(C90=[2]Add.fees!$G$4),[2]Add.fees!$E$5,IF(AND(C90=[2]Add.fees!$G$5),[2]Add.fees!$E$5,IF(AND(C90=[2]Add.fees!$G$6),[2]Add.fees!$F$5,0)))*(H90/L90*K90)</f>
        <v>60166.448573671812</v>
      </c>
      <c r="R90" s="96">
        <f>IF(AND(C90=[2]Add.fees!$G$4),[2]Add.fees!$E$6,IF(AND(C90=[2]Add.fees!$G$5),[2]Add.fees!$E$6,IF(AND(C90=[2]Add.fees!$G$6),[2]Add.fees!$F$6,0)))*(H90/L90*K90)</f>
        <v>2953.1536247055742</v>
      </c>
      <c r="S90" s="82">
        <v>0</v>
      </c>
      <c r="T90" s="96">
        <f>IF(AND(C90=[2]Add.fees!$G$4,Appendix!D91=[2]Add.fees!$G$8),[2]Add.fees!$E$8,IF(AND(C90=[2]Add.fees!$G$5,Appendix!D91=[2]Add.fees!$G$8),[2]Add.fees!$E$8,IF(AND(C90=[2]Add.fees!$G$6,Appendix!D91=[2]Add.fees!$G$8),[2]Add.fees!$F$8,IF(AND(C90=[2]Add.fees!$G$4,Appendix!D91=[2]Add.fees!$G$9),[2]Add.fees!$E$9,IF(AND(C90=[2]Add.fees!$G$5,Appendix!D91=[2]Add.fees!$G$9),[2]Add.fees!$E$9,IF(AND(C90=[2]Add.fees!$G$6,Appendix!D91=[2]Add.fees!$G$9),[2]Add.fees!$F$9,0))))))*(H90/L90*K90)</f>
        <v>91028.526563726773</v>
      </c>
      <c r="U90" s="96">
        <v>0</v>
      </c>
      <c r="V90" s="96">
        <f t="shared" si="7"/>
        <v>777708.28411410633</v>
      </c>
      <c r="W90" s="97">
        <f t="shared" si="11"/>
        <v>604.61</v>
      </c>
      <c r="X90" s="84">
        <f t="shared" si="12"/>
        <v>2109.7999999999997</v>
      </c>
      <c r="Y90" s="85">
        <f t="shared" si="13"/>
        <v>0</v>
      </c>
      <c r="Z90" s="86">
        <f t="shared" si="14"/>
        <v>0</v>
      </c>
      <c r="AC90" s="124">
        <v>36758.400000000001</v>
      </c>
      <c r="AD90" s="85">
        <v>604.61</v>
      </c>
      <c r="AE90" s="145">
        <f t="shared" si="8"/>
        <v>0</v>
      </c>
    </row>
    <row r="91" spans="1:31" s="85" customFormat="1" ht="15">
      <c r="A91" s="317"/>
      <c r="B91" s="89" t="s">
        <v>370</v>
      </c>
      <c r="C91" s="90" t="s">
        <v>21</v>
      </c>
      <c r="D91" s="91">
        <v>45130</v>
      </c>
      <c r="E91" s="90" t="s">
        <v>84</v>
      </c>
      <c r="F91" s="92" t="s">
        <v>266</v>
      </c>
      <c r="G91" s="92" t="s">
        <v>328</v>
      </c>
      <c r="H91" s="111">
        <v>13.35</v>
      </c>
      <c r="I91" s="122">
        <v>5480</v>
      </c>
      <c r="J91" s="76" t="str">
        <f>VLOOKUP(G91,'[2]Vendor list'!$A$3:$D$406,4,0)</f>
        <v>FCA</v>
      </c>
      <c r="K91" s="76">
        <f t="shared" si="9"/>
        <v>1</v>
      </c>
      <c r="L91" s="95">
        <f t="shared" si="10"/>
        <v>61.136000000000003</v>
      </c>
      <c r="M91" s="82">
        <f>VLOOKUP(F91,Appendix!$B$7:$N$1048576,13,0)</f>
        <v>376000</v>
      </c>
      <c r="N91" s="82">
        <f>K91*H91*[2]Add.fees!$F$11</f>
        <v>113341.5</v>
      </c>
      <c r="O91" s="96">
        <f>IF(AND(C91=[2]Add.fees!$G$4),[2]Add.fees!$E$7,IF(AND(C91=[2]Add.fees!$G$5),[2]Add.fees!$E$7,IF(AND(C91=[2]Add.fees!$G$6),[2]Add.fees!$F$7,0)))*(H91/L91*K91)</f>
        <v>42319.255430515572</v>
      </c>
      <c r="P91" s="96">
        <f>IF(AND(C91=[2]Add.fees!$G$4),[2]Add.fees!$E$4,IF(AND(C91=[2]Add.fees!$G$5),[2]Add.fees!$E$4,IF(AND(C91=[2]Add.fees!$G$6),[2]Add.fees!$F$4,0)))*(H91/L91*K91)</f>
        <v>10918.280554828578</v>
      </c>
      <c r="Q91" s="96">
        <f>IF(AND(C91=[2]Add.fees!$G$4),[2]Add.fees!$E$5,IF(AND(C91=[2]Add.fees!$G$5),[2]Add.fees!$E$5,IF(AND(C91=[2]Add.fees!$G$6),[2]Add.fees!$F$5,0)))*(H91/L91*K91)</f>
        <v>40484.984297304371</v>
      </c>
      <c r="R91" s="96">
        <f>IF(AND(C91=[2]Add.fees!$G$4),[2]Add.fees!$E$6,IF(AND(C91=[2]Add.fees!$G$5),[2]Add.fees!$E$6,IF(AND(C91=[2]Add.fees!$G$6),[2]Add.fees!$F$6,0)))*(H91/L91*K91)</f>
        <v>1987.1270609788014</v>
      </c>
      <c r="S91" s="82">
        <v>0</v>
      </c>
      <c r="T91" s="96">
        <f>IF(AND(C91=[2]Add.fees!$G$4,Appendix!D92=[2]Add.fees!$G$8),[2]Add.fees!$E$8,IF(AND(C91=[2]Add.fees!$G$5,Appendix!D92=[2]Add.fees!$G$8),[2]Add.fees!$E$8,IF(AND(C91=[2]Add.fees!$G$6,Appendix!D92=[2]Add.fees!$G$8),[2]Add.fees!$F$8,IF(AND(C91=[2]Add.fees!$G$4,Appendix!D92=[2]Add.fees!$G$9),[2]Add.fees!$E$9,IF(AND(C91=[2]Add.fees!$G$5,Appendix!D92=[2]Add.fees!$G$9),[2]Add.fees!$E$9,IF(AND(C91=[2]Add.fees!$G$6,Appendix!D92=[2]Add.fees!$G$9),[2]Add.fees!$F$9,0))))))*(H91/L91*K91)</f>
        <v>61251.553912588322</v>
      </c>
      <c r="U91" s="96">
        <v>0</v>
      </c>
      <c r="V91" s="96">
        <f t="shared" si="7"/>
        <v>646302.70125621569</v>
      </c>
      <c r="W91" s="97">
        <f t="shared" si="11"/>
        <v>502.45</v>
      </c>
      <c r="X91" s="84">
        <f t="shared" si="12"/>
        <v>2109.7999999999997</v>
      </c>
      <c r="Y91" s="85">
        <f t="shared" si="13"/>
        <v>0</v>
      </c>
      <c r="Z91" s="86">
        <f t="shared" si="14"/>
        <v>0</v>
      </c>
      <c r="AC91" s="88">
        <v>39523.200000000004</v>
      </c>
      <c r="AD91" s="85">
        <v>502.45</v>
      </c>
      <c r="AE91" s="145">
        <f t="shared" si="8"/>
        <v>0</v>
      </c>
    </row>
    <row r="92" spans="1:31" s="85" customFormat="1" ht="15">
      <c r="A92" s="128">
        <v>16</v>
      </c>
      <c r="B92" s="89" t="s">
        <v>371</v>
      </c>
      <c r="C92" s="125" t="s">
        <v>21</v>
      </c>
      <c r="D92" s="91">
        <v>45130</v>
      </c>
      <c r="E92" s="90" t="s">
        <v>84</v>
      </c>
      <c r="F92" s="92" t="s">
        <v>268</v>
      </c>
      <c r="G92" s="92" t="s">
        <v>328</v>
      </c>
      <c r="H92" s="111">
        <v>66.432000000000002</v>
      </c>
      <c r="I92" s="122">
        <v>11352</v>
      </c>
      <c r="J92" s="76" t="str">
        <f>VLOOKUP(G92,'[2]Vendor list'!$A$3:$D$406,4,0)</f>
        <v>FCA</v>
      </c>
      <c r="K92" s="76">
        <f t="shared" si="9"/>
        <v>1</v>
      </c>
      <c r="L92" s="95">
        <f t="shared" si="10"/>
        <v>66.432000000000002</v>
      </c>
      <c r="M92" s="82">
        <f>VLOOKUP(F92,Appendix!$B$7:$N$1048576,13,0)</f>
        <v>1016000</v>
      </c>
      <c r="N92" s="82">
        <f>K92*H92*[2]Add.fees!$F$11</f>
        <v>564007.68000000005</v>
      </c>
      <c r="O92" s="96">
        <f>IF(AND(C92=[2]Add.fees!$G$4),[2]Add.fees!$E$7,IF(AND(C92=[2]Add.fees!$G$5),[2]Add.fees!$E$7,IF(AND(C92=[2]Add.fees!$G$6),[2]Add.fees!$F$7,0)))*(H92/L92*K92)</f>
        <v>193800</v>
      </c>
      <c r="P92" s="96">
        <f>IF(AND(C92=[2]Add.fees!$G$4),[2]Add.fees!$E$4,IF(AND(C92=[2]Add.fees!$G$5),[2]Add.fees!$E$4,IF(AND(C92=[2]Add.fees!$G$6),[2]Add.fees!$F$4,0)))*(H92/L92*K92)</f>
        <v>50000</v>
      </c>
      <c r="Q92" s="96">
        <f>IF(AND(C92=[2]Add.fees!$G$4),[2]Add.fees!$E$5,IF(AND(C92=[2]Add.fees!$G$5),[2]Add.fees!$E$5,IF(AND(C92=[2]Add.fees!$G$6),[2]Add.fees!$F$5,0)))*(H92/L92*K92)</f>
        <v>185400</v>
      </c>
      <c r="R92" s="96">
        <f>IF(AND(C92=[2]Add.fees!$G$4),[2]Add.fees!$E$6,IF(AND(C92=[2]Add.fees!$G$5),[2]Add.fees!$E$6,IF(AND(C92=[2]Add.fees!$G$6),[2]Add.fees!$F$6,0)))*(H92/L92*K92)</f>
        <v>9100</v>
      </c>
      <c r="S92" s="82">
        <v>0</v>
      </c>
      <c r="T92" s="96">
        <f>IF(AND(C92=[2]Add.fees!$G$4,Appendix!D93=[2]Add.fees!$G$8),[2]Add.fees!$E$8,IF(AND(C92=[2]Add.fees!$G$5,Appendix!D93=[2]Add.fees!$G$8),[2]Add.fees!$E$8,IF(AND(C92=[2]Add.fees!$G$6,Appendix!D93=[2]Add.fees!$G$8),[2]Add.fees!$F$8,IF(AND(C92=[2]Add.fees!$G$4,Appendix!D93=[2]Add.fees!$G$9),[2]Add.fees!$E$9,IF(AND(C92=[2]Add.fees!$G$5,Appendix!D93=[2]Add.fees!$G$9),[2]Add.fees!$E$9,IF(AND(C92=[2]Add.fees!$G$6,Appendix!D93=[2]Add.fees!$G$9),[2]Add.fees!$F$9,0))))))*(H92/L92*K92)</f>
        <v>280500</v>
      </c>
      <c r="U92" s="96">
        <v>0</v>
      </c>
      <c r="V92" s="96">
        <f t="shared" si="7"/>
        <v>2298807.6800000002</v>
      </c>
      <c r="W92" s="97">
        <f t="shared" si="11"/>
        <v>1787.15</v>
      </c>
      <c r="X92" s="84">
        <f t="shared" si="12"/>
        <v>1787.15</v>
      </c>
      <c r="Y92" s="85">
        <f t="shared" si="13"/>
        <v>1</v>
      </c>
      <c r="Z92" s="86">
        <f t="shared" si="14"/>
        <v>1787.15</v>
      </c>
      <c r="AC92" s="88">
        <v>116730.71999999997</v>
      </c>
      <c r="AD92" s="85">
        <v>1787.15</v>
      </c>
      <c r="AE92" s="145">
        <f t="shared" si="8"/>
        <v>0</v>
      </c>
    </row>
    <row r="93" spans="1:31" s="85" customFormat="1" ht="16.5" customHeight="1">
      <c r="A93" s="314">
        <v>17</v>
      </c>
      <c r="B93" s="89" t="s">
        <v>372</v>
      </c>
      <c r="C93" s="125" t="s">
        <v>21</v>
      </c>
      <c r="D93" s="91">
        <v>45130</v>
      </c>
      <c r="E93" s="90" t="s">
        <v>84</v>
      </c>
      <c r="F93" s="92" t="s">
        <v>270</v>
      </c>
      <c r="G93" s="92" t="s">
        <v>328</v>
      </c>
      <c r="H93" s="111">
        <v>23.527999999999999</v>
      </c>
      <c r="I93" s="122">
        <v>4020.5</v>
      </c>
      <c r="J93" s="76" t="str">
        <f>VLOOKUP(G93,'[2]Vendor list'!$A$3:$D$406,4,0)</f>
        <v>FCA</v>
      </c>
      <c r="K93" s="76">
        <f t="shared" si="9"/>
        <v>1</v>
      </c>
      <c r="L93" s="95">
        <f t="shared" si="10"/>
        <v>62.363999999999997</v>
      </c>
      <c r="M93" s="82">
        <f>VLOOKUP(F93,Appendix!$B$7:$N$1048576,13,0)</f>
        <v>392000</v>
      </c>
      <c r="N93" s="82">
        <f>K93*H93*[2]Add.fees!$F$11</f>
        <v>199752.72</v>
      </c>
      <c r="O93" s="96">
        <f>IF(AND(C93=[2]Add.fees!$G$4),[2]Add.fees!$E$7,IF(AND(C93=[2]Add.fees!$G$5),[2]Add.fees!$E$7,IF(AND(C93=[2]Add.fees!$G$6),[2]Add.fees!$F$7,0)))*(H93/L93*K93)</f>
        <v>73114.720030786993</v>
      </c>
      <c r="P93" s="96">
        <f>IF(AND(C93=[2]Add.fees!$G$4),[2]Add.fees!$E$4,IF(AND(C93=[2]Add.fees!$G$5),[2]Add.fees!$E$4,IF(AND(C93=[2]Add.fees!$G$6),[2]Add.fees!$F$4,0)))*(H93/L93*K93)</f>
        <v>18863.44686036816</v>
      </c>
      <c r="Q93" s="96">
        <f>IF(AND(C93=[2]Add.fees!$G$4),[2]Add.fees!$E$5,IF(AND(C93=[2]Add.fees!$G$5),[2]Add.fees!$E$5,IF(AND(C93=[2]Add.fees!$G$6),[2]Add.fees!$F$5,0)))*(H93/L93*K93)</f>
        <v>69945.660958245135</v>
      </c>
      <c r="R93" s="96">
        <f>IF(AND(C93=[2]Add.fees!$G$4),[2]Add.fees!$E$6,IF(AND(C93=[2]Add.fees!$G$5),[2]Add.fees!$E$6,IF(AND(C93=[2]Add.fees!$G$6),[2]Add.fees!$F$6,0)))*(H93/L93*K93)</f>
        <v>3433.1473285870052</v>
      </c>
      <c r="S93" s="82">
        <v>0</v>
      </c>
      <c r="T93" s="96">
        <f>IF(AND(C93=[2]Add.fees!$G$4,Appendix!D94=[2]Add.fees!$G$8),[2]Add.fees!$E$8,IF(AND(C93=[2]Add.fees!$G$5,Appendix!D94=[2]Add.fees!$G$8),[2]Add.fees!$E$8,IF(AND(C93=[2]Add.fees!$G$6,Appendix!D94=[2]Add.fees!$G$8),[2]Add.fees!$F$8,IF(AND(C93=[2]Add.fees!$G$4,Appendix!D94=[2]Add.fees!$G$9),[2]Add.fees!$E$9,IF(AND(C93=[2]Add.fees!$G$5,Appendix!D94=[2]Add.fees!$G$9),[2]Add.fees!$E$9,IF(AND(C93=[2]Add.fees!$G$6,Appendix!D94=[2]Add.fees!$G$9),[2]Add.fees!$F$9,0))))))*(H93/L93*K93)</f>
        <v>105823.93688666538</v>
      </c>
      <c r="U93" s="96">
        <v>0</v>
      </c>
      <c r="V93" s="96">
        <f t="shared" si="7"/>
        <v>862933.63206465263</v>
      </c>
      <c r="W93" s="97">
        <f t="shared" si="11"/>
        <v>670.87</v>
      </c>
      <c r="X93" s="84">
        <f t="shared" si="12"/>
        <v>1838.04</v>
      </c>
      <c r="Y93" s="85">
        <f t="shared" si="13"/>
        <v>1</v>
      </c>
      <c r="Z93" s="86">
        <f t="shared" si="14"/>
        <v>1838.04</v>
      </c>
      <c r="AC93" s="88">
        <v>41342.12999999999</v>
      </c>
      <c r="AD93" s="85">
        <v>670.87</v>
      </c>
      <c r="AE93" s="145">
        <f t="shared" si="8"/>
        <v>0</v>
      </c>
    </row>
    <row r="94" spans="1:31" s="85" customFormat="1" ht="15">
      <c r="A94" s="316"/>
      <c r="B94" s="89" t="s">
        <v>372</v>
      </c>
      <c r="C94" s="125" t="s">
        <v>21</v>
      </c>
      <c r="D94" s="91">
        <v>45130</v>
      </c>
      <c r="E94" s="90" t="s">
        <v>84</v>
      </c>
      <c r="F94" s="92" t="s">
        <v>271</v>
      </c>
      <c r="G94" s="92" t="s">
        <v>328</v>
      </c>
      <c r="H94" s="111">
        <v>30.206</v>
      </c>
      <c r="I94" s="122">
        <v>5096</v>
      </c>
      <c r="J94" s="76" t="str">
        <f>VLOOKUP(G94,'[2]Vendor list'!$A$3:$D$406,4,0)</f>
        <v>FCA</v>
      </c>
      <c r="K94" s="76">
        <f t="shared" si="9"/>
        <v>1</v>
      </c>
      <c r="L94" s="95">
        <f t="shared" si="10"/>
        <v>62.363999999999997</v>
      </c>
      <c r="M94" s="82">
        <f>VLOOKUP(F94,Appendix!$B$7:$N$1048576,13,0)</f>
        <v>392000</v>
      </c>
      <c r="N94" s="82">
        <f>K94*H94*[2]Add.fees!$F$11</f>
        <v>256448.94</v>
      </c>
      <c r="O94" s="96">
        <f>IF(AND(C94=[2]Add.fees!$G$4),[2]Add.fees!$E$7,IF(AND(C94=[2]Add.fees!$G$5),[2]Add.fees!$E$7,IF(AND(C94=[2]Add.fees!$G$6),[2]Add.fees!$F$7,0)))*(H94/L94*K94)</f>
        <v>93867.019434289017</v>
      </c>
      <c r="P94" s="96">
        <f>IF(AND(C94=[2]Add.fees!$G$4),[2]Add.fees!$E$4,IF(AND(C94=[2]Add.fees!$G$5),[2]Add.fees!$E$4,IF(AND(C94=[2]Add.fees!$G$6),[2]Add.fees!$F$4,0)))*(H94/L94*K94)</f>
        <v>24217.497274068373</v>
      </c>
      <c r="Q94" s="96">
        <f>IF(AND(C94=[2]Add.fees!$G$4),[2]Add.fees!$E$5,IF(AND(C94=[2]Add.fees!$G$5),[2]Add.fees!$E$5,IF(AND(C94=[2]Add.fees!$G$6),[2]Add.fees!$F$5,0)))*(H94/L94*K94)</f>
        <v>89798.479892245523</v>
      </c>
      <c r="R94" s="96">
        <f>IF(AND(C94=[2]Add.fees!$G$4),[2]Add.fees!$E$6,IF(AND(C94=[2]Add.fees!$G$5),[2]Add.fees!$E$6,IF(AND(C94=[2]Add.fees!$G$6),[2]Add.fees!$F$6,0)))*(H94/L94*K94)</f>
        <v>4407.5845038804437</v>
      </c>
      <c r="S94" s="82">
        <v>0</v>
      </c>
      <c r="T94" s="96">
        <f>IF(AND(C94=[2]Add.fees!$G$4,Appendix!D95=[2]Add.fees!$G$8),[2]Add.fees!$E$8,IF(AND(C94=[2]Add.fees!$G$5,Appendix!D95=[2]Add.fees!$G$8),[2]Add.fees!$E$8,IF(AND(C94=[2]Add.fees!$G$6,Appendix!D95=[2]Add.fees!$G$8),[2]Add.fees!$F$8,IF(AND(C94=[2]Add.fees!$G$4,Appendix!D95=[2]Add.fees!$G$9),[2]Add.fees!$E$9,IF(AND(C94=[2]Add.fees!$G$5,Appendix!D95=[2]Add.fees!$G$9),[2]Add.fees!$E$9,IF(AND(C94=[2]Add.fees!$G$6,Appendix!D95=[2]Add.fees!$G$9),[2]Add.fees!$F$9,0))))))*(H94/L94*K94)</f>
        <v>135860.15970752356</v>
      </c>
      <c r="U94" s="96">
        <v>0</v>
      </c>
      <c r="V94" s="96">
        <f t="shared" si="7"/>
        <v>996599.68081200693</v>
      </c>
      <c r="W94" s="97">
        <f t="shared" si="11"/>
        <v>774.78</v>
      </c>
      <c r="X94" s="84">
        <f t="shared" si="12"/>
        <v>1838.04</v>
      </c>
      <c r="Y94" s="85">
        <f t="shared" si="13"/>
        <v>0</v>
      </c>
      <c r="Z94" s="86">
        <f t="shared" si="14"/>
        <v>0</v>
      </c>
      <c r="AC94" s="88">
        <v>21097.440000000002</v>
      </c>
      <c r="AD94" s="85">
        <v>774.78</v>
      </c>
      <c r="AE94" s="145">
        <f t="shared" si="8"/>
        <v>0</v>
      </c>
    </row>
    <row r="95" spans="1:31" s="85" customFormat="1" ht="15">
      <c r="A95" s="317"/>
      <c r="B95" s="89" t="s">
        <v>372</v>
      </c>
      <c r="C95" s="125" t="s">
        <v>21</v>
      </c>
      <c r="D95" s="91">
        <v>45130</v>
      </c>
      <c r="E95" s="90" t="s">
        <v>84</v>
      </c>
      <c r="F95" s="92" t="s">
        <v>272</v>
      </c>
      <c r="G95" s="92" t="s">
        <v>328</v>
      </c>
      <c r="H95" s="111">
        <v>8.6300000000000008</v>
      </c>
      <c r="I95" s="122">
        <v>4832</v>
      </c>
      <c r="J95" s="76" t="str">
        <f>VLOOKUP(G95,'[2]Vendor list'!$A$3:$D$406,4,0)</f>
        <v>FCA</v>
      </c>
      <c r="K95" s="76">
        <f t="shared" si="9"/>
        <v>1</v>
      </c>
      <c r="L95" s="95">
        <f t="shared" si="10"/>
        <v>62.363999999999997</v>
      </c>
      <c r="M95" s="82">
        <f>VLOOKUP(F95,Appendix!$B$7:$N$1048576,13,0)</f>
        <v>332000</v>
      </c>
      <c r="N95" s="82">
        <f>K95*H95*[2]Add.fees!$F$11</f>
        <v>73268.700000000012</v>
      </c>
      <c r="O95" s="96">
        <f>IF(AND(C95=[2]Add.fees!$G$4),[2]Add.fees!$E$7,IF(AND(C95=[2]Add.fees!$G$5),[2]Add.fees!$E$7,IF(AND(C95=[2]Add.fees!$G$6),[2]Add.fees!$F$7,0)))*(H95/L95*K95)</f>
        <v>26818.260534923997</v>
      </c>
      <c r="P95" s="96">
        <f>IF(AND(C95=[2]Add.fees!$G$4),[2]Add.fees!$E$4,IF(AND(C95=[2]Add.fees!$G$5),[2]Add.fees!$E$4,IF(AND(C95=[2]Add.fees!$G$6),[2]Add.fees!$F$4,0)))*(H95/L95*K95)</f>
        <v>6919.0558655634668</v>
      </c>
      <c r="Q95" s="96">
        <f>IF(AND(C95=[2]Add.fees!$G$4),[2]Add.fees!$E$5,IF(AND(C95=[2]Add.fees!$G$5),[2]Add.fees!$E$5,IF(AND(C95=[2]Add.fees!$G$6),[2]Add.fees!$F$5,0)))*(H95/L95*K95)</f>
        <v>25655.859149509335</v>
      </c>
      <c r="R95" s="96">
        <f>IF(AND(C95=[2]Add.fees!$G$4),[2]Add.fees!$E$6,IF(AND(C95=[2]Add.fees!$G$5),[2]Add.fees!$E$6,IF(AND(C95=[2]Add.fees!$G$6),[2]Add.fees!$F$6,0)))*(H95/L95*K95)</f>
        <v>1259.2681675325509</v>
      </c>
      <c r="S95" s="82">
        <v>0</v>
      </c>
      <c r="T95" s="96">
        <f>IF(AND(C95=[2]Add.fees!$G$4,Appendix!D96=[2]Add.fees!$G$8),[2]Add.fees!$E$8,IF(AND(C95=[2]Add.fees!$G$5,Appendix!D96=[2]Add.fees!$G$8),[2]Add.fees!$E$8,IF(AND(C95=[2]Add.fees!$G$6,Appendix!D96=[2]Add.fees!$G$8),[2]Add.fees!$F$8,IF(AND(C95=[2]Add.fees!$G$4,Appendix!D96=[2]Add.fees!$G$9),[2]Add.fees!$E$9,IF(AND(C95=[2]Add.fees!$G$5,Appendix!D96=[2]Add.fees!$G$9),[2]Add.fees!$E$9,IF(AND(C95=[2]Add.fees!$G$6,Appendix!D96=[2]Add.fees!$G$9),[2]Add.fees!$F$9,0))))))*(H95/L95*K95)</f>
        <v>38815.903405811048</v>
      </c>
      <c r="U95" s="96">
        <v>0</v>
      </c>
      <c r="V95" s="96">
        <f t="shared" si="7"/>
        <v>504737.04712334042</v>
      </c>
      <c r="W95" s="97">
        <f t="shared" si="11"/>
        <v>392.39</v>
      </c>
      <c r="X95" s="84">
        <f t="shared" si="12"/>
        <v>1838.04</v>
      </c>
      <c r="Y95" s="85">
        <f t="shared" si="13"/>
        <v>0</v>
      </c>
      <c r="Z95" s="86">
        <f t="shared" si="14"/>
        <v>0</v>
      </c>
      <c r="AC95" s="124">
        <v>32281.199999999997</v>
      </c>
      <c r="AD95" s="85">
        <v>392.39</v>
      </c>
      <c r="AE95" s="145">
        <f t="shared" si="8"/>
        <v>0</v>
      </c>
    </row>
    <row r="96" spans="1:31" s="85" customFormat="1" ht="15">
      <c r="A96" s="314">
        <v>18</v>
      </c>
      <c r="B96" s="89" t="s">
        <v>373</v>
      </c>
      <c r="C96" s="125" t="s">
        <v>21</v>
      </c>
      <c r="D96" s="91">
        <v>45130</v>
      </c>
      <c r="E96" s="90" t="s">
        <v>84</v>
      </c>
      <c r="F96" s="92" t="s">
        <v>274</v>
      </c>
      <c r="G96" s="92" t="s">
        <v>328</v>
      </c>
      <c r="H96" s="111">
        <v>30.206</v>
      </c>
      <c r="I96" s="122">
        <v>5096</v>
      </c>
      <c r="J96" s="76" t="str">
        <f>VLOOKUP(G96,'[2]Vendor list'!$A$3:$D$406,4,0)</f>
        <v>FCA</v>
      </c>
      <c r="K96" s="76">
        <f t="shared" si="9"/>
        <v>1</v>
      </c>
      <c r="L96" s="95">
        <f t="shared" si="10"/>
        <v>64.733999999999995</v>
      </c>
      <c r="M96" s="82">
        <f>VLOOKUP(F96,Appendix!$B$7:$N$1048576,13,0)</f>
        <v>392000</v>
      </c>
      <c r="N96" s="82">
        <f>K96*H96*[2]Add.fees!$F$11</f>
        <v>256448.94</v>
      </c>
      <c r="O96" s="96">
        <f>IF(AND(C96=[2]Add.fees!$G$4),[2]Add.fees!$E$7,IF(AND(C96=[2]Add.fees!$G$5),[2]Add.fees!$E$7,IF(AND(C96=[2]Add.fees!$G$6),[2]Add.fees!$F$7,0)))*(H96/L96*K96)</f>
        <v>90430.419872091952</v>
      </c>
      <c r="P96" s="96">
        <f>IF(AND(C96=[2]Add.fees!$G$4),[2]Add.fees!$E$4,IF(AND(C96=[2]Add.fees!$G$5),[2]Add.fees!$E$4,IF(AND(C96=[2]Add.fees!$G$6),[2]Add.fees!$F$4,0)))*(H96/L96*K96)</f>
        <v>23330.861680106282</v>
      </c>
      <c r="Q96" s="96">
        <f>IF(AND(C96=[2]Add.fees!$G$4),[2]Add.fees!$E$5,IF(AND(C96=[2]Add.fees!$G$5),[2]Add.fees!$E$5,IF(AND(C96=[2]Add.fees!$G$6),[2]Add.fees!$F$5,0)))*(H96/L96*K96)</f>
        <v>86510.835109834094</v>
      </c>
      <c r="R96" s="96">
        <f>IF(AND(C96=[2]Add.fees!$G$4),[2]Add.fees!$E$6,IF(AND(C96=[2]Add.fees!$G$5),[2]Add.fees!$E$6,IF(AND(C96=[2]Add.fees!$G$6),[2]Add.fees!$F$6,0)))*(H96/L96*K96)</f>
        <v>4246.2168257793437</v>
      </c>
      <c r="S96" s="82">
        <v>0</v>
      </c>
      <c r="T96" s="96">
        <f>IF(AND(C96=[2]Add.fees!$G$4,Appendix!D97=[2]Add.fees!$G$8),[2]Add.fees!$E$8,IF(AND(C96=[2]Add.fees!$G$5,Appendix!D97=[2]Add.fees!$G$8),[2]Add.fees!$E$8,IF(AND(C96=[2]Add.fees!$G$6,Appendix!D97=[2]Add.fees!$G$8),[2]Add.fees!$F$8,IF(AND(C96=[2]Add.fees!$G$4,Appendix!D97=[2]Add.fees!$G$9),[2]Add.fees!$E$9,IF(AND(C96=[2]Add.fees!$G$5,Appendix!D97=[2]Add.fees!$G$9),[2]Add.fees!$E$9,IF(AND(C96=[2]Add.fees!$G$6,Appendix!D97=[2]Add.fees!$G$9),[2]Add.fees!$F$9,0))))))*(H96/L96*K96)</f>
        <v>130886.13402539624</v>
      </c>
      <c r="U96" s="96">
        <v>0</v>
      </c>
      <c r="V96" s="96">
        <f t="shared" si="7"/>
        <v>983853.40751320776</v>
      </c>
      <c r="W96" s="97">
        <f t="shared" si="11"/>
        <v>764.87</v>
      </c>
      <c r="X96" s="84">
        <f t="shared" si="12"/>
        <v>1875.4499999999998</v>
      </c>
      <c r="Y96" s="85">
        <f t="shared" si="13"/>
        <v>1</v>
      </c>
      <c r="Z96" s="86">
        <f t="shared" si="14"/>
        <v>1875.4499999999998</v>
      </c>
      <c r="AC96" s="124">
        <v>21097.440000000002</v>
      </c>
      <c r="AD96" s="85">
        <v>764.87</v>
      </c>
      <c r="AE96" s="145">
        <f t="shared" si="8"/>
        <v>0</v>
      </c>
    </row>
    <row r="97" spans="1:31" s="85" customFormat="1" ht="15">
      <c r="A97" s="316"/>
      <c r="B97" s="89" t="s">
        <v>373</v>
      </c>
      <c r="C97" s="125" t="s">
        <v>21</v>
      </c>
      <c r="D97" s="91">
        <v>45130</v>
      </c>
      <c r="E97" s="90" t="s">
        <v>84</v>
      </c>
      <c r="F97" s="92" t="s">
        <v>275</v>
      </c>
      <c r="G97" s="92" t="s">
        <v>328</v>
      </c>
      <c r="H97" s="111">
        <v>17.263999999999999</v>
      </c>
      <c r="I97" s="122">
        <v>5136</v>
      </c>
      <c r="J97" s="76" t="str">
        <f>VLOOKUP(G97,'[2]Vendor list'!$A$3:$D$406,4,0)</f>
        <v>FCA</v>
      </c>
      <c r="K97" s="76">
        <f t="shared" si="9"/>
        <v>1</v>
      </c>
      <c r="L97" s="95">
        <f t="shared" si="10"/>
        <v>64.733999999999995</v>
      </c>
      <c r="M97" s="82">
        <f>VLOOKUP(F97,Appendix!$B$7:$N$1048576,13,0)</f>
        <v>376000</v>
      </c>
      <c r="N97" s="82">
        <f>K97*H97*[2]Add.fees!$F$11</f>
        <v>146571.35999999999</v>
      </c>
      <c r="O97" s="96">
        <f>IF(AND(C97=[2]Add.fees!$G$4),[2]Add.fees!$E$7,IF(AND(C97=[2]Add.fees!$G$5),[2]Add.fees!$E$7,IF(AND(C97=[2]Add.fees!$G$6),[2]Add.fees!$F$7,0)))*(H97/L97*K97)</f>
        <v>51684.790063954031</v>
      </c>
      <c r="P97" s="96">
        <f>IF(AND(C97=[2]Add.fees!$G$4),[2]Add.fees!$E$4,IF(AND(C97=[2]Add.fees!$G$5),[2]Add.fees!$E$4,IF(AND(C97=[2]Add.fees!$G$6),[2]Add.fees!$F$4,0)))*(H97/L97*K97)</f>
        <v>13334.569159946861</v>
      </c>
      <c r="Q97" s="96">
        <f>IF(AND(C97=[2]Add.fees!$G$4),[2]Add.fees!$E$5,IF(AND(C97=[2]Add.fees!$G$5),[2]Add.fees!$E$5,IF(AND(C97=[2]Add.fees!$G$6),[2]Add.fees!$F$5,0)))*(H97/L97*K97)</f>
        <v>49444.58244508296</v>
      </c>
      <c r="R97" s="96">
        <f>IF(AND(C97=[2]Add.fees!$G$4),[2]Add.fees!$E$6,IF(AND(C97=[2]Add.fees!$G$5),[2]Add.fees!$E$6,IF(AND(C97=[2]Add.fees!$G$6),[2]Add.fees!$F$6,0)))*(H97/L97*K97)</f>
        <v>2426.8915871103286</v>
      </c>
      <c r="S97" s="82">
        <v>0</v>
      </c>
      <c r="T97" s="96">
        <f>IF(AND(C97=[2]Add.fees!$G$4,Appendix!D98=[2]Add.fees!$G$8),[2]Add.fees!$E$8,IF(AND(C97=[2]Add.fees!$G$5,Appendix!D98=[2]Add.fees!$G$8),[2]Add.fees!$E$8,IF(AND(C97=[2]Add.fees!$G$6,Appendix!D98=[2]Add.fees!$G$8),[2]Add.fees!$F$8,IF(AND(C97=[2]Add.fees!$G$4,Appendix!D98=[2]Add.fees!$G$9),[2]Add.fees!$E$9,IF(AND(C97=[2]Add.fees!$G$5,Appendix!D98=[2]Add.fees!$G$9),[2]Add.fees!$E$9,IF(AND(C97=[2]Add.fees!$G$6,Appendix!D98=[2]Add.fees!$G$9),[2]Add.fees!$F$9,0))))))*(H97/L97*K97)</f>
        <v>74806.932987301887</v>
      </c>
      <c r="U97" s="96">
        <v>0</v>
      </c>
      <c r="V97" s="96">
        <f t="shared" si="7"/>
        <v>714269.12624339608</v>
      </c>
      <c r="W97" s="97">
        <f t="shared" si="11"/>
        <v>555.29</v>
      </c>
      <c r="X97" s="84">
        <f t="shared" si="12"/>
        <v>1875.4499999999998</v>
      </c>
      <c r="Y97" s="85">
        <f t="shared" si="13"/>
        <v>0</v>
      </c>
      <c r="Z97" s="86">
        <f t="shared" si="14"/>
        <v>0</v>
      </c>
      <c r="AC97" s="124">
        <v>27722.240000000002</v>
      </c>
      <c r="AD97" s="85">
        <v>555.29</v>
      </c>
      <c r="AE97" s="145">
        <f t="shared" si="8"/>
        <v>0</v>
      </c>
    </row>
    <row r="98" spans="1:31" s="85" customFormat="1" ht="15">
      <c r="A98" s="317"/>
      <c r="B98" s="89" t="s">
        <v>373</v>
      </c>
      <c r="C98" s="125" t="s">
        <v>21</v>
      </c>
      <c r="D98" s="91">
        <v>45130</v>
      </c>
      <c r="E98" s="90" t="s">
        <v>84</v>
      </c>
      <c r="F98" s="92" t="s">
        <v>276</v>
      </c>
      <c r="G98" s="92" t="s">
        <v>328</v>
      </c>
      <c r="H98" s="111">
        <v>17.263999999999999</v>
      </c>
      <c r="I98" s="122">
        <v>5136</v>
      </c>
      <c r="J98" s="76" t="str">
        <f>VLOOKUP(G98,'[2]Vendor list'!$A$3:$D$406,4,0)</f>
        <v>FCA</v>
      </c>
      <c r="K98" s="76">
        <f t="shared" si="9"/>
        <v>1</v>
      </c>
      <c r="L98" s="95">
        <f t="shared" si="10"/>
        <v>64.733999999999995</v>
      </c>
      <c r="M98" s="82">
        <f>VLOOKUP(F98,Appendix!$B$7:$N$1048576,13,0)</f>
        <v>376000</v>
      </c>
      <c r="N98" s="82">
        <f>K98*H98*[2]Add.fees!$F$11</f>
        <v>146571.35999999999</v>
      </c>
      <c r="O98" s="96">
        <f>IF(AND(C98=[2]Add.fees!$G$4),[2]Add.fees!$E$7,IF(AND(C98=[2]Add.fees!$G$5),[2]Add.fees!$E$7,IF(AND(C98=[2]Add.fees!$G$6),[2]Add.fees!$F$7,0)))*(H98/L98*K98)</f>
        <v>51684.790063954031</v>
      </c>
      <c r="P98" s="96">
        <f>IF(AND(C98=[2]Add.fees!$G$4),[2]Add.fees!$E$4,IF(AND(C98=[2]Add.fees!$G$5),[2]Add.fees!$E$4,IF(AND(C98=[2]Add.fees!$G$6),[2]Add.fees!$F$4,0)))*(H98/L98*K98)</f>
        <v>13334.569159946861</v>
      </c>
      <c r="Q98" s="96">
        <f>IF(AND(C98=[2]Add.fees!$G$4),[2]Add.fees!$E$5,IF(AND(C98=[2]Add.fees!$G$5),[2]Add.fees!$E$5,IF(AND(C98=[2]Add.fees!$G$6),[2]Add.fees!$F$5,0)))*(H98/L98*K98)</f>
        <v>49444.58244508296</v>
      </c>
      <c r="R98" s="96">
        <f>IF(AND(C98=[2]Add.fees!$G$4),[2]Add.fees!$E$6,IF(AND(C98=[2]Add.fees!$G$5),[2]Add.fees!$E$6,IF(AND(C98=[2]Add.fees!$G$6),[2]Add.fees!$F$6,0)))*(H98/L98*K98)</f>
        <v>2426.8915871103286</v>
      </c>
      <c r="S98" s="82">
        <v>0</v>
      </c>
      <c r="T98" s="96">
        <f>IF(AND(C98=[2]Add.fees!$G$4,Appendix!D99=[2]Add.fees!$G$8),[2]Add.fees!$E$8,IF(AND(C98=[2]Add.fees!$G$5,Appendix!D99=[2]Add.fees!$G$8),[2]Add.fees!$E$8,IF(AND(C98=[2]Add.fees!$G$6,Appendix!D99=[2]Add.fees!$G$8),[2]Add.fees!$F$8,IF(AND(C98=[2]Add.fees!$G$4,Appendix!D99=[2]Add.fees!$G$9),[2]Add.fees!$E$9,IF(AND(C98=[2]Add.fees!$G$5,Appendix!D99=[2]Add.fees!$G$9),[2]Add.fees!$E$9,IF(AND(C98=[2]Add.fees!$G$6,Appendix!D99=[2]Add.fees!$G$9),[2]Add.fees!$F$9,0))))))*(H98/L98*K98)</f>
        <v>74806.932987301887</v>
      </c>
      <c r="U98" s="96">
        <v>0</v>
      </c>
      <c r="V98" s="96">
        <f t="shared" si="7"/>
        <v>714269.12624339608</v>
      </c>
      <c r="W98" s="97">
        <f t="shared" si="11"/>
        <v>555.29</v>
      </c>
      <c r="X98" s="84">
        <f t="shared" si="12"/>
        <v>1875.4499999999998</v>
      </c>
      <c r="Y98" s="85">
        <f t="shared" si="13"/>
        <v>0</v>
      </c>
      <c r="Z98" s="86">
        <f t="shared" si="14"/>
        <v>0</v>
      </c>
      <c r="AC98" s="88">
        <v>27722.240000000002</v>
      </c>
      <c r="AD98" s="85">
        <v>555.29</v>
      </c>
      <c r="AE98" s="145">
        <f t="shared" si="8"/>
        <v>0</v>
      </c>
    </row>
    <row r="99" spans="1:31" s="85" customFormat="1" ht="15" outlineLevel="1">
      <c r="A99" s="128">
        <v>19</v>
      </c>
      <c r="B99" s="89" t="s">
        <v>374</v>
      </c>
      <c r="C99" s="125" t="s">
        <v>21</v>
      </c>
      <c r="D99" s="91">
        <v>45130</v>
      </c>
      <c r="E99" s="90" t="s">
        <v>84</v>
      </c>
      <c r="F99" s="126" t="s">
        <v>278</v>
      </c>
      <c r="G99" s="92" t="s">
        <v>95</v>
      </c>
      <c r="H99" s="93">
        <v>54.673999999999999</v>
      </c>
      <c r="I99" s="122">
        <v>3815.36</v>
      </c>
      <c r="J99" s="76" t="str">
        <f>VLOOKUP(G99,'[2]Vendor list'!$A$3:$D$406,4,0)</f>
        <v>FCA</v>
      </c>
      <c r="K99" s="76">
        <f t="shared" si="9"/>
        <v>1</v>
      </c>
      <c r="L99" s="95">
        <f t="shared" si="10"/>
        <v>54.673999999999999</v>
      </c>
      <c r="M99" s="82">
        <f>VLOOKUP(F99,Appendix!$B$7:$N$1048576,13,0)</f>
        <v>1504000</v>
      </c>
      <c r="N99" s="82">
        <f>K99*H99*[2]Add.fees!$F$11</f>
        <v>464182.26</v>
      </c>
      <c r="O99" s="96">
        <f>IF(AND(C99=[2]Add.fees!$G$4),[2]Add.fees!$E$7,IF(AND(C99=[2]Add.fees!$G$5),[2]Add.fees!$E$7,IF(AND(C99=[2]Add.fees!$G$6),[2]Add.fees!$F$7,0)))*(H99/L99*K99)</f>
        <v>193800</v>
      </c>
      <c r="P99" s="96">
        <f>IF(AND(C99=[2]Add.fees!$G$4),[2]Add.fees!$E$4,IF(AND(C99=[2]Add.fees!$G$5),[2]Add.fees!$E$4,IF(AND(C99=[2]Add.fees!$G$6),[2]Add.fees!$F$4,0)))*(H99/L99*K99)</f>
        <v>50000</v>
      </c>
      <c r="Q99" s="96">
        <f>IF(AND(C99=[2]Add.fees!$G$4),[2]Add.fees!$E$5,IF(AND(C99=[2]Add.fees!$G$5),[2]Add.fees!$E$5,IF(AND(C99=[2]Add.fees!$G$6),[2]Add.fees!$F$5,0)))*(H99/L99*K99)</f>
        <v>185400</v>
      </c>
      <c r="R99" s="96">
        <f>IF(AND(C99=[2]Add.fees!$G$4),[2]Add.fees!$E$6,IF(AND(C99=[2]Add.fees!$G$5),[2]Add.fees!$E$6,IF(AND(C99=[2]Add.fees!$G$6),[2]Add.fees!$F$6,0)))*(H99/L99*K99)</f>
        <v>9100</v>
      </c>
      <c r="S99" s="82">
        <v>0</v>
      </c>
      <c r="T99" s="96">
        <f>IF(AND(C99=[2]Add.fees!$G$4,Appendix!D100=[2]Add.fees!$G$8),[2]Add.fees!$E$8,IF(AND(C99=[2]Add.fees!$G$5,Appendix!D100=[2]Add.fees!$G$8),[2]Add.fees!$E$8,IF(AND(C99=[2]Add.fees!$G$6,Appendix!D100=[2]Add.fees!$G$8),[2]Add.fees!$F$8,IF(AND(C99=[2]Add.fees!$G$4,Appendix!D100=[2]Add.fees!$G$9),[2]Add.fees!$E$9,IF(AND(C99=[2]Add.fees!$G$5,Appendix!D100=[2]Add.fees!$G$9),[2]Add.fees!$E$9,IF(AND(C99=[2]Add.fees!$G$6,Appendix!D100=[2]Add.fees!$G$9),[2]Add.fees!$F$9,0))))))*(H99/L99*K99)</f>
        <v>280500</v>
      </c>
      <c r="U99" s="96">
        <v>0</v>
      </c>
      <c r="V99" s="96">
        <f t="shared" si="7"/>
        <v>2686982.26</v>
      </c>
      <c r="W99" s="97">
        <f t="shared" si="11"/>
        <v>2088.92</v>
      </c>
      <c r="X99" s="84">
        <f t="shared" si="12"/>
        <v>2088.92</v>
      </c>
      <c r="Y99" s="85">
        <f t="shared" si="13"/>
        <v>1</v>
      </c>
      <c r="Z99" s="86">
        <f t="shared" si="14"/>
        <v>2088.92</v>
      </c>
      <c r="AC99" s="127">
        <v>16112.64</v>
      </c>
      <c r="AD99" s="85">
        <v>2088.92</v>
      </c>
      <c r="AE99" s="145">
        <f t="shared" si="8"/>
        <v>0</v>
      </c>
    </row>
    <row r="100" spans="1:31" s="85" customFormat="1" ht="15" outlineLevel="1">
      <c r="A100" s="314">
        <v>20</v>
      </c>
      <c r="B100" s="89" t="s">
        <v>375</v>
      </c>
      <c r="C100" s="125" t="s">
        <v>21</v>
      </c>
      <c r="D100" s="91">
        <v>45130</v>
      </c>
      <c r="E100" s="90" t="s">
        <v>84</v>
      </c>
      <c r="F100" s="126" t="s">
        <v>280</v>
      </c>
      <c r="G100" s="92" t="s">
        <v>95</v>
      </c>
      <c r="H100" s="93">
        <v>34.170999999999999</v>
      </c>
      <c r="I100" s="122">
        <v>2384.6</v>
      </c>
      <c r="J100" s="76" t="str">
        <f>VLOOKUP(G100,'[2]Vendor list'!$A$3:$D$406,4,0)</f>
        <v>FCA</v>
      </c>
      <c r="K100" s="76">
        <f t="shared" si="9"/>
        <v>1</v>
      </c>
      <c r="L100" s="95">
        <f t="shared" si="10"/>
        <v>59.971000000000004</v>
      </c>
      <c r="M100" s="82">
        <f>VLOOKUP(F100,Appendix!$B$7:$N$1048576,13,0)</f>
        <v>1164000</v>
      </c>
      <c r="N100" s="82">
        <f>K100*H100*[2]Add.fees!$F$11</f>
        <v>290111.78999999998</v>
      </c>
      <c r="O100" s="96">
        <f>IF(AND(C100=[2]Add.fees!$G$4),[2]Add.fees!$E$7,IF(AND(C100=[2]Add.fees!$G$5),[2]Add.fees!$E$7,IF(AND(C100=[2]Add.fees!$G$6),[2]Add.fees!$F$7,0)))*(H100/L100*K100)</f>
        <v>110425.7024228377</v>
      </c>
      <c r="P100" s="96">
        <f>IF(AND(C100=[2]Add.fees!$G$4),[2]Add.fees!$E$4,IF(AND(C100=[2]Add.fees!$G$5),[2]Add.fees!$E$4,IF(AND(C100=[2]Add.fees!$G$6),[2]Add.fees!$F$4,0)))*(H100/L100*K100)</f>
        <v>28489.603308265661</v>
      </c>
      <c r="Q100" s="96">
        <f>IF(AND(C100=[2]Add.fees!$G$4),[2]Add.fees!$E$5,IF(AND(C100=[2]Add.fees!$G$5),[2]Add.fees!$E$5,IF(AND(C100=[2]Add.fees!$G$6),[2]Add.fees!$F$5,0)))*(H100/L100*K100)</f>
        <v>105639.44906704906</v>
      </c>
      <c r="R100" s="96">
        <f>IF(AND(C100=[2]Add.fees!$G$4),[2]Add.fees!$E$6,IF(AND(C100=[2]Add.fees!$G$5),[2]Add.fees!$E$6,IF(AND(C100=[2]Add.fees!$G$6),[2]Add.fees!$F$6,0)))*(H100/L100*K100)</f>
        <v>5185.1078021043504</v>
      </c>
      <c r="S100" s="82">
        <v>0</v>
      </c>
      <c r="T100" s="96">
        <f>IF(AND(C100=[2]Add.fees!$G$4,Appendix!D101=[2]Add.fees!$G$8),[2]Add.fees!$E$8,IF(AND(C100=[2]Add.fees!$G$5,Appendix!D101=[2]Add.fees!$G$8),[2]Add.fees!$E$8,IF(AND(C100=[2]Add.fees!$G$6,Appendix!D101=[2]Add.fees!$G$8),[2]Add.fees!$F$8,IF(AND(C100=[2]Add.fees!$G$4,Appendix!D101=[2]Add.fees!$G$9),[2]Add.fees!$E$9,IF(AND(C100=[2]Add.fees!$G$5,Appendix!D101=[2]Add.fees!$G$9),[2]Add.fees!$E$9,IF(AND(C100=[2]Add.fees!$G$6,Appendix!D101=[2]Add.fees!$G$9),[2]Add.fees!$F$9,0))))))*(H100/L100*K100)</f>
        <v>159826.67455937035</v>
      </c>
      <c r="U100" s="96">
        <v>0</v>
      </c>
      <c r="V100" s="96">
        <f t="shared" ref="V100:V125" si="15">SUM(M100:U100)</f>
        <v>1863678.3271596271</v>
      </c>
      <c r="W100" s="97">
        <f t="shared" si="11"/>
        <v>1448.87</v>
      </c>
      <c r="X100" s="84">
        <f t="shared" si="12"/>
        <v>2286.37</v>
      </c>
      <c r="Y100" s="85">
        <f t="shared" si="13"/>
        <v>1</v>
      </c>
      <c r="Z100" s="86">
        <f t="shared" si="14"/>
        <v>2286.37</v>
      </c>
      <c r="AC100" s="127">
        <v>10070.4</v>
      </c>
      <c r="AD100" s="85">
        <v>1448.87</v>
      </c>
      <c r="AE100" s="145">
        <f t="shared" si="8"/>
        <v>0</v>
      </c>
    </row>
    <row r="101" spans="1:31" s="85" customFormat="1" ht="15" outlineLevel="1">
      <c r="A101" s="317"/>
      <c r="B101" s="89" t="s">
        <v>375</v>
      </c>
      <c r="C101" s="125" t="s">
        <v>21</v>
      </c>
      <c r="D101" s="91">
        <v>45130</v>
      </c>
      <c r="E101" s="90" t="s">
        <v>84</v>
      </c>
      <c r="F101" s="126" t="s">
        <v>281</v>
      </c>
      <c r="G101" s="92" t="s">
        <v>97</v>
      </c>
      <c r="H101" s="93">
        <v>25.8</v>
      </c>
      <c r="I101" s="94">
        <v>4738.5600000000004</v>
      </c>
      <c r="J101" s="76" t="str">
        <f>VLOOKUP(G101,'[2]Vendor list'!$A$3:$D$406,4,0)</f>
        <v>FCA</v>
      </c>
      <c r="K101" s="76">
        <f t="shared" si="9"/>
        <v>1</v>
      </c>
      <c r="L101" s="95">
        <f t="shared" si="10"/>
        <v>59.971000000000004</v>
      </c>
      <c r="M101" s="82">
        <f>VLOOKUP(F101,Appendix!$B$7:$N$1048576,13,0)</f>
        <v>549000</v>
      </c>
      <c r="N101" s="82">
        <f>K101*H101*[2]Add.fees!$F$11</f>
        <v>219042</v>
      </c>
      <c r="O101" s="96">
        <f>IF(AND(C101=[2]Add.fees!$G$4),[2]Add.fees!$E$7,IF(AND(C101=[2]Add.fees!$G$5),[2]Add.fees!$E$7,IF(AND(C101=[2]Add.fees!$G$6),[2]Add.fees!$F$7,0)))*(H101/L101*K101)</f>
        <v>83374.297577162288</v>
      </c>
      <c r="P101" s="96">
        <f>IF(AND(C101=[2]Add.fees!$G$4),[2]Add.fees!$E$4,IF(AND(C101=[2]Add.fees!$G$5),[2]Add.fees!$E$4,IF(AND(C101=[2]Add.fees!$G$6),[2]Add.fees!$F$4,0)))*(H101/L101*K101)</f>
        <v>21510.396691734339</v>
      </c>
      <c r="Q101" s="96">
        <f>IF(AND(C101=[2]Add.fees!$G$4),[2]Add.fees!$E$5,IF(AND(C101=[2]Add.fees!$G$5),[2]Add.fees!$E$5,IF(AND(C101=[2]Add.fees!$G$6),[2]Add.fees!$F$5,0)))*(H101/L101*K101)</f>
        <v>79760.550932950922</v>
      </c>
      <c r="R101" s="96">
        <f>IF(AND(C101=[2]Add.fees!$G$4),[2]Add.fees!$E$6,IF(AND(C101=[2]Add.fees!$G$5),[2]Add.fees!$E$6,IF(AND(C101=[2]Add.fees!$G$6),[2]Add.fees!$F$6,0)))*(H101/L101*K101)</f>
        <v>3914.8921978956496</v>
      </c>
      <c r="S101" s="82">
        <v>0</v>
      </c>
      <c r="T101" s="96">
        <f>IF(AND(C101=[2]Add.fees!$G$4,Appendix!D102=[2]Add.fees!$G$8),[2]Add.fees!$E$8,IF(AND(C101=[2]Add.fees!$G$5,Appendix!D102=[2]Add.fees!$G$8),[2]Add.fees!$E$8,IF(AND(C101=[2]Add.fees!$G$6,Appendix!D102=[2]Add.fees!$G$8),[2]Add.fees!$F$8,IF(AND(C101=[2]Add.fees!$G$4,Appendix!D102=[2]Add.fees!$G$9),[2]Add.fees!$E$9,IF(AND(C101=[2]Add.fees!$G$5,Appendix!D102=[2]Add.fees!$G$9),[2]Add.fees!$E$9,IF(AND(C101=[2]Add.fees!$G$6,Appendix!D102=[2]Add.fees!$G$9),[2]Add.fees!$F$9,0))))))*(H101/L101*K101)</f>
        <v>120673.32544062963</v>
      </c>
      <c r="U101" s="96">
        <v>0</v>
      </c>
      <c r="V101" s="96">
        <f t="shared" si="15"/>
        <v>1077275.4628403729</v>
      </c>
      <c r="W101" s="97">
        <f t="shared" si="11"/>
        <v>837.5</v>
      </c>
      <c r="X101" s="84">
        <f t="shared" si="12"/>
        <v>2286.37</v>
      </c>
      <c r="Y101" s="85">
        <f t="shared" si="13"/>
        <v>0</v>
      </c>
      <c r="Z101" s="86">
        <f t="shared" si="14"/>
        <v>0</v>
      </c>
      <c r="AC101" s="127">
        <v>57507.839999999997</v>
      </c>
      <c r="AD101" s="85">
        <v>837.5</v>
      </c>
      <c r="AE101" s="145">
        <f t="shared" si="8"/>
        <v>0</v>
      </c>
    </row>
    <row r="102" spans="1:31" s="87" customFormat="1" ht="15" outlineLevel="1">
      <c r="A102" s="314">
        <v>21</v>
      </c>
      <c r="B102" s="89" t="s">
        <v>376</v>
      </c>
      <c r="C102" s="125" t="s">
        <v>21</v>
      </c>
      <c r="D102" s="91">
        <v>45130</v>
      </c>
      <c r="E102" s="90" t="s">
        <v>84</v>
      </c>
      <c r="F102" s="126" t="s">
        <v>377</v>
      </c>
      <c r="G102" s="92" t="s">
        <v>85</v>
      </c>
      <c r="H102" s="93">
        <v>12.349</v>
      </c>
      <c r="I102" s="122">
        <v>9240</v>
      </c>
      <c r="J102" s="76" t="str">
        <f>VLOOKUP(G102,'[2]Vendor list'!$A$3:$D$406,4,0)</f>
        <v>FCA</v>
      </c>
      <c r="K102" s="76">
        <f t="shared" si="9"/>
        <v>1</v>
      </c>
      <c r="L102" s="95">
        <f t="shared" si="10"/>
        <v>57.853999999999999</v>
      </c>
      <c r="M102" s="82">
        <f>VLOOKUP(F102,Appendix!$B$7:$N$1048576,13,0)</f>
        <v>752000</v>
      </c>
      <c r="N102" s="82">
        <f>K102*H102*[2]Add.fees!$F$11</f>
        <v>104843.01</v>
      </c>
      <c r="O102" s="96">
        <f>IF(AND(C102=[2]Add.fees!$G$4),[2]Add.fees!$E$7,IF(AND(C102=[2]Add.fees!$G$5),[2]Add.fees!$E$7,IF(AND(C102=[2]Add.fees!$G$6),[2]Add.fees!$F$7,0)))*(H102/L102*K102)</f>
        <v>41366.823382998584</v>
      </c>
      <c r="P102" s="96">
        <f>IF(AND(C102=[2]Add.fees!$G$4),[2]Add.fees!$E$4,IF(AND(C102=[2]Add.fees!$G$5),[2]Add.fees!$E$4,IF(AND(C102=[2]Add.fees!$G$6),[2]Add.fees!$F$4,0)))*(H102/L102*K102)</f>
        <v>10672.555052373216</v>
      </c>
      <c r="Q102" s="96">
        <f>IF(AND(C102=[2]Add.fees!$G$4),[2]Add.fees!$E$5,IF(AND(C102=[2]Add.fees!$G$5),[2]Add.fees!$E$5,IF(AND(C102=[2]Add.fees!$G$6),[2]Add.fees!$F$5,0)))*(H102/L102*K102)</f>
        <v>39573.834134199882</v>
      </c>
      <c r="R102" s="96">
        <f>IF(AND(C102=[2]Add.fees!$G$4),[2]Add.fees!$E$6,IF(AND(C102=[2]Add.fees!$G$5),[2]Add.fees!$E$6,IF(AND(C102=[2]Add.fees!$G$6),[2]Add.fees!$F$6,0)))*(H102/L102*K102)</f>
        <v>1942.4050195319253</v>
      </c>
      <c r="S102" s="82">
        <v>0</v>
      </c>
      <c r="T102" s="96">
        <f>IF(AND(C102=[2]Add.fees!$G$4,Appendix!D103=[2]Add.fees!$G$8),[2]Add.fees!$E$8,IF(AND(C102=[2]Add.fees!$G$5,Appendix!D103=[2]Add.fees!$G$8),[2]Add.fees!$E$8,IF(AND(C102=[2]Add.fees!$G$6,Appendix!D103=[2]Add.fees!$G$8),[2]Add.fees!$F$8,IF(AND(C102=[2]Add.fees!$G$4,Appendix!D103=[2]Add.fees!$G$9),[2]Add.fees!$E$9,IF(AND(C102=[2]Add.fees!$G$5,Appendix!D103=[2]Add.fees!$G$9),[2]Add.fees!$E$9,IF(AND(C102=[2]Add.fees!$G$6,Appendix!D103=[2]Add.fees!$G$9),[2]Add.fees!$F$9,0))))))*(H102/L102*K102)</f>
        <v>59873.033843813741</v>
      </c>
      <c r="U102" s="96">
        <v>0</v>
      </c>
      <c r="V102" s="96">
        <f t="shared" si="15"/>
        <v>1010271.6614329173</v>
      </c>
      <c r="W102" s="97">
        <f t="shared" si="11"/>
        <v>785.41</v>
      </c>
      <c r="X102" s="84">
        <f t="shared" si="12"/>
        <v>2601.63</v>
      </c>
      <c r="Y102" s="85">
        <f t="shared" si="13"/>
        <v>1</v>
      </c>
      <c r="Z102" s="86">
        <f t="shared" si="14"/>
        <v>2601.63</v>
      </c>
      <c r="AC102" s="127">
        <v>33708</v>
      </c>
      <c r="AD102" s="87">
        <v>785.41</v>
      </c>
      <c r="AE102" s="145">
        <f t="shared" si="8"/>
        <v>0</v>
      </c>
    </row>
    <row r="103" spans="1:31" s="85" customFormat="1" ht="16.5" customHeight="1" outlineLevel="1">
      <c r="A103" s="317"/>
      <c r="B103" s="89" t="s">
        <v>376</v>
      </c>
      <c r="C103" s="125" t="s">
        <v>21</v>
      </c>
      <c r="D103" s="91">
        <v>45130</v>
      </c>
      <c r="E103" s="90" t="s">
        <v>84</v>
      </c>
      <c r="F103" s="126" t="s">
        <v>284</v>
      </c>
      <c r="G103" s="92" t="s">
        <v>95</v>
      </c>
      <c r="H103" s="93">
        <v>45.505000000000003</v>
      </c>
      <c r="I103" s="122">
        <v>3998.8</v>
      </c>
      <c r="J103" s="76" t="str">
        <f>VLOOKUP(G103,'[2]Vendor list'!$A$3:$D$406,4,0)</f>
        <v>FCA</v>
      </c>
      <c r="K103" s="76">
        <f t="shared" si="9"/>
        <v>1</v>
      </c>
      <c r="L103" s="95">
        <f t="shared" si="10"/>
        <v>57.853999999999999</v>
      </c>
      <c r="M103" s="82">
        <f>VLOOKUP(F103,Appendix!$B$7:$N$1048576,13,0)</f>
        <v>1384500</v>
      </c>
      <c r="N103" s="82">
        <f>K103*H103*[2]Add.fees!$F$11</f>
        <v>386337.45</v>
      </c>
      <c r="O103" s="96">
        <f>IF(AND(C103=[2]Add.fees!$G$4),[2]Add.fees!$E$7,IF(AND(C103=[2]Add.fees!$G$5),[2]Add.fees!$E$7,IF(AND(C103=[2]Add.fees!$G$6),[2]Add.fees!$F$7,0)))*(H103/L103*K103)</f>
        <v>152433.17661700145</v>
      </c>
      <c r="P103" s="96">
        <f>IF(AND(C103=[2]Add.fees!$G$4),[2]Add.fees!$E$4,IF(AND(C103=[2]Add.fees!$G$5),[2]Add.fees!$E$4,IF(AND(C103=[2]Add.fees!$G$6),[2]Add.fees!$F$4,0)))*(H103/L103*K103)</f>
        <v>39327.444947626791</v>
      </c>
      <c r="Q103" s="96">
        <f>IF(AND(C103=[2]Add.fees!$G$4),[2]Add.fees!$E$5,IF(AND(C103=[2]Add.fees!$G$5),[2]Add.fees!$E$5,IF(AND(C103=[2]Add.fees!$G$6),[2]Add.fees!$F$5,0)))*(H103/L103*K103)</f>
        <v>145826.16586580014</v>
      </c>
      <c r="R103" s="96">
        <f>IF(AND(C103=[2]Add.fees!$G$4),[2]Add.fees!$E$6,IF(AND(C103=[2]Add.fees!$G$5),[2]Add.fees!$E$6,IF(AND(C103=[2]Add.fees!$G$6),[2]Add.fees!$F$6,0)))*(H103/L103*K103)</f>
        <v>7157.5949804680758</v>
      </c>
      <c r="S103" s="82">
        <v>0</v>
      </c>
      <c r="T103" s="96">
        <f>IF(AND(C103=[2]Add.fees!$G$4,Appendix!D104=[2]Add.fees!$G$8),[2]Add.fees!$E$8,IF(AND(C103=[2]Add.fees!$G$5,Appendix!D104=[2]Add.fees!$G$8),[2]Add.fees!$E$8,IF(AND(C103=[2]Add.fees!$G$6,Appendix!D104=[2]Add.fees!$G$8),[2]Add.fees!$F$8,IF(AND(C103=[2]Add.fees!$G$4,Appendix!D104=[2]Add.fees!$G$9),[2]Add.fees!$E$9,IF(AND(C103=[2]Add.fees!$G$5,Appendix!D104=[2]Add.fees!$G$9),[2]Add.fees!$E$9,IF(AND(C103=[2]Add.fees!$G$6,Appendix!D104=[2]Add.fees!$G$9),[2]Add.fees!$F$9,0))))))*(H103/L103*K103)</f>
        <v>220626.96615618627</v>
      </c>
      <c r="U103" s="96">
        <v>0</v>
      </c>
      <c r="V103" s="96">
        <f t="shared" si="15"/>
        <v>2336208.7985670827</v>
      </c>
      <c r="W103" s="97">
        <f t="shared" si="11"/>
        <v>1816.22</v>
      </c>
      <c r="X103" s="84">
        <f t="shared" si="12"/>
        <v>2601.63</v>
      </c>
      <c r="Y103" s="85">
        <f t="shared" si="13"/>
        <v>0</v>
      </c>
      <c r="Z103" s="86">
        <f t="shared" si="14"/>
        <v>0</v>
      </c>
      <c r="AC103" s="127">
        <v>27434.400000000001</v>
      </c>
      <c r="AD103" s="85">
        <v>1816.22</v>
      </c>
      <c r="AE103" s="145">
        <f t="shared" si="8"/>
        <v>0</v>
      </c>
    </row>
    <row r="104" spans="1:31" s="85" customFormat="1" ht="15" outlineLevel="1">
      <c r="A104" s="314">
        <v>22</v>
      </c>
      <c r="B104" s="89" t="s">
        <v>378</v>
      </c>
      <c r="C104" s="125" t="s">
        <v>21</v>
      </c>
      <c r="D104" s="91">
        <v>45130</v>
      </c>
      <c r="E104" s="90" t="s">
        <v>84</v>
      </c>
      <c r="F104" s="126" t="s">
        <v>379</v>
      </c>
      <c r="G104" s="92" t="s">
        <v>85</v>
      </c>
      <c r="H104" s="117">
        <v>10.291</v>
      </c>
      <c r="I104" s="129">
        <v>7700</v>
      </c>
      <c r="J104" s="76" t="str">
        <f>VLOOKUP(G104,'[2]Vendor list'!$A$3:$D$406,4,0)</f>
        <v>FCA</v>
      </c>
      <c r="K104" s="76">
        <f t="shared" si="9"/>
        <v>1</v>
      </c>
      <c r="L104" s="95">
        <f t="shared" si="10"/>
        <v>57.068000000000005</v>
      </c>
      <c r="M104" s="82">
        <f>VLOOKUP(F104,Appendix!$B$7:$N$1048576,13,0)</f>
        <v>698500</v>
      </c>
      <c r="N104" s="82">
        <f>K104*H104*[2]Add.fees!$F$11</f>
        <v>87370.59</v>
      </c>
      <c r="O104" s="96">
        <f>IF(AND(C104=[2]Add.fees!$G$4),[2]Add.fees!$E$7,IF(AND(C104=[2]Add.fees!$G$5),[2]Add.fees!$E$7,IF(AND(C104=[2]Add.fees!$G$6),[2]Add.fees!$F$7,0)))*(H104/L104*K104)</f>
        <v>34947.707997476697</v>
      </c>
      <c r="P104" s="96">
        <f>IF(AND(C104=[2]Add.fees!$G$4),[2]Add.fees!$E$4,IF(AND(C104=[2]Add.fees!$G$5),[2]Add.fees!$E$4,IF(AND(C104=[2]Add.fees!$G$6),[2]Add.fees!$F$4,0)))*(H104/L104*K104)</f>
        <v>9016.4365318567325</v>
      </c>
      <c r="Q104" s="96">
        <f>IF(AND(C104=[2]Add.fees!$G$4),[2]Add.fees!$E$5,IF(AND(C104=[2]Add.fees!$G$5),[2]Add.fees!$E$5,IF(AND(C104=[2]Add.fees!$G$6),[2]Add.fees!$F$5,0)))*(H104/L104*K104)</f>
        <v>33432.946660124762</v>
      </c>
      <c r="R104" s="96">
        <f>IF(AND(C104=[2]Add.fees!$G$4),[2]Add.fees!$E$6,IF(AND(C104=[2]Add.fees!$G$5),[2]Add.fees!$E$6,IF(AND(C104=[2]Add.fees!$G$6),[2]Add.fees!$F$6,0)))*(H104/L104*K104)</f>
        <v>1640.9914487979252</v>
      </c>
      <c r="S104" s="82">
        <v>0</v>
      </c>
      <c r="T104" s="96">
        <f>IF(AND(C104=[2]Add.fees!$G$4,Appendix!D105=[2]Add.fees!$G$8),[2]Add.fees!$E$8,IF(AND(C104=[2]Add.fees!$G$5,Appendix!D105=[2]Add.fees!$G$8),[2]Add.fees!$E$8,IF(AND(C104=[2]Add.fees!$G$6,Appendix!D105=[2]Add.fees!$G$8),[2]Add.fees!$F$8,IF(AND(C104=[2]Add.fees!$G$4,Appendix!D105=[2]Add.fees!$G$9),[2]Add.fees!$E$9,IF(AND(C104=[2]Add.fees!$G$5,Appendix!D105=[2]Add.fees!$G$9),[2]Add.fees!$E$9,IF(AND(C104=[2]Add.fees!$G$6,Appendix!D105=[2]Add.fees!$G$9),[2]Add.fees!$F$9,0))))))*(H104/L104*K104)</f>
        <v>50582.208943716265</v>
      </c>
      <c r="U104" s="96">
        <v>0</v>
      </c>
      <c r="V104" s="96">
        <f t="shared" si="15"/>
        <v>915490.88158197235</v>
      </c>
      <c r="W104" s="97">
        <f t="shared" si="11"/>
        <v>711.72</v>
      </c>
      <c r="X104" s="84">
        <f t="shared" si="12"/>
        <v>2409.0800000000004</v>
      </c>
      <c r="Y104" s="85">
        <f t="shared" si="13"/>
        <v>1</v>
      </c>
      <c r="Z104" s="86">
        <f t="shared" si="14"/>
        <v>2409.0800000000004</v>
      </c>
      <c r="AC104" s="127">
        <v>28090</v>
      </c>
      <c r="AD104" s="85">
        <v>711.72</v>
      </c>
      <c r="AE104" s="145">
        <f t="shared" si="8"/>
        <v>0</v>
      </c>
    </row>
    <row r="105" spans="1:31" s="85" customFormat="1" ht="15" outlineLevel="1">
      <c r="A105" s="316"/>
      <c r="B105" s="89" t="s">
        <v>378</v>
      </c>
      <c r="C105" s="125" t="s">
        <v>21</v>
      </c>
      <c r="D105" s="91">
        <v>45130</v>
      </c>
      <c r="E105" s="90" t="s">
        <v>84</v>
      </c>
      <c r="F105" s="126" t="s">
        <v>287</v>
      </c>
      <c r="G105" s="92" t="s">
        <v>207</v>
      </c>
      <c r="H105" s="93">
        <v>26.257000000000001</v>
      </c>
      <c r="I105" s="94">
        <v>3570</v>
      </c>
      <c r="J105" s="76" t="str">
        <f>VLOOKUP(G105,'[2]Vendor list'!$A$3:$D$406,4,0)</f>
        <v>FCA</v>
      </c>
      <c r="K105" s="76">
        <f t="shared" si="9"/>
        <v>1</v>
      </c>
      <c r="L105" s="95">
        <f t="shared" si="10"/>
        <v>57.068000000000005</v>
      </c>
      <c r="M105" s="82">
        <f>VLOOKUP(F105,Appendix!$B$7:$N$1048576,13,0)</f>
        <v>370000</v>
      </c>
      <c r="N105" s="82">
        <f>K105*H105*[2]Add.fees!$F$11</f>
        <v>222921.93000000002</v>
      </c>
      <c r="O105" s="96">
        <f>IF(AND(C105=[2]Add.fees!$G$4),[2]Add.fees!$E$7,IF(AND(C105=[2]Add.fees!$G$5),[2]Add.fees!$E$7,IF(AND(C105=[2]Add.fees!$G$6),[2]Add.fees!$F$7,0)))*(H105/L105*K105)</f>
        <v>89167.424826522736</v>
      </c>
      <c r="P105" s="96">
        <f>IF(AND(C105=[2]Add.fees!$G$4),[2]Add.fees!$E$4,IF(AND(C105=[2]Add.fees!$G$5),[2]Add.fees!$E$4,IF(AND(C105=[2]Add.fees!$G$6),[2]Add.fees!$F$4,0)))*(H105/L105*K105)</f>
        <v>23005.011565150347</v>
      </c>
      <c r="Q105" s="96">
        <f>IF(AND(C105=[2]Add.fees!$G$4),[2]Add.fees!$E$5,IF(AND(C105=[2]Add.fees!$G$5),[2]Add.fees!$E$5,IF(AND(C105=[2]Add.fees!$G$6),[2]Add.fees!$F$5,0)))*(H105/L105*K105)</f>
        <v>85302.582883577488</v>
      </c>
      <c r="R105" s="96">
        <f>IF(AND(C105=[2]Add.fees!$G$4),[2]Add.fees!$E$6,IF(AND(C105=[2]Add.fees!$G$5),[2]Add.fees!$E$6,IF(AND(C105=[2]Add.fees!$G$6),[2]Add.fees!$F$6,0)))*(H105/L105*K105)</f>
        <v>4186.9121048573634</v>
      </c>
      <c r="S105" s="82">
        <v>0</v>
      </c>
      <c r="T105" s="96">
        <f>IF(AND(C105=[2]Add.fees!$G$4,Appendix!D106=[2]Add.fees!$G$8),[2]Add.fees!$E$8,IF(AND(C105=[2]Add.fees!$G$5,Appendix!D106=[2]Add.fees!$G$8),[2]Add.fees!$E$8,IF(AND(C105=[2]Add.fees!$G$6,Appendix!D106=[2]Add.fees!$G$8),[2]Add.fees!$F$8,IF(AND(C105=[2]Add.fees!$G$4,Appendix!D106=[2]Add.fees!$G$9),[2]Add.fees!$E$9,IF(AND(C105=[2]Add.fees!$G$5,Appendix!D106=[2]Add.fees!$G$9),[2]Add.fees!$E$9,IF(AND(C105=[2]Add.fees!$G$6,Appendix!D106=[2]Add.fees!$G$9),[2]Add.fees!$F$9,0))))))*(H105/L105*K105)</f>
        <v>129058.11488049345</v>
      </c>
      <c r="U105" s="96">
        <v>0</v>
      </c>
      <c r="V105" s="96">
        <f t="shared" si="15"/>
        <v>923641.97626060143</v>
      </c>
      <c r="W105" s="97">
        <f t="shared" si="11"/>
        <v>718.06</v>
      </c>
      <c r="X105" s="84">
        <f t="shared" si="12"/>
        <v>2409.0800000000004</v>
      </c>
      <c r="Y105" s="85">
        <f t="shared" si="13"/>
        <v>0</v>
      </c>
      <c r="Z105" s="86">
        <f t="shared" si="14"/>
        <v>0</v>
      </c>
      <c r="AC105" s="127">
        <v>17539.2</v>
      </c>
      <c r="AD105" s="85">
        <v>718.06</v>
      </c>
      <c r="AE105" s="145">
        <f t="shared" si="8"/>
        <v>0</v>
      </c>
    </row>
    <row r="106" spans="1:31" s="85" customFormat="1" ht="15" outlineLevel="1">
      <c r="A106" s="316"/>
      <c r="B106" s="89" t="s">
        <v>378</v>
      </c>
      <c r="C106" s="125" t="s">
        <v>21</v>
      </c>
      <c r="D106" s="91">
        <v>45130</v>
      </c>
      <c r="E106" s="90" t="s">
        <v>84</v>
      </c>
      <c r="F106" s="126" t="s">
        <v>288</v>
      </c>
      <c r="G106" s="92" t="s">
        <v>380</v>
      </c>
      <c r="H106" s="93">
        <v>8.3460000000000001</v>
      </c>
      <c r="I106" s="122">
        <v>586.79999999999995</v>
      </c>
      <c r="J106" s="151" t="str">
        <f>VLOOKUP(G106,'[2]Vendor list'!$A$3:$D$406,4,0)</f>
        <v>FCA</v>
      </c>
      <c r="K106" s="76">
        <f t="shared" si="9"/>
        <v>1</v>
      </c>
      <c r="L106" s="95">
        <f t="shared" si="10"/>
        <v>57.068000000000005</v>
      </c>
      <c r="M106" s="82">
        <f>VLOOKUP(F106,Appendix!$B$7:$N$1048576,13,0)</f>
        <v>448000</v>
      </c>
      <c r="N106" s="82">
        <f>K106*H106*[2]Add.fees!$F$11</f>
        <v>70857.539999999994</v>
      </c>
      <c r="O106" s="96">
        <f>IF(AND(C106=[2]Add.fees!$G$4),[2]Add.fees!$E$7,IF(AND(C106=[2]Add.fees!$G$5),[2]Add.fees!$E$7,IF(AND(C106=[2]Add.fees!$G$6),[2]Add.fees!$F$7,0)))*(H106/L106*K106)</f>
        <v>28342.587790004905</v>
      </c>
      <c r="P106" s="96">
        <f>IF(AND(C106=[2]Add.fees!$G$4),[2]Add.fees!$E$4,IF(AND(C106=[2]Add.fees!$G$5),[2]Add.fees!$E$4,IF(AND(C106=[2]Add.fees!$G$6),[2]Add.fees!$F$4,0)))*(H106/L106*K106)</f>
        <v>7312.3291511880561</v>
      </c>
      <c r="Q106" s="96">
        <f>IF(AND(C106=[2]Add.fees!$G$4),[2]Add.fees!$E$5,IF(AND(C106=[2]Add.fees!$G$5),[2]Add.fees!$E$5,IF(AND(C106=[2]Add.fees!$G$6),[2]Add.fees!$F$5,0)))*(H106/L106*K106)</f>
        <v>27114.11649260531</v>
      </c>
      <c r="R106" s="96">
        <f>IF(AND(C106=[2]Add.fees!$G$4),[2]Add.fees!$E$6,IF(AND(C106=[2]Add.fees!$G$5),[2]Add.fees!$E$6,IF(AND(C106=[2]Add.fees!$G$6),[2]Add.fees!$F$6,0)))*(H106/L106*K106)</f>
        <v>1330.8439055162262</v>
      </c>
      <c r="S106" s="82">
        <v>0</v>
      </c>
      <c r="T106" s="96">
        <f>IF(AND(C106=[2]Add.fees!$G$4,Appendix!D107=[2]Add.fees!$G$8),[2]Add.fees!$E$8,IF(AND(C106=[2]Add.fees!$G$5,Appendix!D107=[2]Add.fees!$G$8),[2]Add.fees!$E$8,IF(AND(C106=[2]Add.fees!$G$6,Appendix!D107=[2]Add.fees!$G$8),[2]Add.fees!$F$8,IF(AND(C106=[2]Add.fees!$G$4,Appendix!D107=[2]Add.fees!$G$9),[2]Add.fees!$E$9,IF(AND(C106=[2]Add.fees!$G$5,Appendix!D107=[2]Add.fees!$G$9),[2]Add.fees!$E$9,IF(AND(C106=[2]Add.fees!$G$6,Appendix!D107=[2]Add.fees!$G$9),[2]Add.fees!$F$9,0))))))*(H106/L106*K106)</f>
        <v>41022.166538164995</v>
      </c>
      <c r="U106" s="96">
        <v>0</v>
      </c>
      <c r="V106" s="96">
        <f t="shared" si="15"/>
        <v>623979.58387747931</v>
      </c>
      <c r="W106" s="97">
        <f t="shared" si="11"/>
        <v>485.1</v>
      </c>
      <c r="X106" s="84">
        <f t="shared" si="12"/>
        <v>2409.0800000000004</v>
      </c>
      <c r="Y106" s="152">
        <f t="shared" si="13"/>
        <v>0</v>
      </c>
      <c r="Z106" s="153">
        <f t="shared" si="14"/>
        <v>0</v>
      </c>
      <c r="AC106" s="127">
        <v>2723.4</v>
      </c>
      <c r="AD106" s="85">
        <v>485.1</v>
      </c>
      <c r="AE106" s="145">
        <f t="shared" si="8"/>
        <v>0</v>
      </c>
    </row>
    <row r="107" spans="1:31" s="85" customFormat="1" ht="15" outlineLevel="1">
      <c r="A107" s="316"/>
      <c r="B107" s="89" t="s">
        <v>378</v>
      </c>
      <c r="C107" s="125" t="s">
        <v>21</v>
      </c>
      <c r="D107" s="91">
        <v>45130</v>
      </c>
      <c r="E107" s="90" t="s">
        <v>84</v>
      </c>
      <c r="F107" s="126" t="s">
        <v>290</v>
      </c>
      <c r="G107" s="92" t="s">
        <v>87</v>
      </c>
      <c r="H107" s="118">
        <v>3.65</v>
      </c>
      <c r="I107" s="119">
        <v>666</v>
      </c>
      <c r="J107" s="151" t="str">
        <f>VLOOKUP(G107,'[2]Vendor list'!$A$3:$D$406,4,0)</f>
        <v>FCA</v>
      </c>
      <c r="K107" s="76">
        <f t="shared" si="9"/>
        <v>1</v>
      </c>
      <c r="L107" s="95">
        <f t="shared" si="10"/>
        <v>57.068000000000005</v>
      </c>
      <c r="M107" s="82">
        <f>VLOOKUP(F107,Appendix!$B$7:$N$1048576,13,0)</f>
        <v>147000</v>
      </c>
      <c r="N107" s="82">
        <f>K107*H107*[2]Add.fees!$F$11</f>
        <v>30988.5</v>
      </c>
      <c r="O107" s="96">
        <f>IF(AND(C107=[2]Add.fees!$G$4),[2]Add.fees!$E$7,IF(AND(C107=[2]Add.fees!$G$5),[2]Add.fees!$E$7,IF(AND(C107=[2]Add.fees!$G$6),[2]Add.fees!$F$7,0)))*(H107/L107*K107)</f>
        <v>12395.212728674564</v>
      </c>
      <c r="P107" s="96">
        <f>IF(AND(C107=[2]Add.fees!$G$4),[2]Add.fees!$E$4,IF(AND(C107=[2]Add.fees!$G$5),[2]Add.fees!$E$4,IF(AND(C107=[2]Add.fees!$G$6),[2]Add.fees!$F$4,0)))*(H107/L107*K107)</f>
        <v>3197.9393004836334</v>
      </c>
      <c r="Q107" s="96">
        <f>IF(AND(C107=[2]Add.fees!$G$4),[2]Add.fees!$E$5,IF(AND(C107=[2]Add.fees!$G$5),[2]Add.fees!$E$5,IF(AND(C107=[2]Add.fees!$G$6),[2]Add.fees!$F$5,0)))*(H107/L107*K107)</f>
        <v>11857.958926193312</v>
      </c>
      <c r="R107" s="96">
        <f>IF(AND(C107=[2]Add.fees!$G$4),[2]Add.fees!$E$6,IF(AND(C107=[2]Add.fees!$G$5),[2]Add.fees!$E$6,IF(AND(C107=[2]Add.fees!$G$6),[2]Add.fees!$F$6,0)))*(H107/L107*K107)</f>
        <v>582.02495268802124</v>
      </c>
      <c r="S107" s="82">
        <v>0</v>
      </c>
      <c r="T107" s="96">
        <f>IF(AND(C107=[2]Add.fees!$G$4,Appendix!D108=[2]Add.fees!$G$8),[2]Add.fees!$E$8,IF(AND(C107=[2]Add.fees!$G$5,Appendix!D108=[2]Add.fees!$G$8),[2]Add.fees!$E$8,IF(AND(C107=[2]Add.fees!$G$6,Appendix!D108=[2]Add.fees!$G$8),[2]Add.fees!$F$8,IF(AND(C107=[2]Add.fees!$G$4,Appendix!D108=[2]Add.fees!$G$9),[2]Add.fees!$E$9,IF(AND(C107=[2]Add.fees!$G$5,Appendix!D108=[2]Add.fees!$G$9),[2]Add.fees!$E$9,IF(AND(C107=[2]Add.fees!$G$6,Appendix!D108=[2]Add.fees!$G$9),[2]Add.fees!$F$9,0))))))*(H107/L107*K107)</f>
        <v>17940.439475713185</v>
      </c>
      <c r="U107" s="96">
        <v>0</v>
      </c>
      <c r="V107" s="96">
        <f t="shared" si="15"/>
        <v>223962.0753837527</v>
      </c>
      <c r="W107" s="97">
        <f t="shared" si="11"/>
        <v>174.11</v>
      </c>
      <c r="X107" s="84">
        <f t="shared" si="12"/>
        <v>2409.0800000000004</v>
      </c>
      <c r="Y107" s="152">
        <f t="shared" si="13"/>
        <v>0</v>
      </c>
      <c r="Z107" s="153">
        <f t="shared" si="14"/>
        <v>0</v>
      </c>
      <c r="AC107" s="127">
        <v>9120</v>
      </c>
      <c r="AD107" s="85">
        <v>174.11</v>
      </c>
      <c r="AE107" s="145">
        <f t="shared" si="8"/>
        <v>0</v>
      </c>
    </row>
    <row r="108" spans="1:31" s="85" customFormat="1" ht="15" outlineLevel="1">
      <c r="A108" s="317"/>
      <c r="B108" s="89" t="s">
        <v>378</v>
      </c>
      <c r="C108" s="125" t="s">
        <v>21</v>
      </c>
      <c r="D108" s="91">
        <v>45130</v>
      </c>
      <c r="E108" s="90" t="s">
        <v>84</v>
      </c>
      <c r="F108" s="126" t="s">
        <v>291</v>
      </c>
      <c r="G108" s="90" t="s">
        <v>87</v>
      </c>
      <c r="H108" s="130">
        <v>8.5239999999999991</v>
      </c>
      <c r="I108" s="131">
        <v>540</v>
      </c>
      <c r="J108" s="151" t="str">
        <f>VLOOKUP(G108,'[2]Vendor list'!$A$3:$D$406,4,0)</f>
        <v>FCA</v>
      </c>
      <c r="K108" s="76">
        <f t="shared" si="9"/>
        <v>1</v>
      </c>
      <c r="L108" s="95">
        <f t="shared" si="10"/>
        <v>57.068000000000005</v>
      </c>
      <c r="M108" s="82">
        <f>VLOOKUP(F108,Appendix!$B$7:$N$1048576,13,0)</f>
        <v>232000</v>
      </c>
      <c r="N108" s="82">
        <f>K108*H108*[2]Add.fees!$F$11</f>
        <v>72368.759999999995</v>
      </c>
      <c r="O108" s="96">
        <f>IF(AND(C108=[2]Add.fees!$G$4),[2]Add.fees!$E$7,IF(AND(C108=[2]Add.fees!$G$5),[2]Add.fees!$E$7,IF(AND(C108=[2]Add.fees!$G$6),[2]Add.fees!$F$7,0)))*(H108/L108*K108)</f>
        <v>28947.066657321087</v>
      </c>
      <c r="P108" s="96">
        <f>IF(AND(C108=[2]Add.fees!$G$4),[2]Add.fees!$E$4,IF(AND(C108=[2]Add.fees!$G$5),[2]Add.fees!$E$4,IF(AND(C108=[2]Add.fees!$G$6),[2]Add.fees!$F$4,0)))*(H108/L108*K108)</f>
        <v>7468.2834513212292</v>
      </c>
      <c r="Q108" s="96">
        <f>IF(AND(C108=[2]Add.fees!$G$4),[2]Add.fees!$E$5,IF(AND(C108=[2]Add.fees!$G$5),[2]Add.fees!$E$5,IF(AND(C108=[2]Add.fees!$G$6),[2]Add.fees!$F$5,0)))*(H108/L108*K108)</f>
        <v>27692.395037499118</v>
      </c>
      <c r="R108" s="96">
        <f>IF(AND(C108=[2]Add.fees!$G$4),[2]Add.fees!$E$6,IF(AND(C108=[2]Add.fees!$G$5),[2]Add.fees!$E$6,IF(AND(C108=[2]Add.fees!$G$6),[2]Add.fees!$F$6,0)))*(H108/L108*K108)</f>
        <v>1359.2275881404637</v>
      </c>
      <c r="S108" s="82">
        <v>0</v>
      </c>
      <c r="T108" s="96">
        <f>IF(AND(C108=[2]Add.fees!$G$4,Appendix!D109=[2]Add.fees!$G$8),[2]Add.fees!$E$8,IF(AND(C108=[2]Add.fees!$G$5,Appendix!D109=[2]Add.fees!$G$8),[2]Add.fees!$E$8,IF(AND(C108=[2]Add.fees!$G$6,Appendix!D109=[2]Add.fees!$G$8),[2]Add.fees!$F$8,IF(AND(C108=[2]Add.fees!$G$4,Appendix!D109=[2]Add.fees!$G$9),[2]Add.fees!$E$9,IF(AND(C108=[2]Add.fees!$G$5,Appendix!D109=[2]Add.fees!$G$9),[2]Add.fees!$E$9,IF(AND(C108=[2]Add.fees!$G$6,Appendix!D109=[2]Add.fees!$G$9),[2]Add.fees!$F$9,0))))))*(H108/L108*K108)</f>
        <v>41897.070161912096</v>
      </c>
      <c r="U108" s="96">
        <v>0</v>
      </c>
      <c r="V108" s="96">
        <f t="shared" si="15"/>
        <v>411732.80289619404</v>
      </c>
      <c r="W108" s="97">
        <f t="shared" si="11"/>
        <v>320.08999999999997</v>
      </c>
      <c r="X108" s="84">
        <f t="shared" si="12"/>
        <v>2409.0800000000004</v>
      </c>
      <c r="Y108" s="152">
        <f t="shared" si="13"/>
        <v>0</v>
      </c>
      <c r="Z108" s="153">
        <f t="shared" si="14"/>
        <v>0</v>
      </c>
      <c r="AC108" s="127">
        <v>7840</v>
      </c>
      <c r="AD108" s="85">
        <v>320.08999999999997</v>
      </c>
      <c r="AE108" s="145">
        <f t="shared" si="8"/>
        <v>0</v>
      </c>
    </row>
    <row r="109" spans="1:31" s="85" customFormat="1" ht="15" outlineLevel="1">
      <c r="A109" s="314">
        <v>23</v>
      </c>
      <c r="B109" s="89" t="s">
        <v>381</v>
      </c>
      <c r="C109" s="125" t="s">
        <v>21</v>
      </c>
      <c r="D109" s="91">
        <v>45130</v>
      </c>
      <c r="E109" s="90" t="s">
        <v>84</v>
      </c>
      <c r="F109" s="126" t="s">
        <v>382</v>
      </c>
      <c r="G109" s="90" t="s">
        <v>85</v>
      </c>
      <c r="H109" s="132">
        <v>17.940000000000001</v>
      </c>
      <c r="I109" s="133">
        <v>7704</v>
      </c>
      <c r="J109" s="151" t="str">
        <f>VLOOKUP(G109,'[2]Vendor list'!$A$3:$D$406,4,0)</f>
        <v>FCA</v>
      </c>
      <c r="K109" s="76">
        <f t="shared" si="9"/>
        <v>1</v>
      </c>
      <c r="L109" s="95">
        <f t="shared" si="10"/>
        <v>66.493000000000009</v>
      </c>
      <c r="M109" s="82">
        <f>VLOOKUP(F109,Appendix!$B$7:$N$1048576,13,0)</f>
        <v>698500</v>
      </c>
      <c r="N109" s="82">
        <f>K109*H109*[2]Add.fees!$F$11</f>
        <v>152310.6</v>
      </c>
      <c r="O109" s="96">
        <f>IF(AND(C109=[2]Add.fees!$G$4),[2]Add.fees!$E$7,IF(AND(C109=[2]Add.fees!$G$5),[2]Add.fees!$E$7,IF(AND(C109=[2]Add.fees!$G$6),[2]Add.fees!$F$7,0)))*(H109/L109*K109)</f>
        <v>52287.789692148035</v>
      </c>
      <c r="P109" s="96">
        <f>IF(AND(C109=[2]Add.fees!$G$4),[2]Add.fees!$E$4,IF(AND(C109=[2]Add.fees!$G$5),[2]Add.fees!$E$4,IF(AND(C109=[2]Add.fees!$G$6),[2]Add.fees!$F$4,0)))*(H109/L109*K109)</f>
        <v>13490.141819439637</v>
      </c>
      <c r="Q109" s="96">
        <f>IF(AND(C109=[2]Add.fees!$G$4),[2]Add.fees!$E$5,IF(AND(C109=[2]Add.fees!$G$5),[2]Add.fees!$E$5,IF(AND(C109=[2]Add.fees!$G$6),[2]Add.fees!$F$5,0)))*(H109/L109*K109)</f>
        <v>50021.44586648218</v>
      </c>
      <c r="R109" s="96">
        <f>IF(AND(C109=[2]Add.fees!$G$4),[2]Add.fees!$E$6,IF(AND(C109=[2]Add.fees!$G$5),[2]Add.fees!$E$6,IF(AND(C109=[2]Add.fees!$G$6),[2]Add.fees!$F$6,0)))*(H109/L109*K109)</f>
        <v>2455.2058111380143</v>
      </c>
      <c r="S109" s="82">
        <v>0</v>
      </c>
      <c r="T109" s="96">
        <f>IF(AND(C109=[2]Add.fees!$G$4,Appendix!D110=[2]Add.fees!$G$8),[2]Add.fees!$E$8,IF(AND(C109=[2]Add.fees!$G$5,Appendix!D110=[2]Add.fees!$G$8),[2]Add.fees!$E$8,IF(AND(C109=[2]Add.fees!$G$6,Appendix!D110=[2]Add.fees!$G$8),[2]Add.fees!$F$8,IF(AND(C109=[2]Add.fees!$G$4,Appendix!D110=[2]Add.fees!$G$9),[2]Add.fees!$E$9,IF(AND(C109=[2]Add.fees!$G$5,Appendix!D110=[2]Add.fees!$G$9),[2]Add.fees!$E$9,IF(AND(C109=[2]Add.fees!$G$6,Appendix!D110=[2]Add.fees!$G$9),[2]Add.fees!$F$9,0))))))*(H109/L109*K109)</f>
        <v>75679.695607056376</v>
      </c>
      <c r="U109" s="96">
        <v>0</v>
      </c>
      <c r="V109" s="96">
        <f t="shared" si="15"/>
        <v>1044744.8787962642</v>
      </c>
      <c r="W109" s="97">
        <f t="shared" si="11"/>
        <v>812.21</v>
      </c>
      <c r="X109" s="84">
        <f t="shared" si="12"/>
        <v>2503.17</v>
      </c>
      <c r="Y109" s="152">
        <f t="shared" si="13"/>
        <v>1</v>
      </c>
      <c r="Z109" s="153">
        <f t="shared" si="14"/>
        <v>2503.17</v>
      </c>
      <c r="AC109" s="127">
        <v>25334.399999999998</v>
      </c>
      <c r="AD109" s="85">
        <v>812.21</v>
      </c>
      <c r="AE109" s="145">
        <f t="shared" si="8"/>
        <v>0</v>
      </c>
    </row>
    <row r="110" spans="1:31" s="85" customFormat="1" ht="15" outlineLevel="1">
      <c r="A110" s="316"/>
      <c r="B110" s="89" t="s">
        <v>381</v>
      </c>
      <c r="C110" s="125" t="s">
        <v>21</v>
      </c>
      <c r="D110" s="91">
        <v>45130</v>
      </c>
      <c r="E110" s="90" t="s">
        <v>84</v>
      </c>
      <c r="F110" s="126" t="s">
        <v>294</v>
      </c>
      <c r="G110" s="90" t="s">
        <v>383</v>
      </c>
      <c r="H110" s="93">
        <v>23.359000000000002</v>
      </c>
      <c r="I110" s="94">
        <v>4979</v>
      </c>
      <c r="J110" s="151" t="str">
        <f>VLOOKUP(G110,'[2]Vendor list'!$A$3:$D$406,4,0)</f>
        <v>FCA</v>
      </c>
      <c r="K110" s="76">
        <f t="shared" si="9"/>
        <v>1</v>
      </c>
      <c r="L110" s="95">
        <f t="shared" si="10"/>
        <v>66.493000000000009</v>
      </c>
      <c r="M110" s="82">
        <f>VLOOKUP(F110,Appendix!$B$7:$N$1048576,13,0)</f>
        <v>635000</v>
      </c>
      <c r="N110" s="82">
        <f>K110*H110*[2]Add.fees!$F$11</f>
        <v>198317.91</v>
      </c>
      <c r="O110" s="96">
        <f>IF(AND(C110=[2]Add.fees!$G$4),[2]Add.fees!$E$7,IF(AND(C110=[2]Add.fees!$G$5),[2]Add.fees!$E$7,IF(AND(C110=[2]Add.fees!$G$6),[2]Add.fees!$F$7,0)))*(H110/L110*K110)</f>
        <v>68081.966522791874</v>
      </c>
      <c r="P110" s="96">
        <f>IF(AND(C110=[2]Add.fees!$G$4),[2]Add.fees!$E$4,IF(AND(C110=[2]Add.fees!$G$5),[2]Add.fees!$E$4,IF(AND(C110=[2]Add.fees!$G$6),[2]Add.fees!$F$4,0)))*(H110/L110*K110)</f>
        <v>17565.006842825558</v>
      </c>
      <c r="Q110" s="96">
        <f>IF(AND(C110=[2]Add.fees!$G$4),[2]Add.fees!$E$5,IF(AND(C110=[2]Add.fees!$G$5),[2]Add.fees!$E$5,IF(AND(C110=[2]Add.fees!$G$6),[2]Add.fees!$F$5,0)))*(H110/L110*K110)</f>
        <v>65131.045373197172</v>
      </c>
      <c r="R110" s="96">
        <f>IF(AND(C110=[2]Add.fees!$G$4),[2]Add.fees!$E$6,IF(AND(C110=[2]Add.fees!$G$5),[2]Add.fees!$E$6,IF(AND(C110=[2]Add.fees!$G$6),[2]Add.fees!$F$6,0)))*(H110/L110*K110)</f>
        <v>3196.8312453942517</v>
      </c>
      <c r="S110" s="82">
        <v>0</v>
      </c>
      <c r="T110" s="96">
        <f>IF(AND(C110=[2]Add.fees!$G$4,Appendix!D111=[2]Add.fees!$G$8),[2]Add.fees!$E$8,IF(AND(C110=[2]Add.fees!$G$5,Appendix!D111=[2]Add.fees!$G$8),[2]Add.fees!$E$8,IF(AND(C110=[2]Add.fees!$G$6,Appendix!D111=[2]Add.fees!$G$8),[2]Add.fees!$F$8,IF(AND(C110=[2]Add.fees!$G$4,Appendix!D111=[2]Add.fees!$G$9),[2]Add.fees!$E$9,IF(AND(C110=[2]Add.fees!$G$5,Appendix!D111=[2]Add.fees!$G$9),[2]Add.fees!$E$9,IF(AND(C110=[2]Add.fees!$G$6,Appendix!D111=[2]Add.fees!$G$9),[2]Add.fees!$F$9,0))))))*(H110/L110*K110)</f>
        <v>98539.688388251379</v>
      </c>
      <c r="U110" s="96">
        <v>0</v>
      </c>
      <c r="V110" s="96">
        <f t="shared" si="15"/>
        <v>1085832.4483724604</v>
      </c>
      <c r="W110" s="97">
        <f t="shared" si="11"/>
        <v>844.15</v>
      </c>
      <c r="X110" s="84">
        <f t="shared" si="12"/>
        <v>2503.17</v>
      </c>
      <c r="Y110" s="152">
        <f t="shared" si="13"/>
        <v>0</v>
      </c>
      <c r="Z110" s="153">
        <f t="shared" si="14"/>
        <v>0</v>
      </c>
      <c r="AC110" s="127">
        <v>23184</v>
      </c>
      <c r="AD110" s="85">
        <v>844.15</v>
      </c>
      <c r="AE110" s="145">
        <f t="shared" si="8"/>
        <v>0</v>
      </c>
    </row>
    <row r="111" spans="1:31" s="85" customFormat="1" ht="15" outlineLevel="1">
      <c r="A111" s="317"/>
      <c r="B111" s="89" t="s">
        <v>381</v>
      </c>
      <c r="C111" s="125" t="s">
        <v>21</v>
      </c>
      <c r="D111" s="91">
        <v>45130</v>
      </c>
      <c r="E111" s="90" t="s">
        <v>84</v>
      </c>
      <c r="F111" s="134" t="s">
        <v>384</v>
      </c>
      <c r="G111" s="90" t="s">
        <v>347</v>
      </c>
      <c r="H111" s="93">
        <v>25.193999999999999</v>
      </c>
      <c r="I111" s="94">
        <v>3542.4</v>
      </c>
      <c r="J111" s="151" t="str">
        <f>VLOOKUP(G111,'[2]Vendor list'!$A$3:$D$406,4,0)</f>
        <v>FCA</v>
      </c>
      <c r="K111" s="76">
        <f t="shared" si="9"/>
        <v>1</v>
      </c>
      <c r="L111" s="95">
        <f t="shared" si="10"/>
        <v>66.493000000000009</v>
      </c>
      <c r="M111" s="82">
        <f>VLOOKUP(F111,Appendix!$B$7:$N$1048576,13,0)</f>
        <v>603000</v>
      </c>
      <c r="N111" s="82">
        <f>K111*H111*[2]Add.fees!$F$11</f>
        <v>213897.06</v>
      </c>
      <c r="O111" s="96">
        <f>IF(AND(C111=[2]Add.fees!$G$4),[2]Add.fees!$E$7,IF(AND(C111=[2]Add.fees!$G$5),[2]Add.fees!$E$7,IF(AND(C111=[2]Add.fees!$G$6),[2]Add.fees!$F$7,0)))*(H111/L111*K111)</f>
        <v>73430.243785060069</v>
      </c>
      <c r="P111" s="96">
        <f>IF(AND(C111=[2]Add.fees!$G$4),[2]Add.fees!$E$4,IF(AND(C111=[2]Add.fees!$G$5),[2]Add.fees!$E$4,IF(AND(C111=[2]Add.fees!$G$6),[2]Add.fees!$F$4,0)))*(H111/L111*K111)</f>
        <v>18944.851337734795</v>
      </c>
      <c r="Q111" s="96">
        <f>IF(AND(C111=[2]Add.fees!$G$4),[2]Add.fees!$E$5,IF(AND(C111=[2]Add.fees!$G$5),[2]Add.fees!$E$5,IF(AND(C111=[2]Add.fees!$G$6),[2]Add.fees!$F$5,0)))*(H111/L111*K111)</f>
        <v>70247.508760320634</v>
      </c>
      <c r="R111" s="96">
        <f>IF(AND(C111=[2]Add.fees!$G$4),[2]Add.fees!$E$6,IF(AND(C111=[2]Add.fees!$G$5),[2]Add.fees!$E$6,IF(AND(C111=[2]Add.fees!$G$6),[2]Add.fees!$F$6,0)))*(H111/L111*K111)</f>
        <v>3447.9629434677331</v>
      </c>
      <c r="S111" s="82">
        <v>0</v>
      </c>
      <c r="T111" s="96">
        <f>IF(AND(C111=[2]Add.fees!$G$4,Appendix!D112=[2]Add.fees!$G$8),[2]Add.fees!$E$8,IF(AND(C111=[2]Add.fees!$G$5,Appendix!D112=[2]Add.fees!$G$8),[2]Add.fees!$E$8,IF(AND(C111=[2]Add.fees!$G$6,Appendix!D112=[2]Add.fees!$G$8),[2]Add.fees!$F$8,IF(AND(C111=[2]Add.fees!$G$4,Appendix!D112=[2]Add.fees!$G$9),[2]Add.fees!$E$9,IF(AND(C111=[2]Add.fees!$G$5,Appendix!D112=[2]Add.fees!$G$9),[2]Add.fees!$E$9,IF(AND(C111=[2]Add.fees!$G$6,Appendix!D112=[2]Add.fees!$G$9),[2]Add.fees!$F$9,0))))))*(H111/L111*K111)</f>
        <v>106280.61600469222</v>
      </c>
      <c r="U111" s="96">
        <v>0</v>
      </c>
      <c r="V111" s="96">
        <f t="shared" si="15"/>
        <v>1089248.2428312756</v>
      </c>
      <c r="W111" s="97">
        <f t="shared" si="11"/>
        <v>846.81</v>
      </c>
      <c r="X111" s="84">
        <f t="shared" si="12"/>
        <v>2503.17</v>
      </c>
      <c r="Y111" s="152">
        <f t="shared" si="13"/>
        <v>0</v>
      </c>
      <c r="Z111" s="153">
        <f t="shared" si="14"/>
        <v>0</v>
      </c>
      <c r="AC111" s="135">
        <v>131328</v>
      </c>
      <c r="AD111" s="85">
        <v>846.81</v>
      </c>
      <c r="AE111" s="145">
        <f t="shared" si="8"/>
        <v>0</v>
      </c>
    </row>
    <row r="112" spans="1:31" s="85" customFormat="1" ht="15" outlineLevel="1">
      <c r="A112" s="314">
        <v>24</v>
      </c>
      <c r="B112" s="89" t="s">
        <v>385</v>
      </c>
      <c r="C112" s="125" t="s">
        <v>21</v>
      </c>
      <c r="D112" s="91">
        <v>45130</v>
      </c>
      <c r="E112" s="90" t="s">
        <v>84</v>
      </c>
      <c r="F112" s="92" t="s">
        <v>386</v>
      </c>
      <c r="G112" s="90" t="s">
        <v>85</v>
      </c>
      <c r="H112" s="93">
        <v>7.26</v>
      </c>
      <c r="I112" s="94">
        <v>3272</v>
      </c>
      <c r="J112" s="151" t="str">
        <f>VLOOKUP(G112,'[2]Vendor list'!$A$3:$D$406,4,0)</f>
        <v>FCA</v>
      </c>
      <c r="K112" s="76">
        <f t="shared" si="9"/>
        <v>1</v>
      </c>
      <c r="L112" s="95">
        <f t="shared" si="10"/>
        <v>59.449999999999996</v>
      </c>
      <c r="M112" s="82">
        <f>VLOOKUP(F112,Appendix!$B$7:$N$1048576,13,0)</f>
        <v>632500</v>
      </c>
      <c r="N112" s="82">
        <f>K112*H112*[2]Add.fees!$F$11</f>
        <v>61637.4</v>
      </c>
      <c r="O112" s="96">
        <f>IF(AND(C112=[2]Add.fees!$G$4),[2]Add.fees!$E$7,IF(AND(C112=[2]Add.fees!$G$5),[2]Add.fees!$E$7,IF(AND(C112=[2]Add.fees!$G$6),[2]Add.fees!$F$7,0)))*(H112/L112*K112)</f>
        <v>23666.745164003365</v>
      </c>
      <c r="P112" s="96">
        <f>IF(AND(C112=[2]Add.fees!$G$4),[2]Add.fees!$E$4,IF(AND(C112=[2]Add.fees!$G$5),[2]Add.fees!$E$4,IF(AND(C112=[2]Add.fees!$G$6),[2]Add.fees!$F$4,0)))*(H112/L112*K112)</f>
        <v>6105.9714045416322</v>
      </c>
      <c r="Q112" s="96">
        <f>IF(AND(C112=[2]Add.fees!$G$4),[2]Add.fees!$E$5,IF(AND(C112=[2]Add.fees!$G$5),[2]Add.fees!$E$5,IF(AND(C112=[2]Add.fees!$G$6),[2]Add.fees!$F$5,0)))*(H112/L112*K112)</f>
        <v>22640.94196804037</v>
      </c>
      <c r="R112" s="96">
        <f>IF(AND(C112=[2]Add.fees!$G$4),[2]Add.fees!$E$6,IF(AND(C112=[2]Add.fees!$G$5),[2]Add.fees!$E$6,IF(AND(C112=[2]Add.fees!$G$6),[2]Add.fees!$F$6,0)))*(H112/L112*K112)</f>
        <v>1111.286795626577</v>
      </c>
      <c r="S112" s="82">
        <v>0</v>
      </c>
      <c r="T112" s="96">
        <f>IF(AND(C112=[2]Add.fees!$G$4,Appendix!D113=[2]Add.fees!$G$8),[2]Add.fees!$E$8,IF(AND(C112=[2]Add.fees!$G$5,Appendix!D113=[2]Add.fees!$G$8),[2]Add.fees!$E$8,IF(AND(C112=[2]Add.fees!$G$6,Appendix!D113=[2]Add.fees!$G$8),[2]Add.fees!$F$8,IF(AND(C112=[2]Add.fees!$G$4,Appendix!D113=[2]Add.fees!$G$9),[2]Add.fees!$E$9,IF(AND(C112=[2]Add.fees!$G$5,Appendix!D113=[2]Add.fees!$G$9),[2]Add.fees!$E$9,IF(AND(C112=[2]Add.fees!$G$6,Appendix!D113=[2]Add.fees!$G$9),[2]Add.fees!$F$9,0))))))*(H112/L112*K112)</f>
        <v>34254.499579478557</v>
      </c>
      <c r="U112" s="96">
        <v>0</v>
      </c>
      <c r="V112" s="96">
        <f t="shared" si="15"/>
        <v>781916.84491169057</v>
      </c>
      <c r="W112" s="97">
        <f t="shared" si="11"/>
        <v>607.88</v>
      </c>
      <c r="X112" s="84">
        <f t="shared" si="12"/>
        <v>2335.4</v>
      </c>
      <c r="Y112" s="152">
        <f t="shared" si="13"/>
        <v>1</v>
      </c>
      <c r="Z112" s="153">
        <f t="shared" si="14"/>
        <v>2335.4</v>
      </c>
      <c r="AC112" s="135">
        <v>15782.4</v>
      </c>
      <c r="AD112" s="85">
        <v>607.88</v>
      </c>
      <c r="AE112" s="145">
        <f t="shared" si="8"/>
        <v>0</v>
      </c>
    </row>
    <row r="113" spans="1:31" s="152" customFormat="1" ht="15" outlineLevel="1">
      <c r="A113" s="317"/>
      <c r="B113" s="89" t="s">
        <v>385</v>
      </c>
      <c r="C113" s="125" t="s">
        <v>21</v>
      </c>
      <c r="D113" s="91">
        <v>45130</v>
      </c>
      <c r="E113" s="90" t="s">
        <v>84</v>
      </c>
      <c r="F113" s="126" t="s">
        <v>298</v>
      </c>
      <c r="G113" s="90" t="s">
        <v>350</v>
      </c>
      <c r="H113" s="93">
        <v>52.19</v>
      </c>
      <c r="I113" s="94">
        <v>10370</v>
      </c>
      <c r="J113" s="151" t="str">
        <f>VLOOKUP(G113,'[2]Vendor list'!$A$3:$D$406,4,0)</f>
        <v>FCA</v>
      </c>
      <c r="K113" s="76">
        <f t="shared" si="9"/>
        <v>1</v>
      </c>
      <c r="L113" s="95">
        <f t="shared" si="10"/>
        <v>59.449999999999996</v>
      </c>
      <c r="M113" s="82">
        <f>VLOOKUP(F113,Appendix!$B$7:$N$1048576,13,0)</f>
        <v>1148000</v>
      </c>
      <c r="N113" s="82">
        <f>K113*H113*[2]Add.fees!$F$11</f>
        <v>443093.1</v>
      </c>
      <c r="O113" s="96">
        <f>IF(AND(C113=[2]Add.fees!$G$4),[2]Add.fees!$E$7,IF(AND(C113=[2]Add.fees!$G$5),[2]Add.fees!$E$7,IF(AND(C113=[2]Add.fees!$G$6),[2]Add.fees!$F$7,0)))*(H113/L113*K113)</f>
        <v>170133.25483599663</v>
      </c>
      <c r="P113" s="96">
        <f>IF(AND(C113=[2]Add.fees!$G$4),[2]Add.fees!$E$4,IF(AND(C113=[2]Add.fees!$G$5),[2]Add.fees!$E$4,IF(AND(C113=[2]Add.fees!$G$6),[2]Add.fees!$F$4,0)))*(H113/L113*K113)</f>
        <v>43894.028595458367</v>
      </c>
      <c r="Q113" s="96">
        <f>IF(AND(C113=[2]Add.fees!$G$4),[2]Add.fees!$E$5,IF(AND(C113=[2]Add.fees!$G$5),[2]Add.fees!$E$5,IF(AND(C113=[2]Add.fees!$G$6),[2]Add.fees!$F$5,0)))*(H113/L113*K113)</f>
        <v>162759.05803195963</v>
      </c>
      <c r="R113" s="96">
        <f>IF(AND(C113=[2]Add.fees!$G$4),[2]Add.fees!$E$6,IF(AND(C113=[2]Add.fees!$G$5),[2]Add.fees!$E$6,IF(AND(C113=[2]Add.fees!$G$6),[2]Add.fees!$F$6,0)))*(H113/L113*K113)</f>
        <v>7988.7132043734227</v>
      </c>
      <c r="S113" s="82">
        <v>0</v>
      </c>
      <c r="T113" s="96">
        <f>IF(AND(C113=[2]Add.fees!$G$4,Appendix!D114=[2]Add.fees!$G$8),[2]Add.fees!$E$8,IF(AND(C113=[2]Add.fees!$G$5,Appendix!D114=[2]Add.fees!$G$8),[2]Add.fees!$E$8,IF(AND(C113=[2]Add.fees!$G$6,Appendix!D114=[2]Add.fees!$G$8),[2]Add.fees!$F$8,IF(AND(C113=[2]Add.fees!$G$4,Appendix!D114=[2]Add.fees!$G$9),[2]Add.fees!$E$9,IF(AND(C113=[2]Add.fees!$G$5,Appendix!D114=[2]Add.fees!$G$9),[2]Add.fees!$E$9,IF(AND(C113=[2]Add.fees!$G$6,Appendix!D114=[2]Add.fees!$G$9),[2]Add.fees!$F$9,0))))))*(H113/L113*K113)</f>
        <v>246245.50042052145</v>
      </c>
      <c r="U113" s="96">
        <v>0</v>
      </c>
      <c r="V113" s="96">
        <f t="shared" si="15"/>
        <v>2222113.6550883097</v>
      </c>
      <c r="W113" s="97">
        <f t="shared" si="11"/>
        <v>1727.52</v>
      </c>
      <c r="X113" s="84">
        <f t="shared" si="12"/>
        <v>2335.4</v>
      </c>
      <c r="Y113" s="152">
        <f t="shared" si="13"/>
        <v>0</v>
      </c>
      <c r="Z113" s="153">
        <f t="shared" si="14"/>
        <v>0</v>
      </c>
      <c r="AC113" s="127">
        <v>86044.200000000012</v>
      </c>
      <c r="AD113" s="152">
        <v>1727.52</v>
      </c>
      <c r="AE113" s="145">
        <f t="shared" si="8"/>
        <v>0</v>
      </c>
    </row>
    <row r="114" spans="1:31" s="169" customFormat="1" ht="15" outlineLevel="1">
      <c r="A114" s="323">
        <v>25</v>
      </c>
      <c r="B114" s="154" t="s">
        <v>387</v>
      </c>
      <c r="C114" s="155" t="s">
        <v>21</v>
      </c>
      <c r="D114" s="156">
        <v>45130</v>
      </c>
      <c r="E114" s="157" t="s">
        <v>84</v>
      </c>
      <c r="F114" s="158" t="s">
        <v>388</v>
      </c>
      <c r="G114" s="159" t="s">
        <v>389</v>
      </c>
      <c r="H114" s="160">
        <v>16.28</v>
      </c>
      <c r="I114" s="161">
        <v>5562</v>
      </c>
      <c r="J114" s="162" t="s">
        <v>390</v>
      </c>
      <c r="K114" s="163">
        <f t="shared" si="9"/>
        <v>0</v>
      </c>
      <c r="L114" s="164">
        <f t="shared" si="10"/>
        <v>33.043999999999997</v>
      </c>
      <c r="M114" s="165">
        <f>VLOOKUP(F114,Appendix!$B$7:$N$1048576,13,0)</f>
        <v>0</v>
      </c>
      <c r="N114" s="165">
        <f>K114*H114*[2]Add.fees!$F$11</f>
        <v>0</v>
      </c>
      <c r="O114" s="166">
        <f>IF(AND(C114=[2]Add.fees!$G$4),[2]Add.fees!$E$7,IF(AND(C114=[2]Add.fees!$G$5),[2]Add.fees!$E$7,IF(AND(C114=[2]Add.fees!$G$6),[2]Add.fees!$F$7,0)))*(H114/L114*K114)</f>
        <v>0</v>
      </c>
      <c r="P114" s="166">
        <f>IF(AND(C114=[2]Add.fees!$G$4),[2]Add.fees!$E$4,IF(AND(C114=[2]Add.fees!$G$5),[2]Add.fees!$E$4,IF(AND(C114=[2]Add.fees!$G$6),[2]Add.fees!$F$4,0)))*(H114/L114*K114)</f>
        <v>0</v>
      </c>
      <c r="Q114" s="166">
        <f>IF(AND(C114=[2]Add.fees!$G$4),[2]Add.fees!$E$5,IF(AND(C114=[2]Add.fees!$G$5),[2]Add.fees!$E$5,IF(AND(C114=[2]Add.fees!$G$6),[2]Add.fees!$F$5,0)))*(H114/L114*K114)</f>
        <v>0</v>
      </c>
      <c r="R114" s="166">
        <f>IF(AND(C114=[2]Add.fees!$G$4),[2]Add.fees!$E$6,IF(AND(C114=[2]Add.fees!$G$5),[2]Add.fees!$E$6,IF(AND(C114=[2]Add.fees!$G$6),[2]Add.fees!$F$6,0)))*(H114/L114*K114)</f>
        <v>0</v>
      </c>
      <c r="S114" s="165">
        <v>0</v>
      </c>
      <c r="T114" s="166">
        <f>IF(AND(C114=[2]Add.fees!$G$4,Appendix!D115=[2]Add.fees!$G$8),[2]Add.fees!$E$8,IF(AND(C114=[2]Add.fees!$G$5,Appendix!D115=[2]Add.fees!$G$8),[2]Add.fees!$E$8,IF(AND(C114=[2]Add.fees!$G$6,Appendix!D115=[2]Add.fees!$G$8),[2]Add.fees!$F$8,IF(AND(C114=[2]Add.fees!$G$4,Appendix!D115=[2]Add.fees!$G$9),[2]Add.fees!$E$9,IF(AND(C114=[2]Add.fees!$G$5,Appendix!D115=[2]Add.fees!$G$9),[2]Add.fees!$E$9,IF(AND(C114=[2]Add.fees!$G$6,Appendix!D115=[2]Add.fees!$G$9),[2]Add.fees!$F$9,0))))))*(H114/L114*K114)</f>
        <v>0</v>
      </c>
      <c r="U114" s="166">
        <f>[2]Add.fees!E10</f>
        <v>460000</v>
      </c>
      <c r="V114" s="166">
        <f t="shared" si="15"/>
        <v>460000</v>
      </c>
      <c r="W114" s="167">
        <f t="shared" si="11"/>
        <v>357.62</v>
      </c>
      <c r="X114" s="168">
        <f t="shared" si="12"/>
        <v>1546.29</v>
      </c>
      <c r="Y114" s="169">
        <f t="shared" si="13"/>
        <v>1</v>
      </c>
      <c r="Z114" s="170">
        <f t="shared" si="14"/>
        <v>1546.29</v>
      </c>
      <c r="AC114" s="171">
        <v>37433.279999999999</v>
      </c>
      <c r="AD114" s="169">
        <v>0</v>
      </c>
      <c r="AE114" s="172">
        <f t="shared" si="8"/>
        <v>-357.62</v>
      </c>
    </row>
    <row r="115" spans="1:31" s="169" customFormat="1" ht="15" outlineLevel="1">
      <c r="A115" s="324"/>
      <c r="B115" s="154" t="s">
        <v>387</v>
      </c>
      <c r="C115" s="157" t="s">
        <v>21</v>
      </c>
      <c r="D115" s="156">
        <v>45130</v>
      </c>
      <c r="E115" s="157" t="s">
        <v>84</v>
      </c>
      <c r="F115" s="158" t="s">
        <v>302</v>
      </c>
      <c r="G115" s="159" t="s">
        <v>391</v>
      </c>
      <c r="H115" s="160">
        <v>16.763999999999999</v>
      </c>
      <c r="I115" s="161">
        <v>3660</v>
      </c>
      <c r="J115" s="162" t="str">
        <f>VLOOKUP(G115,'[2]Vendor list'!$A$3:$D$406,4,0)</f>
        <v>FCA</v>
      </c>
      <c r="K115" s="163">
        <f t="shared" si="9"/>
        <v>1</v>
      </c>
      <c r="L115" s="164">
        <f t="shared" si="10"/>
        <v>33.043999999999997</v>
      </c>
      <c r="M115" s="165">
        <f>VLOOKUP(F115,Appendix!$B$7:$N$1048576,13,0)</f>
        <v>562000</v>
      </c>
      <c r="N115" s="165">
        <f>K115*H115*[2]Add.fees!$F$11</f>
        <v>142326.35999999999</v>
      </c>
      <c r="O115" s="166">
        <f>IF(AND(C115=[2]Add.fees!$G$4),[2]Add.fees!$E$7,IF(AND(C115=[2]Add.fees!$G$5),[2]Add.fees!$E$7,IF(AND(C115=[2]Add.fees!$G$6),[2]Add.fees!$F$7,0)))*(H115/L115*K115)</f>
        <v>98319.307589880176</v>
      </c>
      <c r="P115" s="166">
        <f>IF(AND(C115=[2]Add.fees!$G$4),[2]Add.fees!$E$4,IF(AND(C115=[2]Add.fees!$G$5),[2]Add.fees!$E$4,IF(AND(C115=[2]Add.fees!$G$6),[2]Add.fees!$F$4,0)))*(H115/L115*K115)</f>
        <v>25366.178428761654</v>
      </c>
      <c r="Q115" s="166">
        <f>IF(AND(C115=[2]Add.fees!$G$4),[2]Add.fees!$E$5,IF(AND(C115=[2]Add.fees!$G$5),[2]Add.fees!$E$5,IF(AND(C115=[2]Add.fees!$G$6),[2]Add.fees!$F$5,0)))*(H115/L115*K115)</f>
        <v>94057.789613848217</v>
      </c>
      <c r="R115" s="166">
        <f>IF(AND(C115=[2]Add.fees!$G$4),[2]Add.fees!$E$6,IF(AND(C115=[2]Add.fees!$G$5),[2]Add.fees!$E$6,IF(AND(C115=[2]Add.fees!$G$6),[2]Add.fees!$F$6,0)))*(H115/L115*K115)</f>
        <v>4616.6444740346215</v>
      </c>
      <c r="S115" s="165">
        <v>0</v>
      </c>
      <c r="T115" s="166">
        <f>IF(AND(C115=[2]Add.fees!$G$4,Appendix!D116=[2]Add.fees!$G$8),[2]Add.fees!$E$8,IF(AND(C115=[2]Add.fees!$G$5,Appendix!D116=[2]Add.fees!$G$8),[2]Add.fees!$E$8,IF(AND(C115=[2]Add.fees!$G$6,Appendix!D116=[2]Add.fees!$G$8),[2]Add.fees!$F$8,IF(AND(C115=[2]Add.fees!$G$4,Appendix!D116=[2]Add.fees!$G$9),[2]Add.fees!$E$9,IF(AND(C115=[2]Add.fees!$G$5,Appendix!D116=[2]Add.fees!$G$9),[2]Add.fees!$E$9,IF(AND(C115=[2]Add.fees!$G$6,Appendix!D116=[2]Add.fees!$G$9),[2]Add.fees!$F$9,0))))))*(H115/L115*K115)</f>
        <v>142304.26098535288</v>
      </c>
      <c r="U115" s="166">
        <v>460000</v>
      </c>
      <c r="V115" s="166">
        <f t="shared" si="15"/>
        <v>1528990.5410918775</v>
      </c>
      <c r="W115" s="167">
        <f t="shared" si="11"/>
        <v>1188.67</v>
      </c>
      <c r="X115" s="168">
        <f t="shared" si="12"/>
        <v>1546.29</v>
      </c>
      <c r="Y115" s="169">
        <f t="shared" si="13"/>
        <v>0</v>
      </c>
      <c r="Z115" s="170">
        <f t="shared" si="14"/>
        <v>0</v>
      </c>
      <c r="AC115" s="171">
        <v>63140</v>
      </c>
      <c r="AD115" s="169">
        <v>1188.67</v>
      </c>
      <c r="AE115" s="172">
        <f t="shared" si="8"/>
        <v>0</v>
      </c>
    </row>
    <row r="116" spans="1:31" s="152" customFormat="1" ht="15" outlineLevel="1">
      <c r="A116" s="314">
        <v>26</v>
      </c>
      <c r="B116" s="89" t="s">
        <v>392</v>
      </c>
      <c r="C116" s="90" t="s">
        <v>21</v>
      </c>
      <c r="D116" s="91">
        <v>45130</v>
      </c>
      <c r="E116" s="90" t="s">
        <v>84</v>
      </c>
      <c r="F116" s="173" t="s">
        <v>393</v>
      </c>
      <c r="G116" s="92" t="s">
        <v>394</v>
      </c>
      <c r="H116" s="130">
        <v>13.957000000000001</v>
      </c>
      <c r="I116" s="131">
        <v>4569.6000000000004</v>
      </c>
      <c r="J116" s="151" t="str">
        <f>VLOOKUP(G116,'[2]Vendor list'!$A$3:$D$406,4,0)</f>
        <v>FCA</v>
      </c>
      <c r="K116" s="76">
        <f t="shared" si="9"/>
        <v>1</v>
      </c>
      <c r="L116" s="95">
        <f t="shared" si="10"/>
        <v>44.828000000000003</v>
      </c>
      <c r="M116" s="82">
        <f>VLOOKUP(F116,Appendix!$B$7:$N$1048576,13,0)</f>
        <v>485000</v>
      </c>
      <c r="N116" s="82">
        <f>K116*H116*[2]Add.fees!$F$11</f>
        <v>118494.93000000001</v>
      </c>
      <c r="O116" s="96">
        <f>IF(AND(C116=[2]Add.fees!$G$4),[2]Add.fees!$E$7,IF(AND(C116=[2]Add.fees!$G$5),[2]Add.fees!$E$7,IF(AND(C116=[2]Add.fees!$G$6),[2]Add.fees!$F$7,0)))*(H116/L116*K116)</f>
        <v>60338.774872847323</v>
      </c>
      <c r="P116" s="96">
        <f>IF(AND(C116=[2]Add.fees!$G$4),[2]Add.fees!$E$4,IF(AND(C116=[2]Add.fees!$G$5),[2]Add.fees!$E$4,IF(AND(C116=[2]Add.fees!$G$6),[2]Add.fees!$F$4,0)))*(H116/L116*K116)</f>
        <v>15567.279378959578</v>
      </c>
      <c r="Q116" s="96">
        <f>IF(AND(C116=[2]Add.fees!$G$4),[2]Add.fees!$E$5,IF(AND(C116=[2]Add.fees!$G$5),[2]Add.fees!$E$5,IF(AND(C116=[2]Add.fees!$G$6),[2]Add.fees!$F$5,0)))*(H116/L116*K116)</f>
        <v>57723.471937182119</v>
      </c>
      <c r="R116" s="96">
        <f>IF(AND(C116=[2]Add.fees!$G$4),[2]Add.fees!$E$6,IF(AND(C116=[2]Add.fees!$G$5),[2]Add.fees!$E$6,IF(AND(C116=[2]Add.fees!$G$6),[2]Add.fees!$F$6,0)))*(H116/L116*K116)</f>
        <v>2833.2448469706433</v>
      </c>
      <c r="S116" s="82">
        <v>0</v>
      </c>
      <c r="T116" s="96">
        <f>IF(AND(C116=[2]Add.fees!$G$4,Appendix!D117=[2]Add.fees!$G$8),[2]Add.fees!$E$8,IF(AND(C116=[2]Add.fees!$G$5,Appendix!D117=[2]Add.fees!$G$8),[2]Add.fees!$E$8,IF(AND(C116=[2]Add.fees!$G$6,Appendix!D117=[2]Add.fees!$G$8),[2]Add.fees!$F$8,IF(AND(C116=[2]Add.fees!$G$4,Appendix!D117=[2]Add.fees!$G$9),[2]Add.fees!$E$9,IF(AND(C116=[2]Add.fees!$G$5,Appendix!D117=[2]Add.fees!$G$9),[2]Add.fees!$E$9,IF(AND(C116=[2]Add.fees!$G$6,Appendix!D117=[2]Add.fees!$G$9),[2]Add.fees!$F$9,0))))))*(H116/L116*K116)</f>
        <v>87332.437315963238</v>
      </c>
      <c r="U116" s="96">
        <v>0</v>
      </c>
      <c r="V116" s="96">
        <f t="shared" si="15"/>
        <v>827290.13835192297</v>
      </c>
      <c r="W116" s="97">
        <f t="shared" si="11"/>
        <v>643.16</v>
      </c>
      <c r="X116" s="84">
        <f t="shared" si="12"/>
        <v>2083.33</v>
      </c>
      <c r="Y116" s="152">
        <f t="shared" si="13"/>
        <v>1</v>
      </c>
      <c r="Z116" s="153">
        <f t="shared" si="14"/>
        <v>2083.33</v>
      </c>
      <c r="AC116" s="127">
        <v>64460.800000000003</v>
      </c>
      <c r="AD116" s="152">
        <v>643.16</v>
      </c>
      <c r="AE116" s="145">
        <f t="shared" si="8"/>
        <v>0</v>
      </c>
    </row>
    <row r="117" spans="1:31" s="152" customFormat="1" ht="15" outlineLevel="1">
      <c r="A117" s="316"/>
      <c r="B117" s="89" t="s">
        <v>392</v>
      </c>
      <c r="C117" s="90" t="s">
        <v>21</v>
      </c>
      <c r="D117" s="91">
        <v>45130</v>
      </c>
      <c r="E117" s="90" t="s">
        <v>84</v>
      </c>
      <c r="F117" s="126" t="s">
        <v>306</v>
      </c>
      <c r="G117" s="136" t="s">
        <v>143</v>
      </c>
      <c r="H117" s="93">
        <v>28.725999999999999</v>
      </c>
      <c r="I117" s="94">
        <v>16299</v>
      </c>
      <c r="J117" s="151" t="str">
        <f>VLOOKUP(G117,'[2]Vendor list'!$A$3:$D$406,4,0)</f>
        <v>FCA</v>
      </c>
      <c r="K117" s="76">
        <f t="shared" si="9"/>
        <v>1</v>
      </c>
      <c r="L117" s="95">
        <f t="shared" si="10"/>
        <v>44.828000000000003</v>
      </c>
      <c r="M117" s="82">
        <f>VLOOKUP(F117,Appendix!$B$7:$N$1048576,13,0)</f>
        <v>1148000</v>
      </c>
      <c r="N117" s="82">
        <f>K117*H117*[2]Add.fees!$F$11</f>
        <v>243883.74</v>
      </c>
      <c r="O117" s="96">
        <f>IF(AND(C117=[2]Add.fees!$G$4),[2]Add.fees!$E$7,IF(AND(C117=[2]Add.fees!$G$5),[2]Add.fees!$E$7,IF(AND(C117=[2]Add.fees!$G$6),[2]Add.fees!$F$7,0)))*(H117/L117*K117)</f>
        <v>124187.98072633175</v>
      </c>
      <c r="P117" s="96">
        <f>IF(AND(C117=[2]Add.fees!$G$4),[2]Add.fees!$E$4,IF(AND(C117=[2]Add.fees!$G$5),[2]Add.fees!$E$4,IF(AND(C117=[2]Add.fees!$G$6),[2]Add.fees!$F$4,0)))*(H117/L117*K117)</f>
        <v>32040.24270545195</v>
      </c>
      <c r="Q117" s="96">
        <f>IF(AND(C117=[2]Add.fees!$G$4),[2]Add.fees!$E$5,IF(AND(C117=[2]Add.fees!$G$5),[2]Add.fees!$E$5,IF(AND(C117=[2]Add.fees!$G$6),[2]Add.fees!$F$5,0)))*(H117/L117*K117)</f>
        <v>118805.21995181583</v>
      </c>
      <c r="R117" s="96">
        <f>IF(AND(C117=[2]Add.fees!$G$4),[2]Add.fees!$E$6,IF(AND(C117=[2]Add.fees!$G$5),[2]Add.fees!$E$6,IF(AND(C117=[2]Add.fees!$G$6),[2]Add.fees!$F$6,0)))*(H117/L117*K117)</f>
        <v>5831.3241723922547</v>
      </c>
      <c r="S117" s="82">
        <v>0</v>
      </c>
      <c r="T117" s="96">
        <f>IF(AND(C117=[2]Add.fees!$G$4,Appendix!D118=[2]Add.fees!$G$8),[2]Add.fees!$E$8,IF(AND(C117=[2]Add.fees!$G$5,Appendix!D118=[2]Add.fees!$G$8),[2]Add.fees!$E$8,IF(AND(C117=[2]Add.fees!$G$6,Appendix!D118=[2]Add.fees!$G$8),[2]Add.fees!$F$8,IF(AND(C117=[2]Add.fees!$G$4,Appendix!D118=[2]Add.fees!$G$9),[2]Add.fees!$E$9,IF(AND(C117=[2]Add.fees!$G$5,Appendix!D118=[2]Add.fees!$G$9),[2]Add.fees!$E$9,IF(AND(C117=[2]Add.fees!$G$6,Appendix!D118=[2]Add.fees!$G$9),[2]Add.fees!$F$9,0))))))*(H117/L117*K117)</f>
        <v>179745.76157758542</v>
      </c>
      <c r="U117" s="96">
        <v>0</v>
      </c>
      <c r="V117" s="96">
        <f t="shared" si="15"/>
        <v>1852494.2691335774</v>
      </c>
      <c r="W117" s="97">
        <f t="shared" si="11"/>
        <v>1440.17</v>
      </c>
      <c r="X117" s="84">
        <f t="shared" si="12"/>
        <v>2083.33</v>
      </c>
      <c r="Y117" s="152">
        <f t="shared" si="13"/>
        <v>0</v>
      </c>
      <c r="Z117" s="153">
        <f t="shared" si="14"/>
        <v>0</v>
      </c>
      <c r="AC117" s="88">
        <v>55132</v>
      </c>
      <c r="AD117" s="152">
        <v>1440.17</v>
      </c>
      <c r="AE117" s="145">
        <f t="shared" si="8"/>
        <v>0</v>
      </c>
    </row>
    <row r="118" spans="1:31" s="175" customFormat="1" ht="15" outlineLevel="1">
      <c r="A118" s="325"/>
      <c r="B118" s="98" t="s">
        <v>392</v>
      </c>
      <c r="C118" s="99" t="s">
        <v>21</v>
      </c>
      <c r="D118" s="100">
        <v>45130</v>
      </c>
      <c r="E118" s="99" t="s">
        <v>84</v>
      </c>
      <c r="F118" s="137" t="s">
        <v>307</v>
      </c>
      <c r="G118" s="99" t="s">
        <v>395</v>
      </c>
      <c r="H118" s="138">
        <v>2.145</v>
      </c>
      <c r="I118" s="139">
        <v>1395</v>
      </c>
      <c r="J118" s="151" t="str">
        <f>VLOOKUP(G118,'[2]Vendor list'!$A$3:$D$406,4,0)</f>
        <v>FOB</v>
      </c>
      <c r="K118" s="76">
        <f t="shared" si="9"/>
        <v>0</v>
      </c>
      <c r="L118" s="95">
        <f t="shared" si="10"/>
        <v>44.828000000000003</v>
      </c>
      <c r="M118" s="104">
        <f>VLOOKUP(F118,Appendix!$B$7:$N$1048576,13,0)</f>
        <v>0</v>
      </c>
      <c r="N118" s="104">
        <f>K118*H118*[2]Add.fees!$F$11</f>
        <v>0</v>
      </c>
      <c r="O118" s="105">
        <f>IF(AND(C118=[2]Add.fees!$G$4),[2]Add.fees!$E$7,IF(AND(C118=[2]Add.fees!$G$5),[2]Add.fees!$E$7,IF(AND(C118=[2]Add.fees!$G$6),[2]Add.fees!$F$7,0)))*(H118/L118*K118)</f>
        <v>0</v>
      </c>
      <c r="P118" s="105">
        <f>IF(AND(C118=[2]Add.fees!$G$4),[2]Add.fees!$E$4,IF(AND(C118=[2]Add.fees!$G$5),[2]Add.fees!$E$4,IF(AND(C118=[2]Add.fees!$G$6),[2]Add.fees!$F$4,0)))*(H118/L118*K118)</f>
        <v>0</v>
      </c>
      <c r="Q118" s="105">
        <f>IF(AND(C118=[2]Add.fees!$G$4),[2]Add.fees!$E$5,IF(AND(C118=[2]Add.fees!$G$5),[2]Add.fees!$E$5,IF(AND(C118=[2]Add.fees!$G$6),[2]Add.fees!$F$5,0)))*(H118/L118*K118)</f>
        <v>0</v>
      </c>
      <c r="R118" s="105">
        <f>IF(AND(C118=[2]Add.fees!$G$4),[2]Add.fees!$E$6,IF(AND(C118=[2]Add.fees!$G$5),[2]Add.fees!$E$6,IF(AND(C118=[2]Add.fees!$G$6),[2]Add.fees!$F$6,0)))*(H118/L118*K118)</f>
        <v>0</v>
      </c>
      <c r="S118" s="104">
        <v>0</v>
      </c>
      <c r="T118" s="105">
        <f>IF(AND(C118=[2]Add.fees!$G$4,Appendix!D119=[2]Add.fees!$G$8),[2]Add.fees!$E$8,IF(AND(C118=[2]Add.fees!$G$5,Appendix!D119=[2]Add.fees!$G$8),[2]Add.fees!$E$8,IF(AND(C118=[2]Add.fees!$G$6,Appendix!D119=[2]Add.fees!$G$8),[2]Add.fees!$F$8,IF(AND(C118=[2]Add.fees!$G$4,Appendix!D119=[2]Add.fees!$G$9),[2]Add.fees!$E$9,IF(AND(C118=[2]Add.fees!$G$5,Appendix!D119=[2]Add.fees!$G$9),[2]Add.fees!$E$9,IF(AND(C118=[2]Add.fees!$G$6,Appendix!D119=[2]Add.fees!$G$9),[2]Add.fees!$F$9,0))))))*(H118/L118*K118)</f>
        <v>0</v>
      </c>
      <c r="U118" s="105">
        <v>0</v>
      </c>
      <c r="V118" s="105">
        <f t="shared" si="15"/>
        <v>0</v>
      </c>
      <c r="W118" s="106">
        <f t="shared" si="11"/>
        <v>0</v>
      </c>
      <c r="X118" s="84">
        <f t="shared" si="12"/>
        <v>2083.33</v>
      </c>
      <c r="Y118" s="152">
        <f t="shared" si="13"/>
        <v>0</v>
      </c>
      <c r="Z118" s="174">
        <f t="shared" si="14"/>
        <v>0</v>
      </c>
      <c r="AC118" s="109">
        <v>3093.75</v>
      </c>
      <c r="AD118" s="175">
        <v>0</v>
      </c>
      <c r="AE118" s="176">
        <f t="shared" si="8"/>
        <v>0</v>
      </c>
    </row>
    <row r="119" spans="1:31" s="152" customFormat="1" ht="15" outlineLevel="1">
      <c r="A119" s="314">
        <v>27</v>
      </c>
      <c r="B119" s="89" t="s">
        <v>396</v>
      </c>
      <c r="C119" s="90" t="s">
        <v>21</v>
      </c>
      <c r="D119" s="91">
        <v>45130</v>
      </c>
      <c r="E119" s="90" t="s">
        <v>84</v>
      </c>
      <c r="F119" s="126" t="s">
        <v>310</v>
      </c>
      <c r="G119" s="136" t="s">
        <v>397</v>
      </c>
      <c r="H119" s="93">
        <v>2.16</v>
      </c>
      <c r="I119" s="94">
        <v>1710</v>
      </c>
      <c r="J119" s="151" t="str">
        <f>VLOOKUP(G119,'[2]Vendor list'!$A$3:$D$406,4,0)</f>
        <v>FCA</v>
      </c>
      <c r="K119" s="76">
        <f t="shared" si="9"/>
        <v>1</v>
      </c>
      <c r="L119" s="95">
        <f t="shared" si="10"/>
        <v>40.307000000000002</v>
      </c>
      <c r="M119" s="82">
        <f>VLOOKUP(F119,Appendix!$B$7:$N$1048576,13,0)</f>
        <v>408000</v>
      </c>
      <c r="N119" s="82">
        <f>K119*H119*[2]Add.fees!$F$11</f>
        <v>18338.400000000001</v>
      </c>
      <c r="O119" s="96">
        <f>IF(AND(C119=[2]Add.fees!$G$4),[2]Add.fees!$E$7,IF(AND(C119=[2]Add.fees!$G$5),[2]Add.fees!$E$7,IF(AND(C119=[2]Add.fees!$G$6),[2]Add.fees!$F$7,0)))*(H119/L119*K119)</f>
        <v>10385.491353859132</v>
      </c>
      <c r="P119" s="96">
        <f>IF(AND(C119=[2]Add.fees!$G$4),[2]Add.fees!$E$4,IF(AND(C119=[2]Add.fees!$G$5),[2]Add.fees!$E$4,IF(AND(C119=[2]Add.fees!$G$6),[2]Add.fees!$F$4,0)))*(H119/L119*K119)</f>
        <v>2679.4353338129854</v>
      </c>
      <c r="Q119" s="96">
        <f>IF(AND(C119=[2]Add.fees!$G$4),[2]Add.fees!$E$5,IF(AND(C119=[2]Add.fees!$G$5),[2]Add.fees!$E$5,IF(AND(C119=[2]Add.fees!$G$6),[2]Add.fees!$F$5,0)))*(H119/L119*K119)</f>
        <v>9935.3462177785495</v>
      </c>
      <c r="R119" s="96">
        <f>IF(AND(C119=[2]Add.fees!$G$4),[2]Add.fees!$E$6,IF(AND(C119=[2]Add.fees!$G$5),[2]Add.fees!$E$6,IF(AND(C119=[2]Add.fees!$G$6),[2]Add.fees!$F$6,0)))*(H119/L119*K119)</f>
        <v>487.65723075396335</v>
      </c>
      <c r="S119" s="82">
        <v>0</v>
      </c>
      <c r="T119" s="96">
        <f>IF(AND(C119=[2]Add.fees!$G$4,Appendix!D120=[2]Add.fees!$G$8),[2]Add.fees!$E$8,IF(AND(C119=[2]Add.fees!$G$5,Appendix!D120=[2]Add.fees!$G$8),[2]Add.fees!$E$8,IF(AND(C119=[2]Add.fees!$G$6,Appendix!D120=[2]Add.fees!$G$8),[2]Add.fees!$F$8,IF(AND(C119=[2]Add.fees!$G$4,Appendix!D120=[2]Add.fees!$G$9),[2]Add.fees!$E$9,IF(AND(C119=[2]Add.fees!$G$5,Appendix!D120=[2]Add.fees!$G$9),[2]Add.fees!$E$9,IF(AND(C119=[2]Add.fees!$G$6,Appendix!D120=[2]Add.fees!$G$9),[2]Add.fees!$F$9,0))))))*(H119/L119*K119)</f>
        <v>15031.632222690849</v>
      </c>
      <c r="U119" s="96">
        <v>0</v>
      </c>
      <c r="V119" s="96">
        <f t="shared" si="15"/>
        <v>464857.96235889551</v>
      </c>
      <c r="W119" s="97">
        <f t="shared" si="11"/>
        <v>361.39</v>
      </c>
      <c r="X119" s="84">
        <f t="shared" si="12"/>
        <v>1901.83</v>
      </c>
      <c r="Y119" s="152">
        <f t="shared" si="13"/>
        <v>1</v>
      </c>
      <c r="Z119" s="153">
        <f t="shared" si="14"/>
        <v>1901.83</v>
      </c>
      <c r="AC119" s="88">
        <v>40200</v>
      </c>
      <c r="AD119" s="152">
        <v>361.39</v>
      </c>
      <c r="AE119" s="145">
        <f t="shared" si="8"/>
        <v>0</v>
      </c>
    </row>
    <row r="120" spans="1:31" s="175" customFormat="1" ht="15" outlineLevel="1">
      <c r="A120" s="315"/>
      <c r="B120" s="98" t="s">
        <v>396</v>
      </c>
      <c r="C120" s="99" t="s">
        <v>21</v>
      </c>
      <c r="D120" s="100">
        <v>45130</v>
      </c>
      <c r="E120" s="99" t="s">
        <v>84</v>
      </c>
      <c r="F120" s="137" t="s">
        <v>312</v>
      </c>
      <c r="G120" s="123" t="s">
        <v>330</v>
      </c>
      <c r="H120" s="140">
        <v>6.4909999999999997</v>
      </c>
      <c r="I120" s="141">
        <v>2270.31</v>
      </c>
      <c r="J120" s="151" t="str">
        <f>VLOOKUP(G120,'[2]Vendor list'!$A$3:$D$406,4,0)</f>
        <v>FOB</v>
      </c>
      <c r="K120" s="76">
        <f t="shared" si="9"/>
        <v>0</v>
      </c>
      <c r="L120" s="95">
        <f t="shared" si="10"/>
        <v>40.307000000000002</v>
      </c>
      <c r="M120" s="104">
        <f>VLOOKUP(F120,Appendix!$B$7:$N$1048576,13,0)</f>
        <v>0</v>
      </c>
      <c r="N120" s="104">
        <f>K120*H120*[2]Add.fees!$F$11</f>
        <v>0</v>
      </c>
      <c r="O120" s="105">
        <f>IF(AND(C120=[2]Add.fees!$G$4),[2]Add.fees!$E$7,IF(AND(C120=[2]Add.fees!$G$5),[2]Add.fees!$E$7,IF(AND(C120=[2]Add.fees!$G$6),[2]Add.fees!$F$7,0)))*(H120/L120*K120)</f>
        <v>0</v>
      </c>
      <c r="P120" s="105">
        <f>IF(AND(C120=[2]Add.fees!$G$4),[2]Add.fees!$E$4,IF(AND(C120=[2]Add.fees!$G$5),[2]Add.fees!$E$4,IF(AND(C120=[2]Add.fees!$G$6),[2]Add.fees!$F$4,0)))*(H120/L120*K120)</f>
        <v>0</v>
      </c>
      <c r="Q120" s="105">
        <f>IF(AND(C120=[2]Add.fees!$G$4),[2]Add.fees!$E$5,IF(AND(C120=[2]Add.fees!$G$5),[2]Add.fees!$E$5,IF(AND(C120=[2]Add.fees!$G$6),[2]Add.fees!$F$5,0)))*(H120/L120*K120)</f>
        <v>0</v>
      </c>
      <c r="R120" s="105">
        <f>IF(AND(C120=[2]Add.fees!$G$4),[2]Add.fees!$E$6,IF(AND(C120=[2]Add.fees!$G$5),[2]Add.fees!$E$6,IF(AND(C120=[2]Add.fees!$G$6),[2]Add.fees!$F$6,0)))*(H120/L120*K120)</f>
        <v>0</v>
      </c>
      <c r="S120" s="104">
        <v>0</v>
      </c>
      <c r="T120" s="105">
        <f>IF(AND(C120=[2]Add.fees!$G$4,Appendix!D121=[2]Add.fees!$G$8),[2]Add.fees!$E$8,IF(AND(C120=[2]Add.fees!$G$5,Appendix!D121=[2]Add.fees!$G$8),[2]Add.fees!$E$8,IF(AND(C120=[2]Add.fees!$G$6,Appendix!D121=[2]Add.fees!$G$8),[2]Add.fees!$F$8,IF(AND(C120=[2]Add.fees!$G$4,Appendix!D121=[2]Add.fees!$G$9),[2]Add.fees!$E$9,IF(AND(C120=[2]Add.fees!$G$5,Appendix!D121=[2]Add.fees!$G$9),[2]Add.fees!$E$9,IF(AND(C120=[2]Add.fees!$G$6,Appendix!D121=[2]Add.fees!$G$9),[2]Add.fees!$F$9,0))))))*(H120/L120*K120)</f>
        <v>0</v>
      </c>
      <c r="U120" s="105">
        <v>0</v>
      </c>
      <c r="V120" s="105">
        <f t="shared" si="15"/>
        <v>0</v>
      </c>
      <c r="W120" s="106">
        <f t="shared" si="11"/>
        <v>0</v>
      </c>
      <c r="X120" s="84">
        <f t="shared" si="12"/>
        <v>1901.83</v>
      </c>
      <c r="Y120" s="152">
        <f t="shared" si="13"/>
        <v>0</v>
      </c>
      <c r="Z120" s="174">
        <f t="shared" si="14"/>
        <v>0</v>
      </c>
      <c r="AC120" s="109">
        <v>20160</v>
      </c>
      <c r="AD120" s="175">
        <v>0</v>
      </c>
      <c r="AE120" s="176">
        <f t="shared" si="8"/>
        <v>0</v>
      </c>
    </row>
    <row r="121" spans="1:31" s="175" customFormat="1" ht="15" outlineLevel="1">
      <c r="A121" s="315"/>
      <c r="B121" s="98" t="s">
        <v>396</v>
      </c>
      <c r="C121" s="99" t="s">
        <v>21</v>
      </c>
      <c r="D121" s="100">
        <v>45130</v>
      </c>
      <c r="E121" s="99" t="s">
        <v>84</v>
      </c>
      <c r="F121" s="101" t="s">
        <v>313</v>
      </c>
      <c r="G121" s="99" t="s">
        <v>398</v>
      </c>
      <c r="H121" s="140">
        <v>22.54</v>
      </c>
      <c r="I121" s="141">
        <v>7868</v>
      </c>
      <c r="J121" s="151" t="str">
        <f>VLOOKUP(G121,'[2]Vendor list'!$A$3:$D$406,4,0)</f>
        <v>FOB</v>
      </c>
      <c r="K121" s="76">
        <f t="shared" si="9"/>
        <v>0</v>
      </c>
      <c r="L121" s="95">
        <f t="shared" si="10"/>
        <v>40.307000000000002</v>
      </c>
      <c r="M121" s="104">
        <f>VLOOKUP(F121,Appendix!$B$7:$N$1048576,13,0)</f>
        <v>0</v>
      </c>
      <c r="N121" s="104">
        <f>K121*H121*[2]Add.fees!$F$11</f>
        <v>0</v>
      </c>
      <c r="O121" s="105">
        <f>IF(AND(C121=[2]Add.fees!$G$4),[2]Add.fees!$E$7,IF(AND(C121=[2]Add.fees!$G$5),[2]Add.fees!$E$7,IF(AND(C121=[2]Add.fees!$G$6),[2]Add.fees!$F$7,0)))*(H121/L121*K121)</f>
        <v>0</v>
      </c>
      <c r="P121" s="105">
        <f>IF(AND(C121=[2]Add.fees!$G$4),[2]Add.fees!$E$4,IF(AND(C121=[2]Add.fees!$G$5),[2]Add.fees!$E$4,IF(AND(C121=[2]Add.fees!$G$6),[2]Add.fees!$F$4,0)))*(H121/L121*K121)</f>
        <v>0</v>
      </c>
      <c r="Q121" s="105">
        <f>IF(AND(C121=[2]Add.fees!$G$4),[2]Add.fees!$E$5,IF(AND(C121=[2]Add.fees!$G$5),[2]Add.fees!$E$5,IF(AND(C121=[2]Add.fees!$G$6),[2]Add.fees!$F$5,0)))*(H121/L121*K121)</f>
        <v>0</v>
      </c>
      <c r="R121" s="105">
        <f>IF(AND(C121=[2]Add.fees!$G$4),[2]Add.fees!$E$6,IF(AND(C121=[2]Add.fees!$G$5),[2]Add.fees!$E$6,IF(AND(C121=[2]Add.fees!$G$6),[2]Add.fees!$F$6,0)))*(H121/L121*K121)</f>
        <v>0</v>
      </c>
      <c r="S121" s="104">
        <v>0</v>
      </c>
      <c r="T121" s="105">
        <f>IF(AND(C121=[2]Add.fees!$G$4,Appendix!D122=[2]Add.fees!$G$8),[2]Add.fees!$E$8,IF(AND(C121=[2]Add.fees!$G$5,Appendix!D122=[2]Add.fees!$G$8),[2]Add.fees!$E$8,IF(AND(C121=[2]Add.fees!$G$6,Appendix!D122=[2]Add.fees!$G$8),[2]Add.fees!$F$8,IF(AND(C121=[2]Add.fees!$G$4,Appendix!D122=[2]Add.fees!$G$9),[2]Add.fees!$E$9,IF(AND(C121=[2]Add.fees!$G$5,Appendix!D122=[2]Add.fees!$G$9),[2]Add.fees!$E$9,IF(AND(C121=[2]Add.fees!$G$6,Appendix!D122=[2]Add.fees!$G$9),[2]Add.fees!$F$9,0))))))*(H121/L121*K121)</f>
        <v>0</v>
      </c>
      <c r="U121" s="105">
        <v>0</v>
      </c>
      <c r="V121" s="105">
        <f t="shared" si="15"/>
        <v>0</v>
      </c>
      <c r="W121" s="106">
        <f t="shared" si="11"/>
        <v>0</v>
      </c>
      <c r="X121" s="84">
        <f t="shared" si="12"/>
        <v>1901.83</v>
      </c>
      <c r="Y121" s="152">
        <f t="shared" si="13"/>
        <v>0</v>
      </c>
      <c r="Z121" s="174">
        <f t="shared" si="14"/>
        <v>0</v>
      </c>
      <c r="AC121" s="177">
        <v>113797.6</v>
      </c>
      <c r="AD121" s="175">
        <v>0</v>
      </c>
      <c r="AE121" s="176">
        <f t="shared" si="8"/>
        <v>0</v>
      </c>
    </row>
    <row r="122" spans="1:31" s="152" customFormat="1" ht="15" outlineLevel="1">
      <c r="A122" s="316"/>
      <c r="B122" s="89" t="s">
        <v>396</v>
      </c>
      <c r="C122" s="90" t="s">
        <v>21</v>
      </c>
      <c r="D122" s="91">
        <v>45130</v>
      </c>
      <c r="E122" s="90" t="s">
        <v>84</v>
      </c>
      <c r="F122" s="92" t="s">
        <v>399</v>
      </c>
      <c r="G122" s="90" t="s">
        <v>144</v>
      </c>
      <c r="H122" s="93">
        <v>3.2280000000000002</v>
      </c>
      <c r="I122" s="94">
        <v>3306.73</v>
      </c>
      <c r="J122" s="151" t="str">
        <f>VLOOKUP(G122,'[2]Vendor list'!$A$3:$D$406,4,0)</f>
        <v>FCA</v>
      </c>
      <c r="K122" s="76">
        <f t="shared" si="9"/>
        <v>1</v>
      </c>
      <c r="L122" s="95">
        <f t="shared" si="10"/>
        <v>40.307000000000002</v>
      </c>
      <c r="M122" s="82">
        <f>VLOOKUP(F122,Appendix!$B$7:$N$1048576,13,0)</f>
        <v>465000</v>
      </c>
      <c r="N122" s="82">
        <f>K122*H122*[2]Add.fees!$F$11</f>
        <v>27405.72</v>
      </c>
      <c r="O122" s="96">
        <f>IF(AND(C122=[2]Add.fees!$G$4),[2]Add.fees!$E$7,IF(AND(C122=[2]Add.fees!$G$5),[2]Add.fees!$E$7,IF(AND(C122=[2]Add.fees!$G$6),[2]Add.fees!$F$7,0)))*(H122/L122*K122)</f>
        <v>15520.539856600592</v>
      </c>
      <c r="P122" s="96">
        <f>IF(AND(C122=[2]Add.fees!$G$4),[2]Add.fees!$E$4,IF(AND(C122=[2]Add.fees!$G$5),[2]Add.fees!$E$4,IF(AND(C122=[2]Add.fees!$G$6),[2]Add.fees!$F$4,0)))*(H122/L122*K122)</f>
        <v>4004.2672488649614</v>
      </c>
      <c r="Q122" s="96">
        <f>IF(AND(C122=[2]Add.fees!$G$4),[2]Add.fees!$E$5,IF(AND(C122=[2]Add.fees!$G$5),[2]Add.fees!$E$5,IF(AND(C122=[2]Add.fees!$G$6),[2]Add.fees!$F$5,0)))*(H122/L122*K122)</f>
        <v>14847.822958791277</v>
      </c>
      <c r="R122" s="96">
        <f>IF(AND(C122=[2]Add.fees!$G$4),[2]Add.fees!$E$6,IF(AND(C122=[2]Add.fees!$G$5),[2]Add.fees!$E$6,IF(AND(C122=[2]Add.fees!$G$6),[2]Add.fees!$F$6,0)))*(H122/L122*K122)</f>
        <v>728.77663929342305</v>
      </c>
      <c r="S122" s="82">
        <v>0</v>
      </c>
      <c r="T122" s="96">
        <f>IF(AND(C122=[2]Add.fees!$G$4,Appendix!D123=[2]Add.fees!$G$8),[2]Add.fees!$E$8,IF(AND(C122=[2]Add.fees!$G$5,Appendix!D123=[2]Add.fees!$G$8),[2]Add.fees!$E$8,IF(AND(C122=[2]Add.fees!$G$6,Appendix!D123=[2]Add.fees!$G$8),[2]Add.fees!$F$8,IF(AND(C122=[2]Add.fees!$G$4,Appendix!D123=[2]Add.fees!$G$9),[2]Add.fees!$E$9,IF(AND(C122=[2]Add.fees!$G$5,Appendix!D123=[2]Add.fees!$G$9),[2]Add.fees!$E$9,IF(AND(C122=[2]Add.fees!$G$6,Appendix!D123=[2]Add.fees!$G$9),[2]Add.fees!$F$9,0))))))*(H122/L122*K122)</f>
        <v>22463.939266132435</v>
      </c>
      <c r="U122" s="96">
        <v>0</v>
      </c>
      <c r="V122" s="96">
        <f t="shared" si="15"/>
        <v>549971.06596968265</v>
      </c>
      <c r="W122" s="97">
        <f t="shared" si="11"/>
        <v>427.56</v>
      </c>
      <c r="X122" s="84">
        <f t="shared" si="12"/>
        <v>1901.83</v>
      </c>
      <c r="Y122" s="152">
        <f t="shared" si="13"/>
        <v>0</v>
      </c>
      <c r="Z122" s="153">
        <f t="shared" si="14"/>
        <v>0</v>
      </c>
      <c r="AC122" s="318">
        <v>33198</v>
      </c>
      <c r="AD122" s="152">
        <v>427.56</v>
      </c>
      <c r="AE122" s="145">
        <f t="shared" si="8"/>
        <v>0</v>
      </c>
    </row>
    <row r="123" spans="1:31" s="152" customFormat="1" ht="15" outlineLevel="1">
      <c r="A123" s="316"/>
      <c r="B123" s="89" t="s">
        <v>396</v>
      </c>
      <c r="C123" s="90" t="s">
        <v>21</v>
      </c>
      <c r="D123" s="91">
        <v>45130</v>
      </c>
      <c r="E123" s="90" t="s">
        <v>84</v>
      </c>
      <c r="F123" s="92" t="s">
        <v>400</v>
      </c>
      <c r="G123" s="125" t="s">
        <v>144</v>
      </c>
      <c r="H123" s="93">
        <v>0.58399999999999996</v>
      </c>
      <c r="I123" s="94">
        <v>359.7</v>
      </c>
      <c r="J123" s="151" t="str">
        <f>VLOOKUP(G123,'[2]Vendor list'!$A$3:$D$406,4,0)</f>
        <v>FCA</v>
      </c>
      <c r="K123" s="76">
        <f t="shared" si="9"/>
        <v>1</v>
      </c>
      <c r="L123" s="95">
        <f t="shared" si="10"/>
        <v>40.307000000000002</v>
      </c>
      <c r="M123" s="82">
        <f>VLOOKUP(F123,Appendix!$B$7:$N$1048576,13,0)</f>
        <v>289000</v>
      </c>
      <c r="N123" s="82">
        <f>K123*H123*[2]Add.fees!$F$11</f>
        <v>4958.16</v>
      </c>
      <c r="O123" s="96">
        <f>IF(AND(C123=[2]Add.fees!$G$4),[2]Add.fees!$E$7,IF(AND(C123=[2]Add.fees!$G$5),[2]Add.fees!$E$7,IF(AND(C123=[2]Add.fees!$G$6),[2]Add.fees!$F$7,0)))*(H123/L123*K123)</f>
        <v>2807.9291438211721</v>
      </c>
      <c r="P123" s="96">
        <f>IF(AND(C123=[2]Add.fees!$G$4),[2]Add.fees!$E$4,IF(AND(C123=[2]Add.fees!$G$5),[2]Add.fees!$E$4,IF(AND(C123=[2]Add.fees!$G$6),[2]Add.fees!$F$4,0)))*(H123/L123*K123)</f>
        <v>724.4399235864737</v>
      </c>
      <c r="Q123" s="96">
        <f>IF(AND(C123=[2]Add.fees!$G$4),[2]Add.fees!$E$5,IF(AND(C123=[2]Add.fees!$G$5),[2]Add.fees!$E$5,IF(AND(C123=[2]Add.fees!$G$6),[2]Add.fees!$F$5,0)))*(H123/L123*K123)</f>
        <v>2686.2232366586445</v>
      </c>
      <c r="R123" s="96">
        <f>IF(AND(C123=[2]Add.fees!$G$4),[2]Add.fees!$E$6,IF(AND(C123=[2]Add.fees!$G$5),[2]Add.fees!$E$6,IF(AND(C123=[2]Add.fees!$G$6),[2]Add.fees!$F$6,0)))*(H123/L123*K123)</f>
        <v>131.84806609273821</v>
      </c>
      <c r="S123" s="82">
        <v>0</v>
      </c>
      <c r="T123" s="96">
        <f>IF(AND(C123=[2]Add.fees!$G$4,Appendix!D124=[2]Add.fees!$G$8),[2]Add.fees!$E$8,IF(AND(C123=[2]Add.fees!$G$5,Appendix!D124=[2]Add.fees!$G$8),[2]Add.fees!$E$8,IF(AND(C123=[2]Add.fees!$G$6,Appendix!D124=[2]Add.fees!$G$8),[2]Add.fees!$F$8,IF(AND(C123=[2]Add.fees!$G$4,Appendix!D124=[2]Add.fees!$G$9),[2]Add.fees!$E$9,IF(AND(C123=[2]Add.fees!$G$5,Appendix!D124=[2]Add.fees!$G$9),[2]Add.fees!$E$9,IF(AND(C123=[2]Add.fees!$G$6,Appendix!D124=[2]Add.fees!$G$9),[2]Add.fees!$F$9,0))))))*(H123/L123*K123)</f>
        <v>4064.1079713201175</v>
      </c>
      <c r="U123" s="96">
        <v>0</v>
      </c>
      <c r="V123" s="96">
        <f t="shared" si="15"/>
        <v>304372.70834147919</v>
      </c>
      <c r="W123" s="97">
        <f t="shared" si="11"/>
        <v>236.63</v>
      </c>
      <c r="X123" s="84">
        <f t="shared" si="12"/>
        <v>1901.83</v>
      </c>
      <c r="Y123" s="152">
        <f t="shared" si="13"/>
        <v>0</v>
      </c>
      <c r="Z123" s="153">
        <f t="shared" si="14"/>
        <v>0</v>
      </c>
      <c r="AC123" s="319"/>
      <c r="AD123" s="152">
        <v>236.63</v>
      </c>
      <c r="AE123" s="145">
        <f t="shared" si="8"/>
        <v>0</v>
      </c>
    </row>
    <row r="124" spans="1:31" s="152" customFormat="1" ht="15" outlineLevel="1">
      <c r="A124" s="316"/>
      <c r="B124" s="89" t="s">
        <v>396</v>
      </c>
      <c r="C124" s="90" t="s">
        <v>21</v>
      </c>
      <c r="D124" s="91">
        <v>45130</v>
      </c>
      <c r="E124" s="90" t="s">
        <v>84</v>
      </c>
      <c r="F124" s="92" t="s">
        <v>401</v>
      </c>
      <c r="G124" s="125" t="s">
        <v>357</v>
      </c>
      <c r="H124" s="93">
        <v>4.8600000000000003</v>
      </c>
      <c r="I124" s="94">
        <v>5155</v>
      </c>
      <c r="J124" s="151" t="str">
        <f>VLOOKUP(G124,'[2]Vendor list'!$A$3:$D$406,4,0)</f>
        <v>FCA</v>
      </c>
      <c r="K124" s="76">
        <f t="shared" si="9"/>
        <v>1</v>
      </c>
      <c r="L124" s="95">
        <f t="shared" si="10"/>
        <v>40.307000000000002</v>
      </c>
      <c r="M124" s="82">
        <f>VLOOKUP(F124,Appendix!$B$7:$N$1048576,13,0)</f>
        <v>698500</v>
      </c>
      <c r="N124" s="82">
        <f>K124*H124*[2]Add.fees!$F$11</f>
        <v>41261.4</v>
      </c>
      <c r="O124" s="96">
        <f>IF(AND(C124=[2]Add.fees!$G$4),[2]Add.fees!$E$7,IF(AND(C124=[2]Add.fees!$G$5),[2]Add.fees!$E$7,IF(AND(C124=[2]Add.fees!$G$6),[2]Add.fees!$F$7,0)))*(H124/L124*K124)</f>
        <v>23367.355546183044</v>
      </c>
      <c r="P124" s="96">
        <f>IF(AND(C124=[2]Add.fees!$G$4),[2]Add.fees!$E$4,IF(AND(C124=[2]Add.fees!$G$5),[2]Add.fees!$E$4,IF(AND(C124=[2]Add.fees!$G$6),[2]Add.fees!$F$4,0)))*(H124/L124*K124)</f>
        <v>6028.7295010792168</v>
      </c>
      <c r="Q124" s="96">
        <f>IF(AND(C124=[2]Add.fees!$G$4),[2]Add.fees!$E$5,IF(AND(C124=[2]Add.fees!$G$5),[2]Add.fees!$E$5,IF(AND(C124=[2]Add.fees!$G$6),[2]Add.fees!$F$5,0)))*(H124/L124*K124)</f>
        <v>22354.528990001738</v>
      </c>
      <c r="R124" s="96">
        <f>IF(AND(C124=[2]Add.fees!$G$4),[2]Add.fees!$E$6,IF(AND(C124=[2]Add.fees!$G$5),[2]Add.fees!$E$6,IF(AND(C124=[2]Add.fees!$G$6),[2]Add.fees!$F$6,0)))*(H124/L124*K124)</f>
        <v>1097.2287691964175</v>
      </c>
      <c r="S124" s="82">
        <v>0</v>
      </c>
      <c r="T124" s="96">
        <f>IF(AND(C124=[2]Add.fees!$G$4,Appendix!D125=[2]Add.fees!$G$8),[2]Add.fees!$E$8,IF(AND(C124=[2]Add.fees!$G$5,Appendix!D125=[2]Add.fees!$G$8),[2]Add.fees!$E$8,IF(AND(C124=[2]Add.fees!$G$6,Appendix!D125=[2]Add.fees!$G$8),[2]Add.fees!$F$8,IF(AND(C124=[2]Add.fees!$G$4,Appendix!D125=[2]Add.fees!$G$9),[2]Add.fees!$E$9,IF(AND(C124=[2]Add.fees!$G$5,Appendix!D125=[2]Add.fees!$G$9),[2]Add.fees!$E$9,IF(AND(C124=[2]Add.fees!$G$6,Appendix!D125=[2]Add.fees!$G$9),[2]Add.fees!$F$9,0))))))*(H124/L124*K124)</f>
        <v>33821.172501054411</v>
      </c>
      <c r="U124" s="96">
        <v>0</v>
      </c>
      <c r="V124" s="96">
        <f t="shared" si="15"/>
        <v>826430.41530751484</v>
      </c>
      <c r="W124" s="97">
        <f t="shared" si="11"/>
        <v>642.49</v>
      </c>
      <c r="X124" s="84">
        <f t="shared" si="12"/>
        <v>1901.83</v>
      </c>
      <c r="Y124" s="152">
        <f t="shared" si="13"/>
        <v>0</v>
      </c>
      <c r="Z124" s="153">
        <f t="shared" si="14"/>
        <v>0</v>
      </c>
      <c r="AC124" s="319"/>
      <c r="AD124" s="152">
        <v>642.49</v>
      </c>
      <c r="AE124" s="145">
        <f t="shared" si="8"/>
        <v>0</v>
      </c>
    </row>
    <row r="125" spans="1:31" s="152" customFormat="1" ht="15.75" outlineLevel="1" thickBot="1">
      <c r="A125" s="317"/>
      <c r="B125" s="89" t="s">
        <v>396</v>
      </c>
      <c r="C125" s="90" t="s">
        <v>21</v>
      </c>
      <c r="D125" s="91">
        <v>45130</v>
      </c>
      <c r="E125" s="90" t="s">
        <v>84</v>
      </c>
      <c r="F125" s="92" t="s">
        <v>402</v>
      </c>
      <c r="G125" s="125" t="s">
        <v>98</v>
      </c>
      <c r="H125" s="130">
        <v>0.44400000000000001</v>
      </c>
      <c r="I125" s="131">
        <v>84.3</v>
      </c>
      <c r="J125" s="151" t="str">
        <f>VLOOKUP(G125,'[2]Vendor list'!$A$3:$D$406,4,0)</f>
        <v>FCA</v>
      </c>
      <c r="K125" s="76">
        <f t="shared" si="9"/>
        <v>1</v>
      </c>
      <c r="L125" s="95">
        <f t="shared" si="10"/>
        <v>40.307000000000002</v>
      </c>
      <c r="M125" s="82">
        <f>VLOOKUP(F125,Appendix!$B$7:$N$1048576,13,0)</f>
        <v>289000</v>
      </c>
      <c r="N125" s="82">
        <f>K125*H125*[2]Add.fees!$F$11</f>
        <v>3769.56</v>
      </c>
      <c r="O125" s="96">
        <f>IF(AND(C125=[2]Add.fees!$G$4),[2]Add.fees!$E$7,IF(AND(C125=[2]Add.fees!$G$5),[2]Add.fees!$E$7,IF(AND(C125=[2]Add.fees!$G$6),[2]Add.fees!$F$7,0)))*(H125/L125*K125)</f>
        <v>2134.7954449599324</v>
      </c>
      <c r="P125" s="96">
        <f>IF(AND(C125=[2]Add.fees!$G$4),[2]Add.fees!$E$4,IF(AND(C125=[2]Add.fees!$G$5),[2]Add.fees!$E$4,IF(AND(C125=[2]Add.fees!$G$6),[2]Add.fees!$F$4,0)))*(H125/L125*K125)</f>
        <v>550.77281861711367</v>
      </c>
      <c r="Q125" s="96">
        <f>IF(AND(C125=[2]Add.fees!$G$4),[2]Add.fees!$E$5,IF(AND(C125=[2]Add.fees!$G$5),[2]Add.fees!$E$5,IF(AND(C125=[2]Add.fees!$G$6),[2]Add.fees!$F$5,0)))*(H125/L125*K125)</f>
        <v>2042.2656114322574</v>
      </c>
      <c r="R125" s="96">
        <f>IF(AND(C125=[2]Add.fees!$G$4),[2]Add.fees!$E$6,IF(AND(C125=[2]Add.fees!$G$5),[2]Add.fees!$E$6,IF(AND(C125=[2]Add.fees!$G$6),[2]Add.fees!$F$6,0)))*(H125/L125*K125)</f>
        <v>100.24065298831469</v>
      </c>
      <c r="S125" s="82">
        <v>0</v>
      </c>
      <c r="T125" s="96">
        <f>IF(AND(C125=[2]Add.fees!$G$4,Appendix!D126=[2]Add.fees!$G$8),[2]Add.fees!$E$8,IF(AND(C125=[2]Add.fees!$G$5,Appendix!D126=[2]Add.fees!$G$8),[2]Add.fees!$E$8,IF(AND(C125=[2]Add.fees!$G$6,Appendix!D126=[2]Add.fees!$G$8),[2]Add.fees!$F$8,IF(AND(C125=[2]Add.fees!$G$4,Appendix!D126=[2]Add.fees!$G$9),[2]Add.fees!$E$9,IF(AND(C125=[2]Add.fees!$G$5,Appendix!D126=[2]Add.fees!$G$9),[2]Add.fees!$E$9,IF(AND(C125=[2]Add.fees!$G$6,Appendix!D126=[2]Add.fees!$G$9),[2]Add.fees!$F$9,0))))))*(H125/L125*K125)</f>
        <v>3089.8355124420077</v>
      </c>
      <c r="U125" s="96">
        <v>0</v>
      </c>
      <c r="V125" s="96">
        <f t="shared" si="15"/>
        <v>300687.47004043963</v>
      </c>
      <c r="W125" s="97">
        <f t="shared" si="11"/>
        <v>233.76</v>
      </c>
      <c r="X125" s="84">
        <f t="shared" si="12"/>
        <v>1901.83</v>
      </c>
      <c r="Y125" s="152">
        <f t="shared" si="13"/>
        <v>0</v>
      </c>
      <c r="Z125" s="153">
        <f t="shared" si="14"/>
        <v>0</v>
      </c>
      <c r="AC125" s="320"/>
      <c r="AD125" s="152">
        <v>233.76</v>
      </c>
      <c r="AE125" s="145">
        <f t="shared" si="8"/>
        <v>0</v>
      </c>
    </row>
    <row r="126" spans="1:31" ht="15.75" thickBot="1">
      <c r="A126" s="321" t="s">
        <v>403</v>
      </c>
      <c r="B126" s="322"/>
      <c r="C126" s="322"/>
      <c r="D126" s="322"/>
      <c r="E126" s="322"/>
      <c r="F126" s="178"/>
      <c r="G126" s="179"/>
      <c r="H126" s="180">
        <f>SUM(H6:H125)</f>
        <v>2138.5219999999995</v>
      </c>
      <c r="I126" s="181">
        <f>SUM(I6:I125)</f>
        <v>578262.82999999996</v>
      </c>
      <c r="J126" s="182"/>
      <c r="K126" s="182"/>
      <c r="L126" s="182"/>
      <c r="M126" s="181">
        <f>SUM(M6:M125)</f>
        <v>58445200</v>
      </c>
      <c r="N126" s="183"/>
      <c r="O126" s="183"/>
      <c r="P126" s="183"/>
      <c r="Q126" s="183"/>
      <c r="R126" s="183"/>
      <c r="S126" s="183"/>
      <c r="T126" s="183"/>
      <c r="U126" s="183"/>
      <c r="V126" s="184">
        <f>SUM(V5:V125)</f>
        <v>102279195.83231358</v>
      </c>
      <c r="W126" s="185">
        <f>Z126</f>
        <v>79514.23000000001</v>
      </c>
      <c r="X126" s="84">
        <f t="shared" si="12"/>
        <v>0</v>
      </c>
      <c r="Y126" s="152" t="e">
        <f>IF(B126=#REF!,0,1)</f>
        <v>#REF!</v>
      </c>
      <c r="Z126" s="153">
        <f>SUM(Z6:Z125)</f>
        <v>79514.23000000001</v>
      </c>
    </row>
    <row r="127" spans="1:31">
      <c r="H127" s="186"/>
      <c r="I127" s="187"/>
      <c r="J127" s="187"/>
      <c r="K127" s="187"/>
      <c r="L127" s="187"/>
      <c r="M127" s="188"/>
    </row>
    <row r="128" spans="1:31">
      <c r="B128" s="189" t="s">
        <v>404</v>
      </c>
      <c r="H128" s="186"/>
      <c r="I128" s="186"/>
      <c r="J128" s="186"/>
      <c r="K128" s="186"/>
      <c r="L128" s="186"/>
      <c r="M128" s="186"/>
      <c r="P128" s="190"/>
    </row>
    <row r="129" spans="1:23" ht="33.75" customHeight="1">
      <c r="B129" s="191" t="s">
        <v>405</v>
      </c>
      <c r="C129" s="192">
        <v>7.7742399999999998E-4</v>
      </c>
      <c r="D129" s="193">
        <f>W126</f>
        <v>79514.23000000001</v>
      </c>
      <c r="H129" s="186"/>
      <c r="I129" s="187"/>
      <c r="J129" s="187"/>
      <c r="K129" s="187"/>
      <c r="L129" s="187"/>
      <c r="M129" s="194"/>
      <c r="T129" s="195"/>
      <c r="U129" s="195"/>
      <c r="V129" s="196"/>
      <c r="W129" s="197"/>
    </row>
    <row r="130" spans="1:23">
      <c r="A130" s="198"/>
      <c r="B130" s="189"/>
      <c r="H130" s="186"/>
      <c r="I130" s="187"/>
      <c r="J130" s="187"/>
      <c r="K130" s="187"/>
      <c r="L130" s="187"/>
      <c r="M130" s="194"/>
      <c r="P130" s="190"/>
      <c r="V130" s="190"/>
    </row>
    <row r="131" spans="1:23" ht="15">
      <c r="B131" s="199" t="s">
        <v>406</v>
      </c>
      <c r="C131" s="152" t="s">
        <v>407</v>
      </c>
      <c r="D131" s="85"/>
      <c r="E131" s="152"/>
      <c r="F131" s="200"/>
      <c r="H131" s="186"/>
      <c r="I131" s="187"/>
      <c r="J131" s="187"/>
      <c r="K131" s="187"/>
      <c r="L131" s="187"/>
    </row>
    <row r="132" spans="1:23" ht="15">
      <c r="B132" s="201" t="s">
        <v>408</v>
      </c>
      <c r="C132" s="152" t="s">
        <v>409</v>
      </c>
      <c r="D132" s="85"/>
      <c r="E132" s="152"/>
      <c r="F132" s="200"/>
      <c r="H132" s="186"/>
      <c r="I132" s="187"/>
      <c r="J132" s="187"/>
      <c r="K132" s="187"/>
      <c r="L132" s="187"/>
      <c r="N132" s="202"/>
    </row>
    <row r="133" spans="1:23" ht="18.75" customHeight="1">
      <c r="B133" s="203"/>
      <c r="C133" s="152"/>
      <c r="D133" s="152"/>
      <c r="E133" s="152"/>
      <c r="F133" s="200"/>
      <c r="H133" s="186"/>
      <c r="I133" s="187"/>
      <c r="J133" s="187"/>
      <c r="K133" s="187"/>
      <c r="L133" s="187"/>
    </row>
    <row r="134" spans="1:23" ht="18.75" customHeight="1">
      <c r="B134" s="189"/>
      <c r="H134" s="186"/>
      <c r="I134" s="187"/>
      <c r="J134" s="187"/>
      <c r="K134" s="187"/>
      <c r="L134" s="187"/>
    </row>
    <row r="135" spans="1:23">
      <c r="A135" s="204"/>
      <c r="B135" s="189" t="s">
        <v>410</v>
      </c>
      <c r="C135" s="205"/>
      <c r="D135" s="205"/>
      <c r="E135" s="205"/>
      <c r="F135" s="204"/>
      <c r="G135" s="205"/>
      <c r="H135" s="206"/>
      <c r="I135" s="187"/>
      <c r="J135" s="187"/>
      <c r="K135" s="187"/>
      <c r="L135" s="187"/>
      <c r="M135" s="205"/>
      <c r="O135" s="55" t="s">
        <v>411</v>
      </c>
      <c r="P135" s="205"/>
      <c r="Q135" s="205"/>
      <c r="R135" s="205"/>
      <c r="S135" s="205"/>
    </row>
    <row r="136" spans="1:23" ht="40.5" customHeight="1">
      <c r="A136" s="204"/>
      <c r="B136" s="207"/>
      <c r="C136" s="208"/>
      <c r="D136" s="208"/>
      <c r="E136" s="209"/>
      <c r="F136" s="210"/>
      <c r="G136" s="209"/>
      <c r="H136" s="211"/>
      <c r="I136" s="187"/>
      <c r="J136" s="187"/>
      <c r="K136" s="187"/>
      <c r="L136" s="187"/>
      <c r="M136" s="205"/>
      <c r="O136" s="212"/>
      <c r="P136" s="213"/>
      <c r="Q136" s="213"/>
      <c r="R136" s="209"/>
      <c r="S136" s="209"/>
    </row>
    <row r="137" spans="1:23" ht="40.5" customHeight="1">
      <c r="A137" s="204"/>
      <c r="B137" s="214" t="s">
        <v>412</v>
      </c>
      <c r="C137" s="209"/>
      <c r="D137" s="209"/>
      <c r="E137" s="209"/>
      <c r="F137" s="210"/>
      <c r="G137" s="209"/>
      <c r="H137" s="211"/>
      <c r="I137" s="187"/>
      <c r="J137" s="187"/>
      <c r="K137" s="187"/>
      <c r="L137" s="187"/>
      <c r="M137" s="205"/>
      <c r="O137" s="55" t="s">
        <v>413</v>
      </c>
      <c r="P137" s="215"/>
      <c r="Q137" s="215"/>
      <c r="R137" s="209"/>
      <c r="S137" s="209"/>
    </row>
    <row r="138" spans="1:23" ht="40.5" customHeight="1">
      <c r="A138" s="216"/>
      <c r="B138" s="214" t="s">
        <v>414</v>
      </c>
      <c r="C138" s="212"/>
      <c r="D138" s="212"/>
      <c r="H138" s="186"/>
      <c r="I138" s="187"/>
      <c r="J138" s="187"/>
      <c r="K138" s="187"/>
      <c r="L138" s="187"/>
      <c r="M138" s="205"/>
      <c r="O138" s="55" t="s">
        <v>415</v>
      </c>
    </row>
    <row r="139" spans="1:23" ht="40.5" customHeight="1">
      <c r="A139" s="217"/>
      <c r="B139" s="214" t="s">
        <v>416</v>
      </c>
      <c r="C139" s="209"/>
      <c r="D139" s="209"/>
      <c r="E139" s="209"/>
      <c r="F139" s="210"/>
      <c r="G139" s="209"/>
      <c r="H139" s="186"/>
      <c r="I139" s="187"/>
      <c r="J139" s="187"/>
      <c r="K139" s="187"/>
      <c r="L139" s="187"/>
      <c r="M139" s="205"/>
    </row>
    <row r="140" spans="1:23">
      <c r="B140" s="189"/>
      <c r="H140" s="186"/>
      <c r="I140" s="187"/>
      <c r="J140" s="187"/>
      <c r="K140" s="187"/>
      <c r="L140" s="187"/>
      <c r="M140" s="205"/>
    </row>
    <row r="141" spans="1:23" ht="28.5" customHeight="1">
      <c r="A141" s="218"/>
      <c r="B141" s="219" t="s">
        <v>417</v>
      </c>
      <c r="H141" s="186"/>
      <c r="I141" s="187"/>
      <c r="J141" s="187"/>
      <c r="K141" s="187"/>
      <c r="L141" s="187"/>
      <c r="M141" s="205"/>
    </row>
  </sheetData>
  <autoFilter ref="A5:AE126" xr:uid="{00000000-0001-0000-0100-000000000000}"/>
  <mergeCells count="39">
    <mergeCell ref="A16:A19"/>
    <mergeCell ref="A1:M1"/>
    <mergeCell ref="A2:W2"/>
    <mergeCell ref="J4:K4"/>
    <mergeCell ref="A6:A9"/>
    <mergeCell ref="A10:A15"/>
    <mergeCell ref="A56:A57"/>
    <mergeCell ref="A20:A22"/>
    <mergeCell ref="A23:A24"/>
    <mergeCell ref="A25:A28"/>
    <mergeCell ref="A29:A32"/>
    <mergeCell ref="A33:A35"/>
    <mergeCell ref="A36:A39"/>
    <mergeCell ref="A40:A41"/>
    <mergeCell ref="A44:A48"/>
    <mergeCell ref="A49:A50"/>
    <mergeCell ref="A51:A53"/>
    <mergeCell ref="A54:A55"/>
    <mergeCell ref="A100:A101"/>
    <mergeCell ref="A58:A64"/>
    <mergeCell ref="AC60:AC64"/>
    <mergeCell ref="A65:A68"/>
    <mergeCell ref="A69:A72"/>
    <mergeCell ref="A73:A76"/>
    <mergeCell ref="A77:A81"/>
    <mergeCell ref="A82:A84"/>
    <mergeCell ref="A85:A87"/>
    <mergeCell ref="A88:A91"/>
    <mergeCell ref="A93:A95"/>
    <mergeCell ref="A96:A98"/>
    <mergeCell ref="A119:A125"/>
    <mergeCell ref="AC122:AC125"/>
    <mergeCell ref="A126:E126"/>
    <mergeCell ref="A102:A103"/>
    <mergeCell ref="A104:A108"/>
    <mergeCell ref="A109:A111"/>
    <mergeCell ref="A112:A113"/>
    <mergeCell ref="A114:A115"/>
    <mergeCell ref="A116:A118"/>
  </mergeCells>
  <conditionalFormatting sqref="F2">
    <cfRule type="duplicateValues" dxfId="89" priority="10"/>
    <cfRule type="duplicateValues" dxfId="88" priority="11"/>
  </conditionalFormatting>
  <conditionalFormatting sqref="F126:F1048576 F1:F5">
    <cfRule type="duplicateValues" dxfId="87" priority="9"/>
  </conditionalFormatting>
  <conditionalFormatting sqref="F126:F1048576 F3:F5">
    <cfRule type="duplicateValues" dxfId="86" priority="12"/>
  </conditionalFormatting>
  <conditionalFormatting sqref="F126:F1048576">
    <cfRule type="duplicateValues" dxfId="85" priority="13"/>
  </conditionalFormatting>
  <conditionalFormatting sqref="F6:F64">
    <cfRule type="duplicateValues" dxfId="84" priority="14"/>
  </conditionalFormatting>
  <conditionalFormatting sqref="F65:F125">
    <cfRule type="duplicateValues" dxfId="83" priority="8"/>
  </conditionalFormatting>
  <conditionalFormatting sqref="F65:F125">
    <cfRule type="duplicateValues" dxfId="82" priority="2"/>
    <cfRule type="duplicateValues" dxfId="81" priority="3"/>
    <cfRule type="duplicateValues" dxfId="80" priority="4"/>
    <cfRule type="duplicateValues" dxfId="79" priority="5"/>
    <cfRule type="duplicateValues" dxfId="78" priority="6"/>
    <cfRule type="duplicateValues" dxfId="77" priority="7"/>
  </conditionalFormatting>
  <conditionalFormatting sqref="F6:F64">
    <cfRule type="duplicateValues" dxfId="76" priority="15"/>
    <cfRule type="duplicateValues" dxfId="75" priority="16"/>
    <cfRule type="duplicateValues" dxfId="74" priority="17"/>
    <cfRule type="duplicateValues" dxfId="73" priority="18"/>
    <cfRule type="duplicateValues" dxfId="72" priority="19"/>
    <cfRule type="duplicateValues" dxfId="71" priority="20"/>
  </conditionalFormatting>
  <conditionalFormatting sqref="B129">
    <cfRule type="duplicateValues" dxfId="70" priority="1"/>
  </conditionalFormatting>
  <printOptions horizontalCentered="1"/>
  <pageMargins left="0.31496062992125984" right="0.31496062992125984" top="0.35433070866141736" bottom="0.55118110236220474" header="0.31496062992125984" footer="0.31496062992125984"/>
  <pageSetup paperSize="9" scale="40" fitToHeight="6" orientation="landscape" r:id="rId1"/>
  <headerFooter>
    <oddFooter>&amp;LACT OF EXECUTED WORKS / АКТ ВЫПОЛНЕННЫХ РАБОТ &amp;C&amp;P / &amp;N&amp;RNo. 468 LCL</oddFooter>
  </headerFooter>
  <rowBreaks count="2" manualBreakCount="2">
    <brk id="41" max="22" man="1"/>
    <brk id="120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DFEF-ED2D-40E1-B40B-4E986EE3FC00}">
  <dimension ref="A1:X134"/>
  <sheetViews>
    <sheetView view="pageBreakPreview" zoomScaleNormal="100" zoomScaleSheetLayoutView="100" workbookViewId="0">
      <selection sqref="A1:XFD1048576"/>
    </sheetView>
  </sheetViews>
  <sheetFormatPr defaultColWidth="9" defaultRowHeight="15" outlineLevelCol="1"/>
  <cols>
    <col min="1" max="1" width="35.85546875" style="223" bestFit="1" customWidth="1"/>
    <col min="2" max="2" width="40.42578125" style="223" customWidth="1"/>
    <col min="3" max="3" width="25.42578125" style="223" customWidth="1"/>
    <col min="4" max="4" width="13" style="223" customWidth="1"/>
    <col min="5" max="5" width="11.85546875" style="308" customWidth="1"/>
    <col min="6" max="6" width="17.42578125" style="309" customWidth="1"/>
    <col min="7" max="7" width="10.5703125" style="223" hidden="1" customWidth="1" outlineLevel="1"/>
    <col min="8" max="8" width="20.42578125" style="223" customWidth="1" collapsed="1"/>
    <col min="9" max="9" width="23.42578125" style="223" bestFit="1" customWidth="1"/>
    <col min="10" max="10" width="24.5703125" style="223" hidden="1" customWidth="1" outlineLevel="1"/>
    <col min="11" max="12" width="8.42578125" style="223" hidden="1" customWidth="1" outlineLevel="1"/>
    <col min="13" max="13" width="8.85546875" style="223" hidden="1" customWidth="1" outlineLevel="1"/>
    <col min="14" max="14" width="21.42578125" style="223" customWidth="1" collapsed="1"/>
    <col min="15" max="15" width="10.5703125" style="223" customWidth="1"/>
    <col min="16" max="16" width="9" style="223"/>
    <col min="17" max="17" width="14" style="223" customWidth="1"/>
    <col min="18" max="18" width="12.85546875" style="223" customWidth="1"/>
    <col min="19" max="20" width="14.85546875" style="223" customWidth="1"/>
    <col min="21" max="23" width="6" style="223" bestFit="1" customWidth="1" outlineLevel="1"/>
    <col min="24" max="24" width="30.140625" style="223" bestFit="1" customWidth="1" outlineLevel="1"/>
    <col min="25" max="16384" width="9" style="223"/>
  </cols>
  <sheetData>
    <row r="1" spans="1:24" ht="18.75">
      <c r="A1" s="347" t="s">
        <v>418</v>
      </c>
      <c r="B1" s="347"/>
      <c r="C1" s="347"/>
      <c r="D1" s="347"/>
      <c r="E1" s="347"/>
      <c r="F1" s="222" t="s">
        <v>438</v>
      </c>
      <c r="H1" s="222"/>
      <c r="I1" s="222"/>
      <c r="J1" s="222"/>
      <c r="K1" s="222"/>
      <c r="L1" s="222"/>
      <c r="M1" s="222"/>
      <c r="N1" s="222"/>
    </row>
    <row r="2" spans="1:24" ht="20.25">
      <c r="A2" s="348" t="s">
        <v>320</v>
      </c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52"/>
      <c r="P2" s="52"/>
      <c r="Q2" s="52"/>
      <c r="R2" s="52"/>
      <c r="S2" s="52"/>
      <c r="T2" s="52"/>
      <c r="U2" s="52"/>
      <c r="V2" s="52"/>
    </row>
    <row r="3" spans="1:24" ht="18.75">
      <c r="A3" s="224"/>
      <c r="B3" s="224"/>
      <c r="C3" s="224"/>
      <c r="D3" s="224"/>
      <c r="E3" s="225"/>
      <c r="F3" s="226"/>
      <c r="G3" s="224"/>
      <c r="H3" s="224"/>
      <c r="I3" s="224"/>
      <c r="J3" s="227"/>
      <c r="K3" s="227"/>
      <c r="L3" s="227"/>
      <c r="M3" s="227"/>
      <c r="N3" s="227"/>
    </row>
    <row r="4" spans="1:24" ht="15.75" thickBot="1">
      <c r="A4" s="228"/>
      <c r="E4" s="229"/>
      <c r="F4" s="230"/>
      <c r="O4" s="231" t="s">
        <v>86</v>
      </c>
      <c r="U4" s="231" t="s">
        <v>62</v>
      </c>
      <c r="V4" s="231" t="s">
        <v>419</v>
      </c>
    </row>
    <row r="5" spans="1:24" ht="27.75" customHeight="1">
      <c r="A5" s="349" t="s">
        <v>61</v>
      </c>
      <c r="B5" s="351" t="s">
        <v>420</v>
      </c>
      <c r="C5" s="341" t="s">
        <v>421</v>
      </c>
      <c r="D5" s="341" t="s">
        <v>422</v>
      </c>
      <c r="E5" s="353" t="s">
        <v>62</v>
      </c>
      <c r="F5" s="355" t="s">
        <v>63</v>
      </c>
      <c r="G5" s="232">
        <v>333</v>
      </c>
      <c r="H5" s="341" t="s">
        <v>423</v>
      </c>
      <c r="I5" s="341" t="s">
        <v>424</v>
      </c>
      <c r="J5" s="341" t="s">
        <v>425</v>
      </c>
      <c r="K5" s="343" t="s">
        <v>426</v>
      </c>
      <c r="L5" s="343"/>
      <c r="M5" s="343"/>
      <c r="N5" s="344" t="s">
        <v>427</v>
      </c>
      <c r="O5" s="346" t="s">
        <v>64</v>
      </c>
      <c r="Q5" s="330" t="s">
        <v>424</v>
      </c>
      <c r="R5" s="330" t="s">
        <v>424</v>
      </c>
      <c r="S5" s="330" t="s">
        <v>424</v>
      </c>
      <c r="T5" s="332" t="s">
        <v>424</v>
      </c>
      <c r="U5" s="334" t="s">
        <v>423</v>
      </c>
      <c r="V5" s="335"/>
      <c r="W5" s="336"/>
      <c r="X5" s="330" t="s">
        <v>423</v>
      </c>
    </row>
    <row r="6" spans="1:24" ht="75.75" thickBot="1">
      <c r="A6" s="350"/>
      <c r="B6" s="352"/>
      <c r="C6" s="342"/>
      <c r="D6" s="342"/>
      <c r="E6" s="354"/>
      <c r="F6" s="356"/>
      <c r="G6" s="233" t="s">
        <v>428</v>
      </c>
      <c r="H6" s="342"/>
      <c r="I6" s="342"/>
      <c r="J6" s="342"/>
      <c r="K6" s="233" t="s">
        <v>429</v>
      </c>
      <c r="L6" s="233" t="s">
        <v>424</v>
      </c>
      <c r="M6" s="233" t="s">
        <v>430</v>
      </c>
      <c r="N6" s="345"/>
      <c r="O6" s="346"/>
      <c r="Q6" s="331"/>
      <c r="R6" s="331"/>
      <c r="S6" s="331"/>
      <c r="T6" s="333"/>
      <c r="U6" s="337"/>
      <c r="V6" s="338"/>
      <c r="W6" s="339"/>
      <c r="X6" s="331"/>
    </row>
    <row r="7" spans="1:24" ht="20.25" customHeight="1">
      <c r="A7" s="234" t="s">
        <v>152</v>
      </c>
      <c r="B7" s="235" t="s">
        <v>151</v>
      </c>
      <c r="C7" s="236" t="s">
        <v>439</v>
      </c>
      <c r="D7" s="237" t="s">
        <v>440</v>
      </c>
      <c r="E7" s="238">
        <v>26.97</v>
      </c>
      <c r="F7" s="239">
        <v>17900</v>
      </c>
      <c r="G7" s="240">
        <v>17900</v>
      </c>
      <c r="H7" s="241" t="s">
        <v>441</v>
      </c>
      <c r="I7" s="242">
        <v>768000</v>
      </c>
      <c r="J7" s="242">
        <v>768000</v>
      </c>
      <c r="K7" s="242"/>
      <c r="L7" s="242">
        <v>0</v>
      </c>
      <c r="M7" s="242">
        <v>0</v>
      </c>
      <c r="N7" s="243">
        <v>768000</v>
      </c>
      <c r="O7" s="223" t="s">
        <v>86</v>
      </c>
      <c r="Q7" s="244">
        <v>0</v>
      </c>
      <c r="R7" s="244">
        <v>0</v>
      </c>
      <c r="S7" s="244">
        <v>768000</v>
      </c>
      <c r="T7" s="245">
        <v>0</v>
      </c>
      <c r="U7" s="246">
        <v>10</v>
      </c>
      <c r="V7" s="246">
        <v>18</v>
      </c>
      <c r="W7" s="246">
        <v>18</v>
      </c>
      <c r="X7" s="246" t="s">
        <v>441</v>
      </c>
    </row>
    <row r="8" spans="1:24" ht="20.25" customHeight="1">
      <c r="A8" s="247" t="s">
        <v>152</v>
      </c>
      <c r="B8" s="248" t="s">
        <v>153</v>
      </c>
      <c r="C8" s="249" t="s">
        <v>439</v>
      </c>
      <c r="D8" s="250" t="s">
        <v>440</v>
      </c>
      <c r="E8" s="251">
        <v>1.81</v>
      </c>
      <c r="F8" s="252">
        <v>324.38</v>
      </c>
      <c r="G8" s="253">
        <v>602.73</v>
      </c>
      <c r="H8" s="254" t="s">
        <v>442</v>
      </c>
      <c r="I8" s="242">
        <v>232000</v>
      </c>
      <c r="J8" s="255">
        <v>232000</v>
      </c>
      <c r="K8" s="255"/>
      <c r="L8" s="255">
        <v>0</v>
      </c>
      <c r="M8" s="255">
        <v>0</v>
      </c>
      <c r="N8" s="256">
        <v>232000</v>
      </c>
      <c r="O8" s="223" t="s">
        <v>86</v>
      </c>
      <c r="Q8" s="244">
        <v>232000</v>
      </c>
      <c r="R8" s="244">
        <v>0</v>
      </c>
      <c r="S8" s="244">
        <v>0</v>
      </c>
      <c r="T8" s="245">
        <v>0</v>
      </c>
      <c r="U8" s="246">
        <v>1</v>
      </c>
      <c r="V8" s="246">
        <v>1</v>
      </c>
      <c r="W8" s="246">
        <v>1</v>
      </c>
      <c r="X8" s="246" t="s">
        <v>442</v>
      </c>
    </row>
    <row r="9" spans="1:24" ht="20.25" customHeight="1">
      <c r="A9" s="247" t="s">
        <v>96</v>
      </c>
      <c r="B9" s="248" t="s">
        <v>154</v>
      </c>
      <c r="C9" s="249" t="s">
        <v>443</v>
      </c>
      <c r="D9" s="250" t="s">
        <v>440</v>
      </c>
      <c r="E9" s="251">
        <v>5.85</v>
      </c>
      <c r="F9" s="252">
        <v>2415</v>
      </c>
      <c r="G9" s="253">
        <v>2415</v>
      </c>
      <c r="H9" s="254" t="s">
        <v>444</v>
      </c>
      <c r="I9" s="242">
        <v>520000</v>
      </c>
      <c r="J9" s="255">
        <v>520000</v>
      </c>
      <c r="K9" s="255"/>
      <c r="L9" s="255">
        <v>0</v>
      </c>
      <c r="M9" s="255">
        <v>0</v>
      </c>
      <c r="N9" s="256">
        <v>520000</v>
      </c>
      <c r="O9" s="223" t="s">
        <v>86</v>
      </c>
      <c r="Q9" s="244">
        <v>520000</v>
      </c>
      <c r="R9" s="244">
        <v>0</v>
      </c>
      <c r="S9" s="244">
        <v>0</v>
      </c>
      <c r="T9" s="245">
        <v>0</v>
      </c>
      <c r="U9" s="246">
        <v>2.5</v>
      </c>
      <c r="V9" s="246">
        <v>2.5</v>
      </c>
      <c r="W9" s="246">
        <v>2.5</v>
      </c>
      <c r="X9" s="246" t="s">
        <v>444</v>
      </c>
    </row>
    <row r="10" spans="1:24" ht="20.25" customHeight="1">
      <c r="A10" s="247" t="s">
        <v>92</v>
      </c>
      <c r="B10" s="248" t="s">
        <v>155</v>
      </c>
      <c r="C10" s="249" t="s">
        <v>445</v>
      </c>
      <c r="D10" s="250" t="s">
        <v>440</v>
      </c>
      <c r="E10" s="251">
        <v>6.4909999999999997</v>
      </c>
      <c r="F10" s="252">
        <v>2270.31</v>
      </c>
      <c r="G10" s="253">
        <v>2270.31</v>
      </c>
      <c r="H10" s="254" t="s">
        <v>444</v>
      </c>
      <c r="I10" s="242">
        <v>0</v>
      </c>
      <c r="J10" s="255">
        <v>0</v>
      </c>
      <c r="K10" s="255"/>
      <c r="L10" s="255">
        <v>0</v>
      </c>
      <c r="M10" s="255">
        <v>0</v>
      </c>
      <c r="N10" s="256">
        <v>0</v>
      </c>
      <c r="O10" s="223" t="s">
        <v>93</v>
      </c>
      <c r="Q10" s="244">
        <v>0</v>
      </c>
      <c r="R10" s="244">
        <v>0</v>
      </c>
      <c r="S10" s="244">
        <v>0</v>
      </c>
      <c r="T10" s="245">
        <v>0</v>
      </c>
      <c r="U10" s="246">
        <v>2.5</v>
      </c>
      <c r="V10" s="246">
        <v>2.5</v>
      </c>
      <c r="W10" s="246">
        <v>2.5</v>
      </c>
      <c r="X10" s="246" t="s">
        <v>444</v>
      </c>
    </row>
    <row r="11" spans="1:24" ht="20.25" customHeight="1">
      <c r="A11" s="247" t="s">
        <v>152</v>
      </c>
      <c r="B11" s="248" t="s">
        <v>157</v>
      </c>
      <c r="C11" s="249" t="s">
        <v>439</v>
      </c>
      <c r="D11" s="250" t="s">
        <v>440</v>
      </c>
      <c r="E11" s="251">
        <v>7.9359999999999999</v>
      </c>
      <c r="F11" s="252">
        <v>2840</v>
      </c>
      <c r="G11" s="253">
        <v>2840</v>
      </c>
      <c r="H11" s="254" t="s">
        <v>446</v>
      </c>
      <c r="I11" s="242">
        <v>332000</v>
      </c>
      <c r="J11" s="255">
        <v>332000</v>
      </c>
      <c r="K11" s="255"/>
      <c r="L11" s="255">
        <v>0</v>
      </c>
      <c r="M11" s="255">
        <v>0</v>
      </c>
      <c r="N11" s="256">
        <v>332000</v>
      </c>
      <c r="O11" s="223" t="s">
        <v>86</v>
      </c>
      <c r="Q11" s="244">
        <v>332000</v>
      </c>
      <c r="R11" s="244">
        <v>0</v>
      </c>
      <c r="S11" s="244">
        <v>0</v>
      </c>
      <c r="T11" s="245">
        <v>0</v>
      </c>
      <c r="U11" s="246">
        <v>5</v>
      </c>
      <c r="V11" s="246">
        <v>5</v>
      </c>
      <c r="W11" s="246">
        <v>5</v>
      </c>
      <c r="X11" s="246" t="s">
        <v>446</v>
      </c>
    </row>
    <row r="12" spans="1:24" ht="20.25" customHeight="1">
      <c r="A12" s="247" t="s">
        <v>152</v>
      </c>
      <c r="B12" s="257" t="s">
        <v>158</v>
      </c>
      <c r="C12" s="249" t="s">
        <v>439</v>
      </c>
      <c r="D12" s="250" t="s">
        <v>440</v>
      </c>
      <c r="E12" s="251">
        <v>7.12</v>
      </c>
      <c r="F12" s="252">
        <v>1186</v>
      </c>
      <c r="G12" s="253">
        <v>2370.96</v>
      </c>
      <c r="H12" s="254" t="s">
        <v>446</v>
      </c>
      <c r="I12" s="242">
        <v>332000</v>
      </c>
      <c r="J12" s="255">
        <v>332000</v>
      </c>
      <c r="K12" s="255"/>
      <c r="L12" s="255">
        <v>0</v>
      </c>
      <c r="M12" s="255">
        <v>0</v>
      </c>
      <c r="N12" s="256">
        <v>332000</v>
      </c>
      <c r="O12" s="223" t="s">
        <v>86</v>
      </c>
      <c r="Q12" s="244">
        <v>332000</v>
      </c>
      <c r="R12" s="244">
        <v>0</v>
      </c>
      <c r="S12" s="244">
        <v>0</v>
      </c>
      <c r="T12" s="245">
        <v>0</v>
      </c>
      <c r="U12" s="246">
        <v>5</v>
      </c>
      <c r="V12" s="246">
        <v>2.5</v>
      </c>
      <c r="W12" s="246">
        <v>5</v>
      </c>
      <c r="X12" s="246" t="s">
        <v>446</v>
      </c>
    </row>
    <row r="13" spans="1:24" ht="20.25" customHeight="1">
      <c r="A13" s="247" t="s">
        <v>90</v>
      </c>
      <c r="B13" s="248" t="s">
        <v>159</v>
      </c>
      <c r="C13" s="249" t="s">
        <v>447</v>
      </c>
      <c r="D13" s="250" t="s">
        <v>440</v>
      </c>
      <c r="E13" s="251">
        <v>23.359000000000002</v>
      </c>
      <c r="F13" s="252">
        <v>4979</v>
      </c>
      <c r="G13" s="253">
        <v>7778.5470000000005</v>
      </c>
      <c r="H13" s="254" t="s">
        <v>448</v>
      </c>
      <c r="I13" s="242">
        <v>635000</v>
      </c>
      <c r="J13" s="255">
        <v>635000</v>
      </c>
      <c r="K13" s="255"/>
      <c r="L13" s="255">
        <v>0</v>
      </c>
      <c r="M13" s="255">
        <v>0</v>
      </c>
      <c r="N13" s="256">
        <v>635000</v>
      </c>
      <c r="O13" s="223" t="s">
        <v>86</v>
      </c>
      <c r="Q13" s="244">
        <v>0</v>
      </c>
      <c r="R13" s="244">
        <v>0</v>
      </c>
      <c r="S13" s="244">
        <v>0</v>
      </c>
      <c r="T13" s="245">
        <v>635000</v>
      </c>
      <c r="U13" s="246">
        <v>10</v>
      </c>
      <c r="V13" s="246">
        <v>8</v>
      </c>
      <c r="W13" s="246">
        <v>10</v>
      </c>
      <c r="X13" s="246" t="s">
        <v>448</v>
      </c>
    </row>
    <row r="14" spans="1:24" ht="20.25" customHeight="1">
      <c r="A14" s="247" t="s">
        <v>94</v>
      </c>
      <c r="B14" s="248" t="s">
        <v>160</v>
      </c>
      <c r="C14" s="249" t="s">
        <v>445</v>
      </c>
      <c r="D14" s="250" t="s">
        <v>440</v>
      </c>
      <c r="E14" s="251">
        <v>14.747</v>
      </c>
      <c r="F14" s="252">
        <v>3012</v>
      </c>
      <c r="G14" s="253">
        <v>4910.7510000000002</v>
      </c>
      <c r="H14" s="254" t="s">
        <v>446</v>
      </c>
      <c r="I14" s="242">
        <v>216500</v>
      </c>
      <c r="J14" s="255">
        <v>216500</v>
      </c>
      <c r="K14" s="255"/>
      <c r="L14" s="255">
        <v>0</v>
      </c>
      <c r="M14" s="255">
        <v>0</v>
      </c>
      <c r="N14" s="256">
        <v>216500</v>
      </c>
      <c r="O14" s="223" t="s">
        <v>86</v>
      </c>
      <c r="Q14" s="244">
        <v>216500</v>
      </c>
      <c r="R14" s="244">
        <v>0</v>
      </c>
      <c r="S14" s="244">
        <v>0</v>
      </c>
      <c r="T14" s="245">
        <v>0</v>
      </c>
      <c r="U14" s="246">
        <v>5</v>
      </c>
      <c r="V14" s="246">
        <v>5</v>
      </c>
      <c r="W14" s="246">
        <v>5</v>
      </c>
      <c r="X14" s="246" t="s">
        <v>446</v>
      </c>
    </row>
    <row r="15" spans="1:24" ht="20.25" customHeight="1">
      <c r="A15" s="247" t="s">
        <v>87</v>
      </c>
      <c r="B15" s="257" t="s">
        <v>161</v>
      </c>
      <c r="C15" s="249" t="s">
        <v>449</v>
      </c>
      <c r="D15" s="250" t="s">
        <v>440</v>
      </c>
      <c r="E15" s="251">
        <v>2.4350000000000001</v>
      </c>
      <c r="F15" s="252">
        <v>549</v>
      </c>
      <c r="G15" s="253">
        <v>810.85500000000002</v>
      </c>
      <c r="H15" s="254" t="s">
        <v>442</v>
      </c>
      <c r="I15" s="242">
        <v>119000</v>
      </c>
      <c r="J15" s="255">
        <v>119000</v>
      </c>
      <c r="K15" s="255"/>
      <c r="L15" s="255">
        <v>0</v>
      </c>
      <c r="M15" s="255">
        <v>0</v>
      </c>
      <c r="N15" s="256">
        <v>119000</v>
      </c>
      <c r="O15" s="223" t="s">
        <v>86</v>
      </c>
      <c r="Q15" s="244">
        <v>0</v>
      </c>
      <c r="R15" s="244">
        <v>119000</v>
      </c>
      <c r="S15" s="244">
        <v>0</v>
      </c>
      <c r="T15" s="245">
        <v>0</v>
      </c>
      <c r="U15" s="246">
        <v>1</v>
      </c>
      <c r="V15" s="246">
        <v>1</v>
      </c>
      <c r="W15" s="246">
        <v>1</v>
      </c>
      <c r="X15" s="246" t="s">
        <v>442</v>
      </c>
    </row>
    <row r="16" spans="1:24" ht="20.25" customHeight="1">
      <c r="A16" s="247" t="s">
        <v>87</v>
      </c>
      <c r="B16" s="257" t="s">
        <v>162</v>
      </c>
      <c r="C16" s="249" t="s">
        <v>449</v>
      </c>
      <c r="D16" s="250" t="s">
        <v>440</v>
      </c>
      <c r="E16" s="251">
        <v>8.5239999999999991</v>
      </c>
      <c r="F16" s="252">
        <v>540</v>
      </c>
      <c r="G16" s="253">
        <v>2838.4919999999997</v>
      </c>
      <c r="H16" s="254" t="s">
        <v>446</v>
      </c>
      <c r="I16" s="242">
        <v>232000</v>
      </c>
      <c r="J16" s="255">
        <v>232000</v>
      </c>
      <c r="K16" s="255"/>
      <c r="L16" s="255">
        <v>0</v>
      </c>
      <c r="M16" s="255">
        <v>0</v>
      </c>
      <c r="N16" s="256">
        <v>232000</v>
      </c>
      <c r="O16" s="223" t="s">
        <v>86</v>
      </c>
      <c r="Q16" s="244">
        <v>0</v>
      </c>
      <c r="R16" s="244">
        <v>232000</v>
      </c>
      <c r="S16" s="244">
        <v>0</v>
      </c>
      <c r="T16" s="245">
        <v>0</v>
      </c>
      <c r="U16" s="246">
        <v>5</v>
      </c>
      <c r="V16" s="246">
        <v>5</v>
      </c>
      <c r="W16" s="246">
        <v>5</v>
      </c>
      <c r="X16" s="246" t="s">
        <v>446</v>
      </c>
    </row>
    <row r="17" spans="1:24" ht="20.25" customHeight="1">
      <c r="A17" s="247" t="s">
        <v>152</v>
      </c>
      <c r="B17" s="248" t="s">
        <v>164</v>
      </c>
      <c r="C17" s="249" t="s">
        <v>439</v>
      </c>
      <c r="D17" s="250" t="s">
        <v>440</v>
      </c>
      <c r="E17" s="251">
        <v>16.675000000000001</v>
      </c>
      <c r="F17" s="252">
        <v>6875</v>
      </c>
      <c r="G17" s="253">
        <v>6875</v>
      </c>
      <c r="H17" s="254" t="s">
        <v>450</v>
      </c>
      <c r="I17" s="258">
        <v>376000</v>
      </c>
      <c r="J17" s="255">
        <v>376000</v>
      </c>
      <c r="K17" s="255"/>
      <c r="L17" s="255">
        <v>0</v>
      </c>
      <c r="M17" s="255">
        <v>0</v>
      </c>
      <c r="N17" s="259">
        <v>376000</v>
      </c>
      <c r="O17" s="223" t="s">
        <v>86</v>
      </c>
      <c r="Q17" s="244">
        <v>376000</v>
      </c>
      <c r="R17" s="244">
        <v>0</v>
      </c>
      <c r="S17" s="244">
        <v>0</v>
      </c>
      <c r="T17" s="245">
        <v>0</v>
      </c>
      <c r="U17" s="246">
        <v>8</v>
      </c>
      <c r="V17" s="246">
        <v>8</v>
      </c>
      <c r="W17" s="246">
        <v>8</v>
      </c>
      <c r="X17" s="246" t="s">
        <v>450</v>
      </c>
    </row>
    <row r="18" spans="1:24" ht="20.25" customHeight="1">
      <c r="A18" s="247" t="s">
        <v>152</v>
      </c>
      <c r="B18" s="257" t="s">
        <v>165</v>
      </c>
      <c r="C18" s="249" t="s">
        <v>439</v>
      </c>
      <c r="D18" s="250" t="s">
        <v>440</v>
      </c>
      <c r="E18" s="251">
        <v>16.864000000000001</v>
      </c>
      <c r="F18" s="252">
        <v>6035</v>
      </c>
      <c r="G18" s="253">
        <v>6035</v>
      </c>
      <c r="H18" s="254" t="s">
        <v>450</v>
      </c>
      <c r="I18" s="255">
        <v>376000</v>
      </c>
      <c r="J18" s="260">
        <v>376000</v>
      </c>
      <c r="K18" s="255"/>
      <c r="L18" s="255">
        <v>0</v>
      </c>
      <c r="M18" s="261">
        <v>0</v>
      </c>
      <c r="N18" s="256">
        <v>376000</v>
      </c>
      <c r="O18" s="223" t="s">
        <v>86</v>
      </c>
      <c r="Q18" s="244">
        <v>376000</v>
      </c>
      <c r="R18" s="244">
        <v>0</v>
      </c>
      <c r="S18" s="244">
        <v>0</v>
      </c>
      <c r="T18" s="245">
        <v>0</v>
      </c>
      <c r="U18" s="246">
        <v>8</v>
      </c>
      <c r="V18" s="246">
        <v>8</v>
      </c>
      <c r="W18" s="246">
        <v>8</v>
      </c>
      <c r="X18" s="246" t="s">
        <v>450</v>
      </c>
    </row>
    <row r="19" spans="1:24" ht="20.25" customHeight="1">
      <c r="A19" s="247" t="s">
        <v>152</v>
      </c>
      <c r="B19" s="248" t="s">
        <v>166</v>
      </c>
      <c r="C19" s="249" t="s">
        <v>439</v>
      </c>
      <c r="D19" s="250" t="s">
        <v>440</v>
      </c>
      <c r="E19" s="251">
        <v>16.864000000000001</v>
      </c>
      <c r="F19" s="252">
        <v>6035</v>
      </c>
      <c r="G19" s="253">
        <v>6035</v>
      </c>
      <c r="H19" s="254" t="s">
        <v>450</v>
      </c>
      <c r="I19" s="242">
        <v>376000</v>
      </c>
      <c r="J19" s="255">
        <v>376000</v>
      </c>
      <c r="K19" s="255"/>
      <c r="L19" s="255">
        <v>0</v>
      </c>
      <c r="M19" s="255">
        <v>0</v>
      </c>
      <c r="N19" s="243">
        <v>376000</v>
      </c>
      <c r="O19" s="223" t="s">
        <v>86</v>
      </c>
      <c r="Q19" s="244">
        <v>376000</v>
      </c>
      <c r="R19" s="244">
        <v>0</v>
      </c>
      <c r="S19" s="244">
        <v>0</v>
      </c>
      <c r="T19" s="245">
        <v>0</v>
      </c>
      <c r="U19" s="246">
        <v>8</v>
      </c>
      <c r="V19" s="246">
        <v>8</v>
      </c>
      <c r="W19" s="246">
        <v>8</v>
      </c>
      <c r="X19" s="246" t="s">
        <v>450</v>
      </c>
    </row>
    <row r="20" spans="1:24" ht="20.25" customHeight="1">
      <c r="A20" s="247" t="s">
        <v>152</v>
      </c>
      <c r="B20" s="248" t="s">
        <v>167</v>
      </c>
      <c r="C20" s="249" t="s">
        <v>439</v>
      </c>
      <c r="D20" s="250" t="s">
        <v>440</v>
      </c>
      <c r="E20" s="251">
        <v>11.347</v>
      </c>
      <c r="F20" s="252">
        <v>4658</v>
      </c>
      <c r="G20" s="253">
        <v>4658</v>
      </c>
      <c r="H20" s="254" t="s">
        <v>446</v>
      </c>
      <c r="I20" s="242">
        <v>332000</v>
      </c>
      <c r="J20" s="255">
        <v>332000</v>
      </c>
      <c r="K20" s="255"/>
      <c r="L20" s="255">
        <v>0</v>
      </c>
      <c r="M20" s="255">
        <v>0</v>
      </c>
      <c r="N20" s="256">
        <v>332000</v>
      </c>
      <c r="O20" s="223" t="s">
        <v>86</v>
      </c>
      <c r="Q20" s="244">
        <v>332000</v>
      </c>
      <c r="R20" s="244">
        <v>0</v>
      </c>
      <c r="S20" s="244">
        <v>0</v>
      </c>
      <c r="T20" s="245">
        <v>0</v>
      </c>
      <c r="U20" s="246">
        <v>5</v>
      </c>
      <c r="V20" s="246">
        <v>5</v>
      </c>
      <c r="W20" s="246">
        <v>5</v>
      </c>
      <c r="X20" s="246" t="s">
        <v>446</v>
      </c>
    </row>
    <row r="21" spans="1:24" ht="20.25" customHeight="1">
      <c r="A21" s="247" t="s">
        <v>152</v>
      </c>
      <c r="B21" s="257" t="s">
        <v>169</v>
      </c>
      <c r="C21" s="249" t="s">
        <v>439</v>
      </c>
      <c r="D21" s="250" t="s">
        <v>440</v>
      </c>
      <c r="E21" s="251">
        <v>28.48</v>
      </c>
      <c r="F21" s="252">
        <v>4744</v>
      </c>
      <c r="G21" s="253">
        <v>9483.84</v>
      </c>
      <c r="H21" s="254" t="s">
        <v>448</v>
      </c>
      <c r="I21" s="258">
        <v>392000</v>
      </c>
      <c r="J21" s="255">
        <v>392000</v>
      </c>
      <c r="K21" s="255"/>
      <c r="L21" s="255">
        <v>0</v>
      </c>
      <c r="M21" s="255">
        <v>0</v>
      </c>
      <c r="N21" s="259">
        <v>392000</v>
      </c>
      <c r="O21" s="223" t="s">
        <v>86</v>
      </c>
      <c r="Q21" s="244">
        <v>392000</v>
      </c>
      <c r="R21" s="244">
        <v>0</v>
      </c>
      <c r="S21" s="244">
        <v>0</v>
      </c>
      <c r="T21" s="245">
        <v>0</v>
      </c>
      <c r="U21" s="246">
        <v>10</v>
      </c>
      <c r="V21" s="246">
        <v>10</v>
      </c>
      <c r="W21" s="246">
        <v>10</v>
      </c>
      <c r="X21" s="246" t="s">
        <v>448</v>
      </c>
    </row>
    <row r="22" spans="1:24" ht="20.25" customHeight="1">
      <c r="A22" s="247" t="s">
        <v>152</v>
      </c>
      <c r="B22" s="257" t="s">
        <v>170</v>
      </c>
      <c r="C22" s="249" t="s">
        <v>439</v>
      </c>
      <c r="D22" s="250" t="s">
        <v>440</v>
      </c>
      <c r="E22" s="251">
        <v>29.907</v>
      </c>
      <c r="F22" s="252">
        <v>4555.82</v>
      </c>
      <c r="G22" s="253">
        <v>9959.0310000000009</v>
      </c>
      <c r="H22" s="254" t="s">
        <v>448</v>
      </c>
      <c r="I22" s="255">
        <v>392000</v>
      </c>
      <c r="J22" s="260">
        <v>392000</v>
      </c>
      <c r="K22" s="255"/>
      <c r="L22" s="255">
        <v>0</v>
      </c>
      <c r="M22" s="261">
        <v>0</v>
      </c>
      <c r="N22" s="256">
        <v>392000</v>
      </c>
      <c r="O22" s="223" t="s">
        <v>86</v>
      </c>
      <c r="Q22" s="244">
        <v>392000</v>
      </c>
      <c r="R22" s="244">
        <v>0</v>
      </c>
      <c r="S22" s="244">
        <v>0</v>
      </c>
      <c r="T22" s="245">
        <v>0</v>
      </c>
      <c r="U22" s="246">
        <v>10</v>
      </c>
      <c r="V22" s="246">
        <v>10</v>
      </c>
      <c r="W22" s="246">
        <v>10</v>
      </c>
      <c r="X22" s="246" t="s">
        <v>448</v>
      </c>
    </row>
    <row r="23" spans="1:24" ht="20.25" customHeight="1">
      <c r="A23" s="247" t="s">
        <v>172</v>
      </c>
      <c r="B23" s="248" t="s">
        <v>171</v>
      </c>
      <c r="C23" s="249">
        <v>0</v>
      </c>
      <c r="D23" s="250" t="s">
        <v>440</v>
      </c>
      <c r="E23" s="251">
        <v>1.573</v>
      </c>
      <c r="F23" s="252">
        <v>1020</v>
      </c>
      <c r="G23" s="253">
        <v>1020</v>
      </c>
      <c r="H23" s="254" t="s">
        <v>442</v>
      </c>
      <c r="I23" s="242">
        <v>0</v>
      </c>
      <c r="J23" s="255">
        <v>0</v>
      </c>
      <c r="K23" s="255"/>
      <c r="L23" s="255">
        <v>0</v>
      </c>
      <c r="M23" s="255">
        <v>0</v>
      </c>
      <c r="N23" s="243">
        <v>0</v>
      </c>
      <c r="O23" s="223" t="s">
        <v>93</v>
      </c>
      <c r="Q23" s="244">
        <v>0</v>
      </c>
      <c r="R23" s="244">
        <v>0</v>
      </c>
      <c r="S23" s="244">
        <v>0</v>
      </c>
      <c r="T23" s="245">
        <v>0</v>
      </c>
      <c r="U23" s="246">
        <v>1</v>
      </c>
      <c r="V23" s="246">
        <v>1</v>
      </c>
      <c r="W23" s="246">
        <v>1</v>
      </c>
      <c r="X23" s="246" t="s">
        <v>442</v>
      </c>
    </row>
    <row r="24" spans="1:24" ht="20.25" customHeight="1">
      <c r="A24" s="247" t="s">
        <v>152</v>
      </c>
      <c r="B24" s="248" t="s">
        <v>174</v>
      </c>
      <c r="C24" s="249" t="s">
        <v>439</v>
      </c>
      <c r="D24" s="250" t="s">
        <v>440</v>
      </c>
      <c r="E24" s="251">
        <v>54.834000000000003</v>
      </c>
      <c r="F24" s="252">
        <v>7091.1</v>
      </c>
      <c r="G24" s="253">
        <v>18259.722000000002</v>
      </c>
      <c r="H24" s="254" t="s">
        <v>451</v>
      </c>
      <c r="I24" s="242">
        <v>784000</v>
      </c>
      <c r="J24" s="255">
        <v>784000</v>
      </c>
      <c r="K24" s="255"/>
      <c r="L24" s="255">
        <v>0</v>
      </c>
      <c r="M24" s="255">
        <v>0</v>
      </c>
      <c r="N24" s="256">
        <v>784000</v>
      </c>
      <c r="O24" s="223" t="s">
        <v>86</v>
      </c>
      <c r="Q24" s="244">
        <v>0</v>
      </c>
      <c r="R24" s="244">
        <v>784000</v>
      </c>
      <c r="S24" s="244">
        <v>0</v>
      </c>
      <c r="T24" s="245">
        <v>0</v>
      </c>
      <c r="U24" s="246">
        <v>20</v>
      </c>
      <c r="V24" s="246">
        <v>18</v>
      </c>
      <c r="W24" s="246">
        <v>20</v>
      </c>
      <c r="X24" s="246" t="s">
        <v>451</v>
      </c>
    </row>
    <row r="25" spans="1:24" ht="20.25" customHeight="1">
      <c r="A25" s="247" t="s">
        <v>152</v>
      </c>
      <c r="B25" s="248" t="s">
        <v>175</v>
      </c>
      <c r="C25" s="249" t="s">
        <v>439</v>
      </c>
      <c r="D25" s="250" t="s">
        <v>440</v>
      </c>
      <c r="E25" s="251">
        <v>2.3719999999999999</v>
      </c>
      <c r="F25" s="252">
        <v>770</v>
      </c>
      <c r="G25" s="253">
        <v>789.87599999999998</v>
      </c>
      <c r="H25" s="254" t="s">
        <v>442</v>
      </c>
      <c r="I25" s="242">
        <v>232000</v>
      </c>
      <c r="J25" s="255">
        <v>232000</v>
      </c>
      <c r="K25" s="255"/>
      <c r="L25" s="255">
        <v>0</v>
      </c>
      <c r="M25" s="255">
        <v>0</v>
      </c>
      <c r="N25" s="256">
        <v>232000</v>
      </c>
      <c r="O25" s="223" t="s">
        <v>86</v>
      </c>
      <c r="Q25" s="244">
        <v>232000</v>
      </c>
      <c r="R25" s="244">
        <v>0</v>
      </c>
      <c r="S25" s="244">
        <v>0</v>
      </c>
      <c r="T25" s="245">
        <v>0</v>
      </c>
      <c r="U25" s="246">
        <v>1</v>
      </c>
      <c r="V25" s="246">
        <v>1</v>
      </c>
      <c r="W25" s="246">
        <v>1</v>
      </c>
      <c r="X25" s="246" t="s">
        <v>442</v>
      </c>
    </row>
    <row r="26" spans="1:24" ht="20.25" customHeight="1">
      <c r="A26" s="247" t="s">
        <v>152</v>
      </c>
      <c r="B26" s="248" t="s">
        <v>177</v>
      </c>
      <c r="C26" s="249" t="s">
        <v>439</v>
      </c>
      <c r="D26" s="250" t="s">
        <v>440</v>
      </c>
      <c r="E26" s="251">
        <v>44.23</v>
      </c>
      <c r="F26" s="252">
        <v>5507.94</v>
      </c>
      <c r="G26" s="253">
        <v>14728.589999999998</v>
      </c>
      <c r="H26" s="254" t="s">
        <v>452</v>
      </c>
      <c r="I26" s="242">
        <v>724000</v>
      </c>
      <c r="J26" s="255">
        <v>724000</v>
      </c>
      <c r="K26" s="255"/>
      <c r="L26" s="255">
        <v>0</v>
      </c>
      <c r="M26" s="255">
        <v>0</v>
      </c>
      <c r="N26" s="256">
        <v>724000</v>
      </c>
      <c r="O26" s="223" t="s">
        <v>86</v>
      </c>
      <c r="Q26" s="244">
        <v>0</v>
      </c>
      <c r="R26" s="244">
        <v>724000</v>
      </c>
      <c r="S26" s="244">
        <v>0</v>
      </c>
      <c r="T26" s="245">
        <v>0</v>
      </c>
      <c r="U26" s="246">
        <v>15</v>
      </c>
      <c r="V26" s="246">
        <v>15</v>
      </c>
      <c r="W26" s="246">
        <v>15</v>
      </c>
      <c r="X26" s="246" t="s">
        <v>452</v>
      </c>
    </row>
    <row r="27" spans="1:24" ht="20.25" customHeight="1">
      <c r="A27" s="247" t="s">
        <v>152</v>
      </c>
      <c r="B27" s="248" t="s">
        <v>178</v>
      </c>
      <c r="C27" s="249" t="s">
        <v>439</v>
      </c>
      <c r="D27" s="250" t="s">
        <v>440</v>
      </c>
      <c r="E27" s="251">
        <v>10.79</v>
      </c>
      <c r="F27" s="252">
        <v>8614</v>
      </c>
      <c r="G27" s="253">
        <v>8614</v>
      </c>
      <c r="H27" s="254" t="s">
        <v>448</v>
      </c>
      <c r="I27" s="242">
        <v>392000</v>
      </c>
      <c r="J27" s="255">
        <v>392000</v>
      </c>
      <c r="K27" s="255"/>
      <c r="L27" s="255">
        <v>0</v>
      </c>
      <c r="M27" s="255">
        <v>0</v>
      </c>
      <c r="N27" s="256">
        <v>392000</v>
      </c>
      <c r="O27" s="223" t="s">
        <v>86</v>
      </c>
      <c r="Q27" s="244">
        <v>392000</v>
      </c>
      <c r="R27" s="244">
        <v>0</v>
      </c>
      <c r="S27" s="244">
        <v>0</v>
      </c>
      <c r="T27" s="245">
        <v>0</v>
      </c>
      <c r="U27" s="246">
        <v>5</v>
      </c>
      <c r="V27" s="246">
        <v>10</v>
      </c>
      <c r="W27" s="246">
        <v>10</v>
      </c>
      <c r="X27" s="246" t="s">
        <v>448</v>
      </c>
    </row>
    <row r="28" spans="1:24" ht="20.25" customHeight="1">
      <c r="A28" s="247" t="s">
        <v>152</v>
      </c>
      <c r="B28" s="248" t="s">
        <v>179</v>
      </c>
      <c r="C28" s="249" t="s">
        <v>439</v>
      </c>
      <c r="D28" s="250" t="s">
        <v>440</v>
      </c>
      <c r="E28" s="251">
        <v>8.6319999999999997</v>
      </c>
      <c r="F28" s="252">
        <v>4832</v>
      </c>
      <c r="G28" s="253">
        <v>4832</v>
      </c>
      <c r="H28" s="254" t="s">
        <v>446</v>
      </c>
      <c r="I28" s="242">
        <v>332000</v>
      </c>
      <c r="J28" s="255">
        <v>332000</v>
      </c>
      <c r="K28" s="255"/>
      <c r="L28" s="255">
        <v>0</v>
      </c>
      <c r="M28" s="255">
        <v>0</v>
      </c>
      <c r="N28" s="256">
        <v>332000</v>
      </c>
      <c r="O28" s="223" t="s">
        <v>86</v>
      </c>
      <c r="Q28" s="244">
        <v>332000</v>
      </c>
      <c r="R28" s="244">
        <v>0</v>
      </c>
      <c r="S28" s="244">
        <v>0</v>
      </c>
      <c r="T28" s="245">
        <v>0</v>
      </c>
      <c r="U28" s="246">
        <v>5</v>
      </c>
      <c r="V28" s="246">
        <v>5</v>
      </c>
      <c r="W28" s="246">
        <v>5</v>
      </c>
      <c r="X28" s="246" t="s">
        <v>446</v>
      </c>
    </row>
    <row r="29" spans="1:24" ht="20.25" customHeight="1">
      <c r="A29" s="247" t="s">
        <v>152</v>
      </c>
      <c r="B29" s="248" t="s">
        <v>180</v>
      </c>
      <c r="C29" s="249" t="s">
        <v>439</v>
      </c>
      <c r="D29" s="250" t="s">
        <v>440</v>
      </c>
      <c r="E29" s="251">
        <v>0.627</v>
      </c>
      <c r="F29" s="252">
        <v>46.5</v>
      </c>
      <c r="G29" s="253">
        <v>208.791</v>
      </c>
      <c r="H29" s="254" t="s">
        <v>442</v>
      </c>
      <c r="I29" s="242">
        <v>232000</v>
      </c>
      <c r="J29" s="255">
        <v>232000</v>
      </c>
      <c r="K29" s="255"/>
      <c r="L29" s="255">
        <v>0</v>
      </c>
      <c r="M29" s="255">
        <v>0</v>
      </c>
      <c r="N29" s="256">
        <v>232000</v>
      </c>
      <c r="O29" s="223" t="s">
        <v>86</v>
      </c>
      <c r="Q29" s="244">
        <v>232000</v>
      </c>
      <c r="R29" s="244">
        <v>0</v>
      </c>
      <c r="S29" s="244">
        <v>0</v>
      </c>
      <c r="T29" s="245">
        <v>0</v>
      </c>
      <c r="U29" s="246">
        <v>1</v>
      </c>
      <c r="V29" s="246">
        <v>1</v>
      </c>
      <c r="W29" s="246">
        <v>1</v>
      </c>
      <c r="X29" s="246" t="s">
        <v>442</v>
      </c>
    </row>
    <row r="30" spans="1:24" ht="20.25" customHeight="1">
      <c r="A30" s="247" t="s">
        <v>152</v>
      </c>
      <c r="B30" s="248" t="s">
        <v>182</v>
      </c>
      <c r="C30" s="249" t="s">
        <v>439</v>
      </c>
      <c r="D30" s="250" t="s">
        <v>440</v>
      </c>
      <c r="E30" s="251">
        <v>22.654</v>
      </c>
      <c r="F30" s="252">
        <v>3330.18</v>
      </c>
      <c r="G30" s="253">
        <v>7543.7820000000002</v>
      </c>
      <c r="H30" s="254" t="s">
        <v>448</v>
      </c>
      <c r="I30" s="242">
        <v>392000</v>
      </c>
      <c r="J30" s="255">
        <v>392000</v>
      </c>
      <c r="K30" s="255"/>
      <c r="L30" s="255">
        <v>0</v>
      </c>
      <c r="M30" s="255">
        <v>0</v>
      </c>
      <c r="N30" s="256">
        <v>392000</v>
      </c>
      <c r="O30" s="223" t="s">
        <v>86</v>
      </c>
      <c r="Q30" s="244">
        <v>392000</v>
      </c>
      <c r="R30" s="244">
        <v>0</v>
      </c>
      <c r="S30" s="244">
        <v>0</v>
      </c>
      <c r="T30" s="245">
        <v>0</v>
      </c>
      <c r="U30" s="246">
        <v>10</v>
      </c>
      <c r="V30" s="246">
        <v>8</v>
      </c>
      <c r="W30" s="246">
        <v>10</v>
      </c>
      <c r="X30" s="246" t="s">
        <v>448</v>
      </c>
    </row>
    <row r="31" spans="1:24" ht="20.25" customHeight="1">
      <c r="A31" s="247" t="s">
        <v>152</v>
      </c>
      <c r="B31" s="248" t="s">
        <v>183</v>
      </c>
      <c r="C31" s="249" t="s">
        <v>439</v>
      </c>
      <c r="D31" s="250" t="s">
        <v>440</v>
      </c>
      <c r="E31" s="251">
        <v>14.026999999999999</v>
      </c>
      <c r="F31" s="252">
        <v>12019.8</v>
      </c>
      <c r="G31" s="253">
        <v>12019.8</v>
      </c>
      <c r="H31" s="254" t="s">
        <v>453</v>
      </c>
      <c r="I31" s="242">
        <v>624000</v>
      </c>
      <c r="J31" s="255">
        <v>624000</v>
      </c>
      <c r="K31" s="255"/>
      <c r="L31" s="255">
        <v>0</v>
      </c>
      <c r="M31" s="255">
        <v>0</v>
      </c>
      <c r="N31" s="256">
        <v>624000</v>
      </c>
      <c r="O31" s="223" t="s">
        <v>86</v>
      </c>
      <c r="Q31" s="244">
        <v>0</v>
      </c>
      <c r="R31" s="244">
        <v>0</v>
      </c>
      <c r="S31" s="244">
        <v>0</v>
      </c>
      <c r="T31" s="245">
        <v>624000</v>
      </c>
      <c r="U31" s="246">
        <v>5</v>
      </c>
      <c r="V31" s="246">
        <v>11</v>
      </c>
      <c r="W31" s="246">
        <v>11</v>
      </c>
      <c r="X31" s="246" t="s">
        <v>453</v>
      </c>
    </row>
    <row r="32" spans="1:24" ht="20.25" customHeight="1">
      <c r="A32" s="247" t="s">
        <v>152</v>
      </c>
      <c r="B32" s="248" t="s">
        <v>184</v>
      </c>
      <c r="C32" s="249" t="s">
        <v>439</v>
      </c>
      <c r="D32" s="250" t="s">
        <v>440</v>
      </c>
      <c r="E32" s="251">
        <v>5.3949999999999996</v>
      </c>
      <c r="F32" s="252">
        <v>424.4</v>
      </c>
      <c r="G32" s="253">
        <v>1796.5349999999999</v>
      </c>
      <c r="H32" s="254" t="s">
        <v>444</v>
      </c>
      <c r="I32" s="242">
        <v>291100</v>
      </c>
      <c r="J32" s="255">
        <v>291100</v>
      </c>
      <c r="K32" s="255"/>
      <c r="L32" s="255">
        <v>0</v>
      </c>
      <c r="M32" s="255">
        <v>0</v>
      </c>
      <c r="N32" s="256">
        <v>291100</v>
      </c>
      <c r="O32" s="223" t="s">
        <v>86</v>
      </c>
      <c r="Q32" s="244">
        <v>291100</v>
      </c>
      <c r="R32" s="244">
        <v>0</v>
      </c>
      <c r="S32" s="244">
        <v>0</v>
      </c>
      <c r="T32" s="245">
        <v>0</v>
      </c>
      <c r="U32" s="246">
        <v>2.5</v>
      </c>
      <c r="V32" s="246">
        <v>2.5</v>
      </c>
      <c r="W32" s="246">
        <v>2.5</v>
      </c>
      <c r="X32" s="246" t="s">
        <v>444</v>
      </c>
    </row>
    <row r="33" spans="1:24" ht="20.25" customHeight="1">
      <c r="A33" s="247" t="s">
        <v>152</v>
      </c>
      <c r="B33" s="248" t="s">
        <v>185</v>
      </c>
      <c r="C33" s="249" t="s">
        <v>439</v>
      </c>
      <c r="D33" s="250" t="s">
        <v>440</v>
      </c>
      <c r="E33" s="251">
        <v>22.658999999999999</v>
      </c>
      <c r="F33" s="252">
        <v>6741</v>
      </c>
      <c r="G33" s="253">
        <v>7545.4469999999992</v>
      </c>
      <c r="H33" s="254" t="s">
        <v>448</v>
      </c>
      <c r="I33" s="242">
        <v>392000</v>
      </c>
      <c r="J33" s="255">
        <v>392000</v>
      </c>
      <c r="K33" s="255"/>
      <c r="L33" s="255">
        <v>0</v>
      </c>
      <c r="M33" s="255">
        <v>0</v>
      </c>
      <c r="N33" s="256">
        <v>392000</v>
      </c>
      <c r="O33" s="223" t="s">
        <v>86</v>
      </c>
      <c r="Q33" s="244">
        <v>392000</v>
      </c>
      <c r="R33" s="244">
        <v>0</v>
      </c>
      <c r="S33" s="244">
        <v>0</v>
      </c>
      <c r="T33" s="245">
        <v>0</v>
      </c>
      <c r="U33" s="246">
        <v>10</v>
      </c>
      <c r="V33" s="246">
        <v>8</v>
      </c>
      <c r="W33" s="246">
        <v>10</v>
      </c>
      <c r="X33" s="246" t="s">
        <v>448</v>
      </c>
    </row>
    <row r="34" spans="1:24" ht="20.25" customHeight="1">
      <c r="A34" s="247" t="s">
        <v>152</v>
      </c>
      <c r="B34" s="257" t="s">
        <v>187</v>
      </c>
      <c r="C34" s="249" t="s">
        <v>439</v>
      </c>
      <c r="D34" s="250" t="s">
        <v>440</v>
      </c>
      <c r="E34" s="251">
        <v>24.812000000000001</v>
      </c>
      <c r="F34" s="252">
        <v>3089.82</v>
      </c>
      <c r="G34" s="253">
        <v>8262.3960000000006</v>
      </c>
      <c r="H34" s="254" t="s">
        <v>448</v>
      </c>
      <c r="I34" s="258">
        <v>392000</v>
      </c>
      <c r="J34" s="255">
        <v>392000</v>
      </c>
      <c r="K34" s="255"/>
      <c r="L34" s="255">
        <v>0</v>
      </c>
      <c r="M34" s="255">
        <v>0</v>
      </c>
      <c r="N34" s="259">
        <v>392000</v>
      </c>
      <c r="O34" s="223" t="s">
        <v>86</v>
      </c>
      <c r="Q34" s="244">
        <v>392000</v>
      </c>
      <c r="R34" s="244">
        <v>0</v>
      </c>
      <c r="S34" s="244">
        <v>0</v>
      </c>
      <c r="T34" s="245">
        <v>0</v>
      </c>
      <c r="U34" s="246">
        <v>10</v>
      </c>
      <c r="V34" s="246">
        <v>10</v>
      </c>
      <c r="W34" s="246">
        <v>10</v>
      </c>
      <c r="X34" s="246" t="s">
        <v>448</v>
      </c>
    </row>
    <row r="35" spans="1:24" ht="20.25" customHeight="1">
      <c r="A35" s="247" t="s">
        <v>152</v>
      </c>
      <c r="B35" s="248" t="s">
        <v>188</v>
      </c>
      <c r="C35" s="249" t="s">
        <v>439</v>
      </c>
      <c r="D35" s="250" t="s">
        <v>440</v>
      </c>
      <c r="E35" s="251">
        <v>14.026999999999999</v>
      </c>
      <c r="F35" s="252">
        <v>12019.8</v>
      </c>
      <c r="G35" s="253">
        <v>12019.8</v>
      </c>
      <c r="H35" s="254" t="s">
        <v>453</v>
      </c>
      <c r="I35" s="255">
        <v>624000</v>
      </c>
      <c r="J35" s="260">
        <v>624000</v>
      </c>
      <c r="K35" s="255"/>
      <c r="L35" s="255">
        <v>0</v>
      </c>
      <c r="M35" s="261">
        <v>0</v>
      </c>
      <c r="N35" s="256">
        <v>624000</v>
      </c>
      <c r="O35" s="223" t="s">
        <v>86</v>
      </c>
      <c r="Q35" s="244">
        <v>0</v>
      </c>
      <c r="R35" s="244">
        <v>0</v>
      </c>
      <c r="S35" s="244">
        <v>0</v>
      </c>
      <c r="T35" s="245">
        <v>624000</v>
      </c>
      <c r="U35" s="246">
        <v>5</v>
      </c>
      <c r="V35" s="246">
        <v>11</v>
      </c>
      <c r="W35" s="246">
        <v>11</v>
      </c>
      <c r="X35" s="246" t="s">
        <v>453</v>
      </c>
    </row>
    <row r="36" spans="1:24" ht="20.25" customHeight="1">
      <c r="A36" s="247" t="s">
        <v>152</v>
      </c>
      <c r="B36" s="248" t="s">
        <v>189</v>
      </c>
      <c r="C36" s="249" t="s">
        <v>439</v>
      </c>
      <c r="D36" s="250" t="s">
        <v>440</v>
      </c>
      <c r="E36" s="251">
        <v>22.658999999999999</v>
      </c>
      <c r="F36" s="252">
        <v>6741</v>
      </c>
      <c r="G36" s="253">
        <v>7545.4469999999992</v>
      </c>
      <c r="H36" s="254" t="s">
        <v>448</v>
      </c>
      <c r="I36" s="242">
        <v>392000</v>
      </c>
      <c r="J36" s="255">
        <v>392000</v>
      </c>
      <c r="K36" s="255"/>
      <c r="L36" s="255">
        <v>0</v>
      </c>
      <c r="M36" s="255">
        <v>0</v>
      </c>
      <c r="N36" s="243">
        <v>392000</v>
      </c>
      <c r="O36" s="223" t="s">
        <v>86</v>
      </c>
      <c r="Q36" s="244">
        <v>392000</v>
      </c>
      <c r="R36" s="244">
        <v>0</v>
      </c>
      <c r="S36" s="244">
        <v>0</v>
      </c>
      <c r="T36" s="245">
        <v>0</v>
      </c>
      <c r="U36" s="246">
        <v>10</v>
      </c>
      <c r="V36" s="246">
        <v>8</v>
      </c>
      <c r="W36" s="246">
        <v>10</v>
      </c>
      <c r="X36" s="246" t="s">
        <v>448</v>
      </c>
    </row>
    <row r="37" spans="1:24" ht="20.25" customHeight="1">
      <c r="A37" s="247" t="s">
        <v>152</v>
      </c>
      <c r="B37" s="248" t="s">
        <v>191</v>
      </c>
      <c r="C37" s="249" t="s">
        <v>439</v>
      </c>
      <c r="D37" s="250" t="s">
        <v>440</v>
      </c>
      <c r="E37" s="251">
        <v>10.79</v>
      </c>
      <c r="F37" s="252">
        <v>8614</v>
      </c>
      <c r="G37" s="253">
        <v>8614</v>
      </c>
      <c r="H37" s="254" t="s">
        <v>448</v>
      </c>
      <c r="I37" s="242">
        <v>392000</v>
      </c>
      <c r="J37" s="255">
        <v>392000</v>
      </c>
      <c r="K37" s="255"/>
      <c r="L37" s="255">
        <v>0</v>
      </c>
      <c r="M37" s="255">
        <v>0</v>
      </c>
      <c r="N37" s="256">
        <v>392000</v>
      </c>
      <c r="O37" s="223" t="s">
        <v>86</v>
      </c>
      <c r="Q37" s="244">
        <v>392000</v>
      </c>
      <c r="R37" s="244">
        <v>0</v>
      </c>
      <c r="S37" s="244">
        <v>0</v>
      </c>
      <c r="T37" s="245">
        <v>0</v>
      </c>
      <c r="U37" s="246">
        <v>5</v>
      </c>
      <c r="V37" s="246">
        <v>10</v>
      </c>
      <c r="W37" s="246">
        <v>10</v>
      </c>
      <c r="X37" s="246" t="s">
        <v>448</v>
      </c>
    </row>
    <row r="38" spans="1:24" ht="20.25" customHeight="1">
      <c r="A38" s="247" t="s">
        <v>152</v>
      </c>
      <c r="B38" s="248" t="s">
        <v>192</v>
      </c>
      <c r="C38" s="249" t="s">
        <v>439</v>
      </c>
      <c r="D38" s="250" t="s">
        <v>440</v>
      </c>
      <c r="E38" s="251">
        <v>8.6300000000000008</v>
      </c>
      <c r="F38" s="252">
        <v>4832</v>
      </c>
      <c r="G38" s="253">
        <v>4832</v>
      </c>
      <c r="H38" s="254" t="s">
        <v>446</v>
      </c>
      <c r="I38" s="242">
        <v>332000</v>
      </c>
      <c r="J38" s="255">
        <v>332000</v>
      </c>
      <c r="K38" s="255"/>
      <c r="L38" s="255">
        <v>0</v>
      </c>
      <c r="M38" s="255">
        <v>0</v>
      </c>
      <c r="N38" s="256">
        <v>332000</v>
      </c>
      <c r="O38" s="223" t="s">
        <v>86</v>
      </c>
      <c r="Q38" s="244">
        <v>332000</v>
      </c>
      <c r="R38" s="244">
        <v>0</v>
      </c>
      <c r="S38" s="244">
        <v>0</v>
      </c>
      <c r="T38" s="245">
        <v>0</v>
      </c>
      <c r="U38" s="246">
        <v>5</v>
      </c>
      <c r="V38" s="246">
        <v>5</v>
      </c>
      <c r="W38" s="246">
        <v>5</v>
      </c>
      <c r="X38" s="246" t="s">
        <v>446</v>
      </c>
    </row>
    <row r="39" spans="1:24" ht="20.25" customHeight="1">
      <c r="A39" s="247" t="s">
        <v>152</v>
      </c>
      <c r="B39" s="257" t="s">
        <v>193</v>
      </c>
      <c r="C39" s="249" t="s">
        <v>439</v>
      </c>
      <c r="D39" s="250" t="s">
        <v>440</v>
      </c>
      <c r="E39" s="251">
        <v>25.890999999999998</v>
      </c>
      <c r="F39" s="252">
        <v>4368</v>
      </c>
      <c r="G39" s="253">
        <v>8621.7029999999995</v>
      </c>
      <c r="H39" s="254" t="s">
        <v>448</v>
      </c>
      <c r="I39" s="242">
        <v>392000</v>
      </c>
      <c r="J39" s="255">
        <v>392000</v>
      </c>
      <c r="K39" s="255"/>
      <c r="L39" s="255">
        <v>0</v>
      </c>
      <c r="M39" s="255">
        <v>0</v>
      </c>
      <c r="N39" s="256">
        <v>392000</v>
      </c>
      <c r="O39" s="223" t="s">
        <v>86</v>
      </c>
      <c r="Q39" s="244">
        <v>392000</v>
      </c>
      <c r="R39" s="244">
        <v>0</v>
      </c>
      <c r="S39" s="244">
        <v>0</v>
      </c>
      <c r="T39" s="245">
        <v>0</v>
      </c>
      <c r="U39" s="246">
        <v>10</v>
      </c>
      <c r="V39" s="246">
        <v>10</v>
      </c>
      <c r="W39" s="246">
        <v>10</v>
      </c>
      <c r="X39" s="246" t="s">
        <v>448</v>
      </c>
    </row>
    <row r="40" spans="1:24" ht="20.25" customHeight="1">
      <c r="A40" s="247" t="s">
        <v>152</v>
      </c>
      <c r="B40" s="248" t="s">
        <v>194</v>
      </c>
      <c r="C40" s="249" t="s">
        <v>439</v>
      </c>
      <c r="D40" s="250" t="s">
        <v>440</v>
      </c>
      <c r="E40" s="251">
        <v>18.338999999999999</v>
      </c>
      <c r="F40" s="252">
        <v>3094</v>
      </c>
      <c r="G40" s="253">
        <v>6106.8869999999997</v>
      </c>
      <c r="H40" s="254" t="s">
        <v>450</v>
      </c>
      <c r="I40" s="242">
        <v>376000</v>
      </c>
      <c r="J40" s="255">
        <v>376000</v>
      </c>
      <c r="K40" s="255"/>
      <c r="L40" s="255">
        <v>0</v>
      </c>
      <c r="M40" s="255">
        <v>0</v>
      </c>
      <c r="N40" s="256">
        <v>376000</v>
      </c>
      <c r="O40" s="223" t="s">
        <v>86</v>
      </c>
      <c r="Q40" s="244">
        <v>376000</v>
      </c>
      <c r="R40" s="244">
        <v>0</v>
      </c>
      <c r="S40" s="244">
        <v>0</v>
      </c>
      <c r="T40" s="245">
        <v>0</v>
      </c>
      <c r="U40" s="246">
        <v>8</v>
      </c>
      <c r="V40" s="246">
        <v>8</v>
      </c>
      <c r="W40" s="246">
        <v>8</v>
      </c>
      <c r="X40" s="246" t="s">
        <v>450</v>
      </c>
    </row>
    <row r="41" spans="1:24" ht="20.25" customHeight="1">
      <c r="A41" s="247" t="s">
        <v>152</v>
      </c>
      <c r="B41" s="248" t="s">
        <v>196</v>
      </c>
      <c r="C41" s="249" t="s">
        <v>439</v>
      </c>
      <c r="D41" s="250" t="s">
        <v>440</v>
      </c>
      <c r="E41" s="251">
        <v>7.5519999999999996</v>
      </c>
      <c r="F41" s="252">
        <v>1274</v>
      </c>
      <c r="G41" s="253">
        <v>2514.8159999999998</v>
      </c>
      <c r="H41" s="254" t="s">
        <v>446</v>
      </c>
      <c r="I41" s="242">
        <v>332000</v>
      </c>
      <c r="J41" s="255">
        <v>332000</v>
      </c>
      <c r="K41" s="255"/>
      <c r="L41" s="255">
        <v>0</v>
      </c>
      <c r="M41" s="255">
        <v>0</v>
      </c>
      <c r="N41" s="256">
        <v>332000</v>
      </c>
      <c r="O41" s="223" t="s">
        <v>86</v>
      </c>
      <c r="Q41" s="244">
        <v>332000</v>
      </c>
      <c r="R41" s="244">
        <v>0</v>
      </c>
      <c r="S41" s="244">
        <v>0</v>
      </c>
      <c r="T41" s="245">
        <v>0</v>
      </c>
      <c r="U41" s="246">
        <v>5</v>
      </c>
      <c r="V41" s="246">
        <v>2.5</v>
      </c>
      <c r="W41" s="246">
        <v>5</v>
      </c>
      <c r="X41" s="246" t="s">
        <v>446</v>
      </c>
    </row>
    <row r="42" spans="1:24" ht="20.25" customHeight="1">
      <c r="A42" s="247" t="s">
        <v>152</v>
      </c>
      <c r="B42" s="248" t="s">
        <v>197</v>
      </c>
      <c r="C42" s="249" t="s">
        <v>439</v>
      </c>
      <c r="D42" s="250" t="s">
        <v>440</v>
      </c>
      <c r="E42" s="251">
        <v>56.744</v>
      </c>
      <c r="F42" s="252">
        <v>9696.5</v>
      </c>
      <c r="G42" s="253">
        <v>18895.752</v>
      </c>
      <c r="H42" s="254" t="s">
        <v>451</v>
      </c>
      <c r="I42" s="242">
        <v>784000</v>
      </c>
      <c r="J42" s="255">
        <v>784000</v>
      </c>
      <c r="K42" s="255"/>
      <c r="L42" s="255">
        <v>0</v>
      </c>
      <c r="M42" s="255">
        <v>0</v>
      </c>
      <c r="N42" s="256">
        <v>784000</v>
      </c>
      <c r="O42" s="223" t="s">
        <v>86</v>
      </c>
      <c r="Q42" s="244">
        <v>0</v>
      </c>
      <c r="R42" s="244">
        <v>784000</v>
      </c>
      <c r="S42" s="244">
        <v>0</v>
      </c>
      <c r="T42" s="245">
        <v>0</v>
      </c>
      <c r="U42" s="246">
        <v>20</v>
      </c>
      <c r="V42" s="246">
        <v>18</v>
      </c>
      <c r="W42" s="246">
        <v>20</v>
      </c>
      <c r="X42" s="246" t="s">
        <v>451</v>
      </c>
    </row>
    <row r="43" spans="1:24" ht="20.25" customHeight="1">
      <c r="A43" s="247" t="s">
        <v>152</v>
      </c>
      <c r="B43" s="248" t="s">
        <v>199</v>
      </c>
      <c r="C43" s="249" t="s">
        <v>439</v>
      </c>
      <c r="D43" s="250" t="s">
        <v>440</v>
      </c>
      <c r="E43" s="251">
        <v>66.432000000000002</v>
      </c>
      <c r="F43" s="252">
        <v>11352</v>
      </c>
      <c r="G43" s="253">
        <v>22121.856</v>
      </c>
      <c r="H43" s="254" t="s">
        <v>454</v>
      </c>
      <c r="I43" s="242">
        <v>1016000</v>
      </c>
      <c r="J43" s="255">
        <v>1016000</v>
      </c>
      <c r="K43" s="255"/>
      <c r="L43" s="255">
        <v>0</v>
      </c>
      <c r="M43" s="255">
        <v>0</v>
      </c>
      <c r="N43" s="256">
        <v>1016000</v>
      </c>
      <c r="O43" s="223" t="s">
        <v>86</v>
      </c>
      <c r="Q43" s="244">
        <v>0</v>
      </c>
      <c r="R43" s="244">
        <v>0</v>
      </c>
      <c r="S43" s="244">
        <v>0</v>
      </c>
      <c r="T43" s="245">
        <v>1016000</v>
      </c>
      <c r="U43" s="246">
        <v>21</v>
      </c>
      <c r="V43" s="246">
        <v>20</v>
      </c>
      <c r="W43" s="246">
        <v>21</v>
      </c>
      <c r="X43" s="246" t="s">
        <v>454</v>
      </c>
    </row>
    <row r="44" spans="1:24" ht="20.25" customHeight="1">
      <c r="A44" s="247" t="s">
        <v>95</v>
      </c>
      <c r="B44" s="257" t="s">
        <v>201</v>
      </c>
      <c r="C44" s="249" t="s">
        <v>455</v>
      </c>
      <c r="D44" s="250" t="s">
        <v>440</v>
      </c>
      <c r="E44" s="251">
        <v>54.673999999999999</v>
      </c>
      <c r="F44" s="252">
        <v>3815</v>
      </c>
      <c r="G44" s="253">
        <v>18206.441999999999</v>
      </c>
      <c r="H44" s="254" t="s">
        <v>451</v>
      </c>
      <c r="I44" s="242">
        <v>1504000</v>
      </c>
      <c r="J44" s="255">
        <v>1504000</v>
      </c>
      <c r="K44" s="255"/>
      <c r="L44" s="255">
        <v>0</v>
      </c>
      <c r="M44" s="255">
        <v>0</v>
      </c>
      <c r="N44" s="256">
        <v>1504000</v>
      </c>
      <c r="O44" s="223" t="s">
        <v>86</v>
      </c>
      <c r="Q44" s="244">
        <v>0</v>
      </c>
      <c r="R44" s="244">
        <v>1504000</v>
      </c>
      <c r="S44" s="244">
        <v>0</v>
      </c>
      <c r="T44" s="245">
        <v>0</v>
      </c>
      <c r="U44" s="246">
        <v>20</v>
      </c>
      <c r="V44" s="246">
        <v>18</v>
      </c>
      <c r="W44" s="246">
        <v>20</v>
      </c>
      <c r="X44" s="246" t="s">
        <v>451</v>
      </c>
    </row>
    <row r="45" spans="1:24" ht="20.25" customHeight="1">
      <c r="A45" s="247" t="s">
        <v>85</v>
      </c>
      <c r="B45" s="257" t="s">
        <v>203</v>
      </c>
      <c r="C45" s="249" t="s">
        <v>455</v>
      </c>
      <c r="D45" s="250" t="s">
        <v>440</v>
      </c>
      <c r="E45" s="251">
        <v>3.7370000000000001</v>
      </c>
      <c r="F45" s="252">
        <v>1605</v>
      </c>
      <c r="G45" s="253">
        <v>1605</v>
      </c>
      <c r="H45" s="254" t="s">
        <v>444</v>
      </c>
      <c r="I45" s="242">
        <v>478000</v>
      </c>
      <c r="J45" s="255">
        <v>478000</v>
      </c>
      <c r="K45" s="255"/>
      <c r="L45" s="255">
        <v>0</v>
      </c>
      <c r="M45" s="255">
        <v>0</v>
      </c>
      <c r="N45" s="256">
        <v>478000</v>
      </c>
      <c r="O45" s="223" t="s">
        <v>86</v>
      </c>
      <c r="Q45" s="244">
        <v>478000</v>
      </c>
      <c r="R45" s="244">
        <v>0</v>
      </c>
      <c r="S45" s="244">
        <v>0</v>
      </c>
      <c r="T45" s="245">
        <v>0</v>
      </c>
      <c r="U45" s="246">
        <v>2.5</v>
      </c>
      <c r="V45" s="246">
        <v>2.5</v>
      </c>
      <c r="W45" s="246">
        <v>2.5</v>
      </c>
      <c r="X45" s="246" t="s">
        <v>444</v>
      </c>
    </row>
    <row r="46" spans="1:24" ht="20.25" customHeight="1">
      <c r="A46" s="247" t="s">
        <v>95</v>
      </c>
      <c r="B46" s="257" t="s">
        <v>204</v>
      </c>
      <c r="C46" s="249" t="s">
        <v>455</v>
      </c>
      <c r="D46" s="250" t="s">
        <v>440</v>
      </c>
      <c r="E46" s="251">
        <v>13.667999999999999</v>
      </c>
      <c r="F46" s="252">
        <v>954.2</v>
      </c>
      <c r="G46" s="253">
        <v>4551.4439999999995</v>
      </c>
      <c r="H46" s="254" t="s">
        <v>446</v>
      </c>
      <c r="I46" s="242">
        <v>632500</v>
      </c>
      <c r="J46" s="255">
        <v>632500</v>
      </c>
      <c r="K46" s="255"/>
      <c r="L46" s="255">
        <v>0</v>
      </c>
      <c r="M46" s="255">
        <v>0</v>
      </c>
      <c r="N46" s="256">
        <v>632500</v>
      </c>
      <c r="O46" s="223" t="s">
        <v>86</v>
      </c>
      <c r="Q46" s="244">
        <v>632500</v>
      </c>
      <c r="R46" s="244">
        <v>0</v>
      </c>
      <c r="S46" s="244">
        <v>0</v>
      </c>
      <c r="T46" s="245">
        <v>0</v>
      </c>
      <c r="U46" s="246">
        <v>5</v>
      </c>
      <c r="V46" s="246">
        <v>5</v>
      </c>
      <c r="W46" s="246">
        <v>5</v>
      </c>
      <c r="X46" s="246" t="s">
        <v>446</v>
      </c>
    </row>
    <row r="47" spans="1:24" ht="20.25" customHeight="1">
      <c r="A47" s="247" t="s">
        <v>97</v>
      </c>
      <c r="B47" s="257" t="s">
        <v>205</v>
      </c>
      <c r="C47" s="249" t="s">
        <v>456</v>
      </c>
      <c r="D47" s="250" t="s">
        <v>440</v>
      </c>
      <c r="E47" s="251">
        <v>25.8</v>
      </c>
      <c r="F47" s="252">
        <v>4738.5600000000004</v>
      </c>
      <c r="G47" s="253">
        <v>8591.4</v>
      </c>
      <c r="H47" s="254" t="s">
        <v>448</v>
      </c>
      <c r="I47" s="242">
        <v>549000</v>
      </c>
      <c r="J47" s="255">
        <v>549000</v>
      </c>
      <c r="K47" s="255"/>
      <c r="L47" s="255">
        <v>0</v>
      </c>
      <c r="M47" s="255">
        <v>0</v>
      </c>
      <c r="N47" s="256">
        <v>549000</v>
      </c>
      <c r="O47" s="223" t="s">
        <v>86</v>
      </c>
      <c r="Q47" s="244">
        <v>549000</v>
      </c>
      <c r="R47" s="244">
        <v>0</v>
      </c>
      <c r="S47" s="244">
        <v>0</v>
      </c>
      <c r="T47" s="245">
        <v>0</v>
      </c>
      <c r="U47" s="246">
        <v>10</v>
      </c>
      <c r="V47" s="246">
        <v>10</v>
      </c>
      <c r="W47" s="246">
        <v>10</v>
      </c>
      <c r="X47" s="246" t="s">
        <v>448</v>
      </c>
    </row>
    <row r="48" spans="1:24" ht="20.25" customHeight="1">
      <c r="A48" s="247" t="s">
        <v>207</v>
      </c>
      <c r="B48" s="248" t="s">
        <v>206</v>
      </c>
      <c r="C48" s="249" t="s">
        <v>457</v>
      </c>
      <c r="D48" s="250" t="s">
        <v>440</v>
      </c>
      <c r="E48" s="251">
        <v>15.004</v>
      </c>
      <c r="F48" s="252">
        <v>2040</v>
      </c>
      <c r="G48" s="253">
        <v>4996.3319999999994</v>
      </c>
      <c r="H48" s="254" t="s">
        <v>446</v>
      </c>
      <c r="I48" s="242">
        <v>289000</v>
      </c>
      <c r="J48" s="255">
        <v>289000</v>
      </c>
      <c r="K48" s="255"/>
      <c r="L48" s="255">
        <v>0</v>
      </c>
      <c r="M48" s="255">
        <v>0</v>
      </c>
      <c r="N48" s="256">
        <v>289000</v>
      </c>
      <c r="O48" s="223" t="s">
        <v>86</v>
      </c>
      <c r="Q48" s="244">
        <v>0</v>
      </c>
      <c r="R48" s="244">
        <v>289000</v>
      </c>
      <c r="S48" s="244">
        <v>0</v>
      </c>
      <c r="T48" s="245">
        <v>0</v>
      </c>
      <c r="U48" s="246">
        <v>5</v>
      </c>
      <c r="V48" s="246">
        <v>5</v>
      </c>
      <c r="W48" s="246">
        <v>5</v>
      </c>
      <c r="X48" s="246" t="s">
        <v>446</v>
      </c>
    </row>
    <row r="49" spans="1:24" ht="20.25" customHeight="1">
      <c r="A49" s="247" t="s">
        <v>89</v>
      </c>
      <c r="B49" s="257">
        <v>61960098</v>
      </c>
      <c r="C49" s="249" t="s">
        <v>458</v>
      </c>
      <c r="D49" s="250" t="s">
        <v>440</v>
      </c>
      <c r="E49" s="251">
        <v>0.45600000000000002</v>
      </c>
      <c r="F49" s="252">
        <v>85</v>
      </c>
      <c r="G49" s="253">
        <v>151.84800000000001</v>
      </c>
      <c r="H49" s="254" t="s">
        <v>442</v>
      </c>
      <c r="I49" s="242">
        <v>265000</v>
      </c>
      <c r="J49" s="255">
        <v>265000</v>
      </c>
      <c r="K49" s="255"/>
      <c r="L49" s="255">
        <v>0</v>
      </c>
      <c r="M49" s="255">
        <v>0</v>
      </c>
      <c r="N49" s="256">
        <v>265000</v>
      </c>
      <c r="O49" s="223" t="s">
        <v>86</v>
      </c>
      <c r="Q49" s="244">
        <v>265000</v>
      </c>
      <c r="R49" s="244">
        <v>0</v>
      </c>
      <c r="S49" s="244">
        <v>0</v>
      </c>
      <c r="T49" s="245">
        <v>0</v>
      </c>
      <c r="U49" s="246">
        <v>1</v>
      </c>
      <c r="V49" s="246">
        <v>1</v>
      </c>
      <c r="W49" s="246">
        <v>1</v>
      </c>
      <c r="X49" s="246" t="s">
        <v>442</v>
      </c>
    </row>
    <row r="50" spans="1:24" ht="20.25" customHeight="1">
      <c r="A50" s="247" t="s">
        <v>85</v>
      </c>
      <c r="B50" s="257" t="s">
        <v>210</v>
      </c>
      <c r="C50" s="249" t="s">
        <v>455</v>
      </c>
      <c r="D50" s="250" t="s">
        <v>440</v>
      </c>
      <c r="E50" s="251">
        <v>20.183</v>
      </c>
      <c r="F50" s="252">
        <v>8667</v>
      </c>
      <c r="G50" s="253">
        <v>8667</v>
      </c>
      <c r="H50" s="254" t="s">
        <v>448</v>
      </c>
      <c r="I50" s="242">
        <v>752000</v>
      </c>
      <c r="J50" s="255">
        <v>752000</v>
      </c>
      <c r="K50" s="255"/>
      <c r="L50" s="255">
        <v>0</v>
      </c>
      <c r="M50" s="255">
        <v>0</v>
      </c>
      <c r="N50" s="256">
        <v>752000</v>
      </c>
      <c r="O50" s="223" t="s">
        <v>86</v>
      </c>
      <c r="Q50" s="244">
        <v>752000</v>
      </c>
      <c r="R50" s="244">
        <v>0</v>
      </c>
      <c r="S50" s="244">
        <v>0</v>
      </c>
      <c r="T50" s="245">
        <v>0</v>
      </c>
      <c r="U50" s="246">
        <v>8</v>
      </c>
      <c r="V50" s="246">
        <v>10</v>
      </c>
      <c r="W50" s="246">
        <v>10</v>
      </c>
      <c r="X50" s="246" t="s">
        <v>448</v>
      </c>
    </row>
    <row r="51" spans="1:24" ht="20.25" customHeight="1">
      <c r="A51" s="247" t="s">
        <v>88</v>
      </c>
      <c r="B51" s="248" t="s">
        <v>211</v>
      </c>
      <c r="C51" s="249" t="s">
        <v>459</v>
      </c>
      <c r="D51" s="250" t="s">
        <v>440</v>
      </c>
      <c r="E51" s="251">
        <v>46.100999999999999</v>
      </c>
      <c r="F51" s="252">
        <v>7084.8</v>
      </c>
      <c r="G51" s="253">
        <v>15351.633</v>
      </c>
      <c r="H51" s="254" t="s">
        <v>452</v>
      </c>
      <c r="I51" s="242">
        <v>1066000</v>
      </c>
      <c r="J51" s="255">
        <v>1066000</v>
      </c>
      <c r="K51" s="255"/>
      <c r="L51" s="255">
        <v>0</v>
      </c>
      <c r="M51" s="255">
        <v>0</v>
      </c>
      <c r="N51" s="256">
        <v>1066000</v>
      </c>
      <c r="O51" s="223" t="s">
        <v>86</v>
      </c>
      <c r="Q51" s="244">
        <v>0</v>
      </c>
      <c r="R51" s="244">
        <v>0</v>
      </c>
      <c r="S51" s="244">
        <v>1066000</v>
      </c>
      <c r="T51" s="245">
        <v>0</v>
      </c>
      <c r="U51" s="246">
        <v>15</v>
      </c>
      <c r="V51" s="246">
        <v>15</v>
      </c>
      <c r="W51" s="246">
        <v>15</v>
      </c>
      <c r="X51" s="246" t="s">
        <v>452</v>
      </c>
    </row>
    <row r="52" spans="1:24" ht="20.25" customHeight="1">
      <c r="A52" s="247" t="s">
        <v>85</v>
      </c>
      <c r="B52" s="257" t="s">
        <v>213</v>
      </c>
      <c r="C52" s="249" t="s">
        <v>455</v>
      </c>
      <c r="D52" s="250" t="s">
        <v>440</v>
      </c>
      <c r="E52" s="251">
        <v>22.64</v>
      </c>
      <c r="F52" s="252">
        <v>16940</v>
      </c>
      <c r="G52" s="253">
        <v>16940</v>
      </c>
      <c r="H52" s="254" t="s">
        <v>441</v>
      </c>
      <c r="I52" s="242">
        <v>1450500</v>
      </c>
      <c r="J52" s="255">
        <v>1450500</v>
      </c>
      <c r="K52" s="255"/>
      <c r="L52" s="255">
        <v>0</v>
      </c>
      <c r="M52" s="255">
        <v>0</v>
      </c>
      <c r="N52" s="256">
        <v>1450500</v>
      </c>
      <c r="O52" s="223" t="s">
        <v>86</v>
      </c>
      <c r="Q52" s="244">
        <v>0</v>
      </c>
      <c r="R52" s="244">
        <v>1450500</v>
      </c>
      <c r="S52" s="244">
        <v>0</v>
      </c>
      <c r="T52" s="245">
        <v>0</v>
      </c>
      <c r="U52" s="246">
        <v>10</v>
      </c>
      <c r="V52" s="246">
        <v>18</v>
      </c>
      <c r="W52" s="246">
        <v>18</v>
      </c>
      <c r="X52" s="246" t="s">
        <v>441</v>
      </c>
    </row>
    <row r="53" spans="1:24" ht="20.25" customHeight="1">
      <c r="A53" s="247" t="s">
        <v>95</v>
      </c>
      <c r="B53" s="257" t="s">
        <v>214</v>
      </c>
      <c r="C53" s="249" t="s">
        <v>455</v>
      </c>
      <c r="D53" s="250" t="s">
        <v>440</v>
      </c>
      <c r="E53" s="251">
        <v>27.895</v>
      </c>
      <c r="F53" s="252">
        <v>2555.09</v>
      </c>
      <c r="G53" s="253">
        <v>9289.0349999999999</v>
      </c>
      <c r="H53" s="254" t="s">
        <v>448</v>
      </c>
      <c r="I53" s="242">
        <v>752000</v>
      </c>
      <c r="J53" s="255">
        <v>752000</v>
      </c>
      <c r="K53" s="255"/>
      <c r="L53" s="255">
        <v>0</v>
      </c>
      <c r="M53" s="255">
        <v>0</v>
      </c>
      <c r="N53" s="256">
        <v>752000</v>
      </c>
      <c r="O53" s="223" t="s">
        <v>86</v>
      </c>
      <c r="Q53" s="244">
        <v>752000</v>
      </c>
      <c r="R53" s="244">
        <v>0</v>
      </c>
      <c r="S53" s="244">
        <v>0</v>
      </c>
      <c r="T53" s="245">
        <v>0</v>
      </c>
      <c r="U53" s="246">
        <v>10</v>
      </c>
      <c r="V53" s="246">
        <v>10</v>
      </c>
      <c r="W53" s="246">
        <v>10</v>
      </c>
      <c r="X53" s="246" t="s">
        <v>448</v>
      </c>
    </row>
    <row r="54" spans="1:24" ht="20.25" customHeight="1">
      <c r="A54" s="247" t="s">
        <v>95</v>
      </c>
      <c r="B54" s="248" t="s">
        <v>215</v>
      </c>
      <c r="C54" s="249" t="s">
        <v>455</v>
      </c>
      <c r="D54" s="250" t="s">
        <v>440</v>
      </c>
      <c r="E54" s="251">
        <v>8.9049999999999994</v>
      </c>
      <c r="F54" s="252">
        <v>684.09</v>
      </c>
      <c r="G54" s="253">
        <v>2965.3649999999998</v>
      </c>
      <c r="H54" s="254" t="s">
        <v>446</v>
      </c>
      <c r="I54" s="242">
        <v>632500</v>
      </c>
      <c r="J54" s="255">
        <v>632500</v>
      </c>
      <c r="K54" s="255"/>
      <c r="L54" s="255">
        <v>0</v>
      </c>
      <c r="M54" s="255">
        <v>0</v>
      </c>
      <c r="N54" s="256">
        <v>632500</v>
      </c>
      <c r="O54" s="223" t="s">
        <v>86</v>
      </c>
      <c r="Q54" s="244">
        <v>632500</v>
      </c>
      <c r="R54" s="244">
        <v>0</v>
      </c>
      <c r="S54" s="244">
        <v>0</v>
      </c>
      <c r="T54" s="245">
        <v>0</v>
      </c>
      <c r="U54" s="246">
        <v>5</v>
      </c>
      <c r="V54" s="246">
        <v>5</v>
      </c>
      <c r="W54" s="246">
        <v>5</v>
      </c>
      <c r="X54" s="246" t="s">
        <v>446</v>
      </c>
    </row>
    <row r="55" spans="1:24" ht="20.25" customHeight="1">
      <c r="A55" s="247" t="s">
        <v>85</v>
      </c>
      <c r="B55" s="248" t="s">
        <v>217</v>
      </c>
      <c r="C55" s="249" t="s">
        <v>455</v>
      </c>
      <c r="D55" s="250" t="s">
        <v>440</v>
      </c>
      <c r="E55" s="251">
        <v>7.26</v>
      </c>
      <c r="F55" s="252">
        <v>3272</v>
      </c>
      <c r="G55" s="253">
        <v>3272</v>
      </c>
      <c r="H55" s="254" t="s">
        <v>446</v>
      </c>
      <c r="I55" s="242">
        <v>632500</v>
      </c>
      <c r="J55" s="255">
        <v>632500</v>
      </c>
      <c r="K55" s="255"/>
      <c r="L55" s="255">
        <v>0</v>
      </c>
      <c r="M55" s="255">
        <v>0</v>
      </c>
      <c r="N55" s="256">
        <v>632500</v>
      </c>
      <c r="O55" s="223" t="s">
        <v>86</v>
      </c>
      <c r="Q55" s="244">
        <v>632500</v>
      </c>
      <c r="R55" s="244">
        <v>0</v>
      </c>
      <c r="S55" s="244">
        <v>0</v>
      </c>
      <c r="T55" s="245">
        <v>0</v>
      </c>
      <c r="U55" s="246">
        <v>5</v>
      </c>
      <c r="V55" s="246">
        <v>5</v>
      </c>
      <c r="W55" s="246">
        <v>5</v>
      </c>
      <c r="X55" s="246" t="s">
        <v>446</v>
      </c>
    </row>
    <row r="56" spans="1:24" ht="20.25" customHeight="1">
      <c r="A56" s="247" t="s">
        <v>91</v>
      </c>
      <c r="B56" s="248" t="s">
        <v>218</v>
      </c>
      <c r="C56" s="249" t="s">
        <v>460</v>
      </c>
      <c r="D56" s="250" t="s">
        <v>440</v>
      </c>
      <c r="E56" s="251">
        <v>52.8</v>
      </c>
      <c r="F56" s="252">
        <v>10950</v>
      </c>
      <c r="G56" s="253">
        <v>17582.399999999998</v>
      </c>
      <c r="H56" s="254" t="s">
        <v>441</v>
      </c>
      <c r="I56" s="242">
        <v>1148000</v>
      </c>
      <c r="J56" s="255">
        <v>1148000</v>
      </c>
      <c r="K56" s="255"/>
      <c r="L56" s="255">
        <v>0</v>
      </c>
      <c r="M56" s="255">
        <v>0</v>
      </c>
      <c r="N56" s="256">
        <v>1148000</v>
      </c>
      <c r="O56" s="223" t="s">
        <v>86</v>
      </c>
      <c r="Q56" s="244">
        <v>0</v>
      </c>
      <c r="R56" s="244">
        <v>1148000</v>
      </c>
      <c r="S56" s="244">
        <v>0</v>
      </c>
      <c r="T56" s="245">
        <v>0</v>
      </c>
      <c r="U56" s="246">
        <v>18</v>
      </c>
      <c r="V56" s="246">
        <v>18</v>
      </c>
      <c r="W56" s="246">
        <v>18</v>
      </c>
      <c r="X56" s="246" t="s">
        <v>441</v>
      </c>
    </row>
    <row r="57" spans="1:24" ht="20.25" customHeight="1">
      <c r="A57" s="247" t="s">
        <v>143</v>
      </c>
      <c r="B57" s="248" t="s">
        <v>220</v>
      </c>
      <c r="C57" s="249" t="s">
        <v>460</v>
      </c>
      <c r="D57" s="250" t="s">
        <v>440</v>
      </c>
      <c r="E57" s="251">
        <v>26.361000000000001</v>
      </c>
      <c r="F57" s="252">
        <v>14840</v>
      </c>
      <c r="G57" s="253">
        <v>14840</v>
      </c>
      <c r="H57" s="254" t="s">
        <v>452</v>
      </c>
      <c r="I57" s="242">
        <v>1101000</v>
      </c>
      <c r="J57" s="255">
        <v>1101000</v>
      </c>
      <c r="K57" s="255"/>
      <c r="L57" s="255">
        <v>0</v>
      </c>
      <c r="M57" s="255">
        <v>0</v>
      </c>
      <c r="N57" s="256">
        <v>1101000</v>
      </c>
      <c r="O57" s="223" t="s">
        <v>86</v>
      </c>
      <c r="Q57" s="244">
        <v>0</v>
      </c>
      <c r="R57" s="244">
        <v>1101000</v>
      </c>
      <c r="S57" s="244">
        <v>0</v>
      </c>
      <c r="T57" s="245">
        <v>0</v>
      </c>
      <c r="U57" s="246">
        <v>10</v>
      </c>
      <c r="V57" s="246">
        <v>15</v>
      </c>
      <c r="W57" s="246">
        <v>15</v>
      </c>
      <c r="X57" s="246" t="s">
        <v>452</v>
      </c>
    </row>
    <row r="58" spans="1:24" ht="20.25" customHeight="1">
      <c r="A58" s="247" t="s">
        <v>222</v>
      </c>
      <c r="B58" s="248" t="s">
        <v>221</v>
      </c>
      <c r="C58" s="249">
        <v>0</v>
      </c>
      <c r="D58" s="250" t="s">
        <v>440</v>
      </c>
      <c r="E58" s="251">
        <v>12</v>
      </c>
      <c r="F58" s="252">
        <v>6030</v>
      </c>
      <c r="G58" s="253">
        <v>6030</v>
      </c>
      <c r="H58" s="254" t="s">
        <v>450</v>
      </c>
      <c r="I58" s="242">
        <v>0</v>
      </c>
      <c r="J58" s="255">
        <v>0</v>
      </c>
      <c r="K58" s="255"/>
      <c r="L58" s="255">
        <v>0</v>
      </c>
      <c r="M58" s="255">
        <v>0</v>
      </c>
      <c r="N58" s="256">
        <v>0</v>
      </c>
      <c r="O58" s="223" t="s">
        <v>93</v>
      </c>
      <c r="Q58" s="244">
        <v>0</v>
      </c>
      <c r="R58" s="244">
        <v>0</v>
      </c>
      <c r="S58" s="244">
        <v>0</v>
      </c>
      <c r="T58" s="245">
        <v>0</v>
      </c>
      <c r="U58" s="246">
        <v>5</v>
      </c>
      <c r="V58" s="246">
        <v>8</v>
      </c>
      <c r="W58" s="246">
        <v>8</v>
      </c>
      <c r="X58" s="246" t="s">
        <v>450</v>
      </c>
    </row>
    <row r="59" spans="1:24" ht="20.25" customHeight="1">
      <c r="A59" s="247" t="s">
        <v>100</v>
      </c>
      <c r="B59" s="248" t="s">
        <v>224</v>
      </c>
      <c r="C59" s="249" t="s">
        <v>440</v>
      </c>
      <c r="D59" s="250" t="s">
        <v>440</v>
      </c>
      <c r="E59" s="251">
        <v>22.79</v>
      </c>
      <c r="F59" s="252">
        <v>1864.8</v>
      </c>
      <c r="G59" s="253">
        <v>7589.07</v>
      </c>
      <c r="H59" s="254" t="s">
        <v>448</v>
      </c>
      <c r="I59" s="242">
        <v>291000</v>
      </c>
      <c r="J59" s="255">
        <v>291000</v>
      </c>
      <c r="K59" s="255"/>
      <c r="L59" s="255">
        <v>0</v>
      </c>
      <c r="M59" s="255">
        <v>0</v>
      </c>
      <c r="N59" s="256">
        <v>291000</v>
      </c>
      <c r="O59" s="223" t="s">
        <v>86</v>
      </c>
      <c r="Q59" s="244">
        <v>291000</v>
      </c>
      <c r="R59" s="244">
        <v>0</v>
      </c>
      <c r="S59" s="244">
        <v>0</v>
      </c>
      <c r="T59" s="245">
        <v>0</v>
      </c>
      <c r="U59" s="246">
        <v>10</v>
      </c>
      <c r="V59" s="246">
        <v>8</v>
      </c>
      <c r="W59" s="246">
        <v>10</v>
      </c>
      <c r="X59" s="246" t="s">
        <v>448</v>
      </c>
    </row>
    <row r="60" spans="1:24" ht="20.25" customHeight="1">
      <c r="A60" s="247" t="s">
        <v>226</v>
      </c>
      <c r="B60" s="248" t="s">
        <v>225</v>
      </c>
      <c r="C60" s="249">
        <v>0</v>
      </c>
      <c r="D60" s="250" t="s">
        <v>440</v>
      </c>
      <c r="E60" s="251">
        <v>0.04</v>
      </c>
      <c r="F60" s="252">
        <v>272.2</v>
      </c>
      <c r="G60" s="253">
        <v>272.2</v>
      </c>
      <c r="H60" s="254" t="s">
        <v>442</v>
      </c>
      <c r="I60" s="242">
        <v>0</v>
      </c>
      <c r="J60" s="255">
        <v>0</v>
      </c>
      <c r="K60" s="255"/>
      <c r="L60" s="255">
        <v>0</v>
      </c>
      <c r="M60" s="255">
        <v>0</v>
      </c>
      <c r="N60" s="256">
        <v>0</v>
      </c>
      <c r="O60" s="223" t="s">
        <v>93</v>
      </c>
      <c r="Q60" s="244">
        <v>0</v>
      </c>
      <c r="R60" s="244">
        <v>0</v>
      </c>
      <c r="S60" s="244">
        <v>0</v>
      </c>
      <c r="T60" s="245">
        <v>0</v>
      </c>
      <c r="U60" s="246">
        <v>1</v>
      </c>
      <c r="V60" s="246">
        <v>1</v>
      </c>
      <c r="W60" s="246">
        <v>1</v>
      </c>
      <c r="X60" s="246" t="s">
        <v>442</v>
      </c>
    </row>
    <row r="61" spans="1:24" ht="20.25" customHeight="1">
      <c r="A61" s="247" t="s">
        <v>228</v>
      </c>
      <c r="B61" s="257" t="s">
        <v>227</v>
      </c>
      <c r="C61" s="249" t="s">
        <v>455</v>
      </c>
      <c r="D61" s="250" t="s">
        <v>440</v>
      </c>
      <c r="E61" s="251">
        <v>12.29</v>
      </c>
      <c r="F61" s="252">
        <v>13005</v>
      </c>
      <c r="G61" s="253">
        <v>13005</v>
      </c>
      <c r="H61" s="254" t="s">
        <v>461</v>
      </c>
      <c r="I61" s="242">
        <v>1230000</v>
      </c>
      <c r="J61" s="255">
        <v>1230000</v>
      </c>
      <c r="K61" s="255"/>
      <c r="L61" s="255">
        <v>0</v>
      </c>
      <c r="M61" s="255">
        <v>0</v>
      </c>
      <c r="N61" s="256">
        <v>1230000</v>
      </c>
      <c r="O61" s="223" t="s">
        <v>86</v>
      </c>
      <c r="Q61" s="244">
        <v>0</v>
      </c>
      <c r="R61" s="244">
        <v>1230000</v>
      </c>
      <c r="S61" s="244">
        <v>0</v>
      </c>
      <c r="T61" s="245">
        <v>0</v>
      </c>
      <c r="U61" s="246">
        <v>5</v>
      </c>
      <c r="V61" s="246">
        <v>12.5</v>
      </c>
      <c r="W61" s="246">
        <v>12.5</v>
      </c>
      <c r="X61" s="246" t="s">
        <v>461</v>
      </c>
    </row>
    <row r="62" spans="1:24" ht="20.25" customHeight="1">
      <c r="A62" s="247" t="s">
        <v>145</v>
      </c>
      <c r="B62" s="257" t="s">
        <v>229</v>
      </c>
      <c r="C62" s="249" t="s">
        <v>457</v>
      </c>
      <c r="D62" s="250" t="s">
        <v>440</v>
      </c>
      <c r="E62" s="251">
        <v>4.0289999999999999</v>
      </c>
      <c r="F62" s="252">
        <v>633</v>
      </c>
      <c r="G62" s="253">
        <v>1341.6569999999999</v>
      </c>
      <c r="H62" s="254" t="s">
        <v>444</v>
      </c>
      <c r="I62" s="242">
        <v>241000</v>
      </c>
      <c r="J62" s="255">
        <v>241000</v>
      </c>
      <c r="K62" s="255"/>
      <c r="L62" s="255">
        <v>0</v>
      </c>
      <c r="M62" s="255">
        <v>0</v>
      </c>
      <c r="N62" s="256">
        <v>241000</v>
      </c>
      <c r="O62" s="223" t="s">
        <v>86</v>
      </c>
      <c r="Q62" s="244">
        <v>0</v>
      </c>
      <c r="R62" s="244">
        <v>241000</v>
      </c>
      <c r="S62" s="244">
        <v>0</v>
      </c>
      <c r="T62" s="245">
        <v>0</v>
      </c>
      <c r="U62" s="246">
        <v>2.5</v>
      </c>
      <c r="V62" s="246">
        <v>2.5</v>
      </c>
      <c r="W62" s="246">
        <v>2.5</v>
      </c>
      <c r="X62" s="246" t="s">
        <v>444</v>
      </c>
    </row>
    <row r="63" spans="1:24" ht="20.25" customHeight="1">
      <c r="A63" s="247" t="s">
        <v>144</v>
      </c>
      <c r="B63" s="248" t="s">
        <v>230</v>
      </c>
      <c r="C63" s="249" t="s">
        <v>462</v>
      </c>
      <c r="D63" s="250" t="s">
        <v>440</v>
      </c>
      <c r="E63" s="251">
        <v>2.7450000000000001</v>
      </c>
      <c r="F63" s="252">
        <v>2942.01</v>
      </c>
      <c r="G63" s="253">
        <v>2942.01</v>
      </c>
      <c r="H63" s="254" t="s">
        <v>446</v>
      </c>
      <c r="I63" s="242">
        <v>465000</v>
      </c>
      <c r="J63" s="255">
        <v>465000</v>
      </c>
      <c r="K63" s="255"/>
      <c r="L63" s="255">
        <v>0</v>
      </c>
      <c r="M63" s="255">
        <v>0</v>
      </c>
      <c r="N63" s="256">
        <v>465000</v>
      </c>
      <c r="O63" s="223" t="s">
        <v>86</v>
      </c>
      <c r="Q63" s="244">
        <v>0</v>
      </c>
      <c r="R63" s="244">
        <v>465000</v>
      </c>
      <c r="S63" s="244">
        <v>0</v>
      </c>
      <c r="T63" s="245">
        <v>0</v>
      </c>
      <c r="U63" s="246">
        <v>1</v>
      </c>
      <c r="V63" s="246">
        <v>5</v>
      </c>
      <c r="W63" s="246">
        <v>5</v>
      </c>
      <c r="X63" s="246" t="s">
        <v>446</v>
      </c>
    </row>
    <row r="64" spans="1:24" ht="20.25" customHeight="1">
      <c r="A64" s="247" t="s">
        <v>144</v>
      </c>
      <c r="B64" s="257" t="s">
        <v>231</v>
      </c>
      <c r="C64" s="249" t="s">
        <v>462</v>
      </c>
      <c r="D64" s="250" t="s">
        <v>440</v>
      </c>
      <c r="E64" s="251">
        <v>0.75600000000000001</v>
      </c>
      <c r="F64" s="252">
        <v>374.7</v>
      </c>
      <c r="G64" s="253">
        <v>374.7</v>
      </c>
      <c r="H64" s="254" t="s">
        <v>442</v>
      </c>
      <c r="I64" s="242">
        <v>289000</v>
      </c>
      <c r="J64" s="255">
        <v>289000</v>
      </c>
      <c r="K64" s="255"/>
      <c r="L64" s="255">
        <v>0</v>
      </c>
      <c r="M64" s="255">
        <v>0</v>
      </c>
      <c r="N64" s="256">
        <v>289000</v>
      </c>
      <c r="O64" s="223" t="s">
        <v>86</v>
      </c>
      <c r="Q64" s="244">
        <v>0</v>
      </c>
      <c r="R64" s="244">
        <v>289000</v>
      </c>
      <c r="S64" s="244">
        <v>0</v>
      </c>
      <c r="T64" s="245">
        <v>0</v>
      </c>
      <c r="U64" s="246">
        <v>1</v>
      </c>
      <c r="V64" s="246">
        <v>1</v>
      </c>
      <c r="W64" s="246">
        <v>1</v>
      </c>
      <c r="X64" s="246" t="s">
        <v>442</v>
      </c>
    </row>
    <row r="65" spans="1:24" ht="20.25" customHeight="1">
      <c r="A65" s="247" t="s">
        <v>99</v>
      </c>
      <c r="B65" s="257" t="s">
        <v>232</v>
      </c>
      <c r="C65" s="249" t="s">
        <v>460</v>
      </c>
      <c r="D65" s="250" t="s">
        <v>440</v>
      </c>
      <c r="E65" s="251">
        <v>0.20499999999999999</v>
      </c>
      <c r="F65" s="252">
        <v>21</v>
      </c>
      <c r="G65" s="253">
        <v>68.265000000000001</v>
      </c>
      <c r="H65" s="254" t="s">
        <v>442</v>
      </c>
      <c r="I65" s="242">
        <v>288000</v>
      </c>
      <c r="J65" s="255">
        <v>288000</v>
      </c>
      <c r="K65" s="255"/>
      <c r="L65" s="255">
        <v>0</v>
      </c>
      <c r="M65" s="255">
        <v>0</v>
      </c>
      <c r="N65" s="256">
        <v>288000</v>
      </c>
      <c r="O65" s="223" t="s">
        <v>86</v>
      </c>
      <c r="Q65" s="244">
        <v>288000</v>
      </c>
      <c r="R65" s="244">
        <v>0</v>
      </c>
      <c r="S65" s="244">
        <v>0</v>
      </c>
      <c r="T65" s="245">
        <v>0</v>
      </c>
      <c r="U65" s="246">
        <v>1</v>
      </c>
      <c r="V65" s="246">
        <v>1</v>
      </c>
      <c r="W65" s="246">
        <v>1</v>
      </c>
      <c r="X65" s="246" t="s">
        <v>442</v>
      </c>
    </row>
    <row r="66" spans="1:24" ht="20.25" customHeight="1">
      <c r="A66" s="247" t="s">
        <v>152</v>
      </c>
      <c r="B66" s="257" t="s">
        <v>234</v>
      </c>
      <c r="C66" s="249" t="s">
        <v>439</v>
      </c>
      <c r="D66" s="250" t="s">
        <v>440</v>
      </c>
      <c r="E66" s="251">
        <v>26.97</v>
      </c>
      <c r="F66" s="252">
        <v>17900</v>
      </c>
      <c r="G66" s="253">
        <v>17900</v>
      </c>
      <c r="H66" s="254" t="s">
        <v>441</v>
      </c>
      <c r="I66" s="242">
        <v>768000</v>
      </c>
      <c r="J66" s="255">
        <v>768000</v>
      </c>
      <c r="K66" s="255"/>
      <c r="L66" s="255">
        <v>0</v>
      </c>
      <c r="M66" s="255">
        <v>0</v>
      </c>
      <c r="N66" s="256">
        <v>768000</v>
      </c>
      <c r="O66" s="223" t="s">
        <v>86</v>
      </c>
      <c r="Q66" s="244">
        <v>0</v>
      </c>
      <c r="R66" s="244">
        <v>0</v>
      </c>
      <c r="S66" s="244">
        <v>768000</v>
      </c>
      <c r="T66" s="245">
        <v>0</v>
      </c>
      <c r="U66" s="246">
        <v>10</v>
      </c>
      <c r="V66" s="246">
        <v>18</v>
      </c>
      <c r="W66" s="246">
        <v>18</v>
      </c>
      <c r="X66" s="246" t="s">
        <v>441</v>
      </c>
    </row>
    <row r="67" spans="1:24" ht="20.25" customHeight="1">
      <c r="A67" s="247" t="s">
        <v>152</v>
      </c>
      <c r="B67" s="257" t="s">
        <v>235</v>
      </c>
      <c r="C67" s="249" t="s">
        <v>439</v>
      </c>
      <c r="D67" s="250" t="s">
        <v>440</v>
      </c>
      <c r="E67" s="251">
        <v>14.023999999999999</v>
      </c>
      <c r="F67" s="252">
        <v>1746.42</v>
      </c>
      <c r="G67" s="253">
        <v>4669.9919999999993</v>
      </c>
      <c r="H67" s="254" t="s">
        <v>446</v>
      </c>
      <c r="I67" s="242">
        <v>332000</v>
      </c>
      <c r="J67" s="255">
        <v>332000</v>
      </c>
      <c r="K67" s="255"/>
      <c r="L67" s="255">
        <v>0</v>
      </c>
      <c r="M67" s="255">
        <v>0</v>
      </c>
      <c r="N67" s="256">
        <v>332000</v>
      </c>
      <c r="O67" s="223" t="s">
        <v>86</v>
      </c>
      <c r="Q67" s="244">
        <v>332000</v>
      </c>
      <c r="R67" s="244">
        <v>0</v>
      </c>
      <c r="S67" s="244">
        <v>0</v>
      </c>
      <c r="T67" s="245">
        <v>0</v>
      </c>
      <c r="U67" s="246">
        <v>5</v>
      </c>
      <c r="V67" s="246">
        <v>5</v>
      </c>
      <c r="W67" s="246">
        <v>5</v>
      </c>
      <c r="X67" s="246" t="s">
        <v>446</v>
      </c>
    </row>
    <row r="68" spans="1:24" ht="20.25" customHeight="1">
      <c r="A68" s="247" t="s">
        <v>152</v>
      </c>
      <c r="B68" s="248" t="s">
        <v>236</v>
      </c>
      <c r="C68" s="249" t="s">
        <v>439</v>
      </c>
      <c r="D68" s="250" t="s">
        <v>440</v>
      </c>
      <c r="E68" s="251">
        <v>5.3949999999999996</v>
      </c>
      <c r="F68" s="252">
        <v>424.4</v>
      </c>
      <c r="G68" s="253">
        <v>1796.5349999999999</v>
      </c>
      <c r="H68" s="254" t="s">
        <v>444</v>
      </c>
      <c r="I68" s="242">
        <v>291100</v>
      </c>
      <c r="J68" s="255">
        <v>291100</v>
      </c>
      <c r="K68" s="255"/>
      <c r="L68" s="255">
        <v>0</v>
      </c>
      <c r="M68" s="255">
        <v>0</v>
      </c>
      <c r="N68" s="256">
        <v>291100</v>
      </c>
      <c r="O68" s="223" t="s">
        <v>86</v>
      </c>
      <c r="Q68" s="244">
        <v>291100</v>
      </c>
      <c r="R68" s="244">
        <v>0</v>
      </c>
      <c r="S68" s="244">
        <v>0</v>
      </c>
      <c r="T68" s="245">
        <v>0</v>
      </c>
      <c r="U68" s="246">
        <v>2.5</v>
      </c>
      <c r="V68" s="246">
        <v>2.5</v>
      </c>
      <c r="W68" s="246">
        <v>2.5</v>
      </c>
      <c r="X68" s="246" t="s">
        <v>444</v>
      </c>
    </row>
    <row r="69" spans="1:24" ht="20.25" customHeight="1">
      <c r="A69" s="247" t="s">
        <v>85</v>
      </c>
      <c r="B69" s="248" t="s">
        <v>237</v>
      </c>
      <c r="C69" s="249" t="s">
        <v>455</v>
      </c>
      <c r="D69" s="250" t="s">
        <v>440</v>
      </c>
      <c r="E69" s="251">
        <v>5.98</v>
      </c>
      <c r="F69" s="252">
        <v>2568</v>
      </c>
      <c r="G69" s="253">
        <v>2568</v>
      </c>
      <c r="H69" s="254" t="s">
        <v>444</v>
      </c>
      <c r="I69" s="242">
        <v>478000</v>
      </c>
      <c r="J69" s="255">
        <v>478000</v>
      </c>
      <c r="K69" s="255"/>
      <c r="L69" s="255">
        <v>0</v>
      </c>
      <c r="M69" s="255">
        <v>0</v>
      </c>
      <c r="N69" s="256">
        <v>478000</v>
      </c>
      <c r="O69" s="223" t="s">
        <v>86</v>
      </c>
      <c r="Q69" s="244">
        <v>478000</v>
      </c>
      <c r="R69" s="244">
        <v>0</v>
      </c>
      <c r="S69" s="244">
        <v>0</v>
      </c>
      <c r="T69" s="245">
        <v>0</v>
      </c>
      <c r="U69" s="246">
        <v>2.5</v>
      </c>
      <c r="V69" s="246">
        <v>2.5</v>
      </c>
      <c r="W69" s="246">
        <v>2.5</v>
      </c>
      <c r="X69" s="246" t="s">
        <v>444</v>
      </c>
    </row>
    <row r="70" spans="1:24" ht="20.25" customHeight="1">
      <c r="A70" s="247" t="s">
        <v>152</v>
      </c>
      <c r="B70" s="248" t="s">
        <v>239</v>
      </c>
      <c r="C70" s="249" t="s">
        <v>439</v>
      </c>
      <c r="D70" s="250" t="s">
        <v>440</v>
      </c>
      <c r="E70" s="251">
        <v>22.654</v>
      </c>
      <c r="F70" s="252">
        <v>3330.18</v>
      </c>
      <c r="G70" s="253">
        <v>7543.7820000000002</v>
      </c>
      <c r="H70" s="254" t="s">
        <v>448</v>
      </c>
      <c r="I70" s="242">
        <v>392000</v>
      </c>
      <c r="J70" s="255">
        <v>392000</v>
      </c>
      <c r="K70" s="255"/>
      <c r="L70" s="255">
        <v>0</v>
      </c>
      <c r="M70" s="255">
        <v>0</v>
      </c>
      <c r="N70" s="256">
        <v>392000</v>
      </c>
      <c r="O70" s="223" t="s">
        <v>86</v>
      </c>
      <c r="Q70" s="244">
        <v>392000</v>
      </c>
      <c r="R70" s="244">
        <v>0</v>
      </c>
      <c r="S70" s="244">
        <v>0</v>
      </c>
      <c r="T70" s="245">
        <v>0</v>
      </c>
      <c r="U70" s="246">
        <v>10</v>
      </c>
      <c r="V70" s="246">
        <v>8</v>
      </c>
      <c r="W70" s="246">
        <v>10</v>
      </c>
      <c r="X70" s="246" t="s">
        <v>448</v>
      </c>
    </row>
    <row r="71" spans="1:24" ht="20.25" customHeight="1">
      <c r="A71" s="247" t="s">
        <v>152</v>
      </c>
      <c r="B71" s="248" t="s">
        <v>240</v>
      </c>
      <c r="C71" s="249" t="s">
        <v>439</v>
      </c>
      <c r="D71" s="250" t="s">
        <v>440</v>
      </c>
      <c r="E71" s="251">
        <v>14.026999999999999</v>
      </c>
      <c r="F71" s="252">
        <v>12019.8</v>
      </c>
      <c r="G71" s="253">
        <v>12019.8</v>
      </c>
      <c r="H71" s="254" t="s">
        <v>453</v>
      </c>
      <c r="I71" s="242">
        <v>624000</v>
      </c>
      <c r="J71" s="255">
        <v>624000</v>
      </c>
      <c r="K71" s="255"/>
      <c r="L71" s="255">
        <v>0</v>
      </c>
      <c r="M71" s="255">
        <v>0</v>
      </c>
      <c r="N71" s="256">
        <v>624000</v>
      </c>
      <c r="O71" s="223" t="s">
        <v>86</v>
      </c>
      <c r="Q71" s="244">
        <v>0</v>
      </c>
      <c r="R71" s="244">
        <v>0</v>
      </c>
      <c r="S71" s="244">
        <v>0</v>
      </c>
      <c r="T71" s="245">
        <v>624000</v>
      </c>
      <c r="U71" s="246">
        <v>5</v>
      </c>
      <c r="V71" s="246">
        <v>11</v>
      </c>
      <c r="W71" s="246">
        <v>11</v>
      </c>
      <c r="X71" s="246" t="s">
        <v>453</v>
      </c>
    </row>
    <row r="72" spans="1:24" ht="20.25" customHeight="1">
      <c r="A72" s="247" t="s">
        <v>152</v>
      </c>
      <c r="B72" s="248" t="s">
        <v>241</v>
      </c>
      <c r="C72" s="249" t="s">
        <v>439</v>
      </c>
      <c r="D72" s="250" t="s">
        <v>440</v>
      </c>
      <c r="E72" s="251">
        <v>8.6319999999999997</v>
      </c>
      <c r="F72" s="252">
        <v>4832</v>
      </c>
      <c r="G72" s="253">
        <v>4832</v>
      </c>
      <c r="H72" s="254" t="s">
        <v>446</v>
      </c>
      <c r="I72" s="242">
        <v>332000</v>
      </c>
      <c r="J72" s="255">
        <v>332000</v>
      </c>
      <c r="K72" s="255"/>
      <c r="L72" s="255">
        <v>0</v>
      </c>
      <c r="M72" s="255">
        <v>0</v>
      </c>
      <c r="N72" s="256">
        <v>332000</v>
      </c>
      <c r="O72" s="223" t="s">
        <v>86</v>
      </c>
      <c r="Q72" s="244">
        <v>332000</v>
      </c>
      <c r="R72" s="244">
        <v>0</v>
      </c>
      <c r="S72" s="244">
        <v>0</v>
      </c>
      <c r="T72" s="245">
        <v>0</v>
      </c>
      <c r="U72" s="246">
        <v>5</v>
      </c>
      <c r="V72" s="246">
        <v>5</v>
      </c>
      <c r="W72" s="246">
        <v>5</v>
      </c>
      <c r="X72" s="246" t="s">
        <v>446</v>
      </c>
    </row>
    <row r="73" spans="1:24" ht="20.25" customHeight="1">
      <c r="A73" s="247" t="s">
        <v>152</v>
      </c>
      <c r="B73" s="248" t="s">
        <v>242</v>
      </c>
      <c r="C73" s="249" t="s">
        <v>439</v>
      </c>
      <c r="D73" s="250" t="s">
        <v>440</v>
      </c>
      <c r="E73" s="251">
        <v>19.417999999999999</v>
      </c>
      <c r="F73" s="252">
        <v>2418.12</v>
      </c>
      <c r="G73" s="253">
        <v>6466.1939999999995</v>
      </c>
      <c r="H73" s="254" t="s">
        <v>450</v>
      </c>
      <c r="I73" s="242">
        <v>376000</v>
      </c>
      <c r="J73" s="255">
        <v>376000</v>
      </c>
      <c r="K73" s="255"/>
      <c r="L73" s="255">
        <v>0</v>
      </c>
      <c r="M73" s="255">
        <v>0</v>
      </c>
      <c r="N73" s="256">
        <v>376000</v>
      </c>
      <c r="O73" s="223" t="s">
        <v>86</v>
      </c>
      <c r="Q73" s="244">
        <v>376000</v>
      </c>
      <c r="R73" s="244">
        <v>0</v>
      </c>
      <c r="S73" s="244">
        <v>0</v>
      </c>
      <c r="T73" s="245">
        <v>0</v>
      </c>
      <c r="U73" s="246">
        <v>8</v>
      </c>
      <c r="V73" s="246">
        <v>8</v>
      </c>
      <c r="W73" s="246">
        <v>8</v>
      </c>
      <c r="X73" s="246" t="s">
        <v>450</v>
      </c>
    </row>
    <row r="74" spans="1:24" ht="20.25" customHeight="1">
      <c r="A74" s="247" t="s">
        <v>152</v>
      </c>
      <c r="B74" s="248" t="s">
        <v>244</v>
      </c>
      <c r="C74" s="249" t="s">
        <v>439</v>
      </c>
      <c r="D74" s="250" t="s">
        <v>440</v>
      </c>
      <c r="E74" s="251">
        <v>10.788</v>
      </c>
      <c r="F74" s="252">
        <v>1343.4</v>
      </c>
      <c r="G74" s="253">
        <v>3592.404</v>
      </c>
      <c r="H74" s="254" t="s">
        <v>446</v>
      </c>
      <c r="I74" s="242">
        <v>332000</v>
      </c>
      <c r="J74" s="255">
        <v>332000</v>
      </c>
      <c r="K74" s="255"/>
      <c r="L74" s="255">
        <v>0</v>
      </c>
      <c r="M74" s="255">
        <v>0</v>
      </c>
      <c r="N74" s="256">
        <v>332000</v>
      </c>
      <c r="O74" s="223" t="s">
        <v>86</v>
      </c>
      <c r="Q74" s="244">
        <v>332000</v>
      </c>
      <c r="R74" s="244">
        <v>0</v>
      </c>
      <c r="S74" s="244">
        <v>0</v>
      </c>
      <c r="T74" s="245">
        <v>0</v>
      </c>
      <c r="U74" s="246">
        <v>5</v>
      </c>
      <c r="V74" s="246">
        <v>5</v>
      </c>
      <c r="W74" s="246">
        <v>5</v>
      </c>
      <c r="X74" s="246" t="s">
        <v>446</v>
      </c>
    </row>
    <row r="75" spans="1:24" ht="20.25" customHeight="1">
      <c r="A75" s="247" t="s">
        <v>152</v>
      </c>
      <c r="B75" s="248" t="s">
        <v>245</v>
      </c>
      <c r="C75" s="249" t="s">
        <v>439</v>
      </c>
      <c r="D75" s="250" t="s">
        <v>440</v>
      </c>
      <c r="E75" s="251">
        <v>10.79</v>
      </c>
      <c r="F75" s="252">
        <v>8614</v>
      </c>
      <c r="G75" s="253">
        <v>8614</v>
      </c>
      <c r="H75" s="254" t="s">
        <v>448</v>
      </c>
      <c r="I75" s="242">
        <v>392000</v>
      </c>
      <c r="J75" s="255">
        <v>392000</v>
      </c>
      <c r="K75" s="255"/>
      <c r="L75" s="255">
        <v>0</v>
      </c>
      <c r="M75" s="255">
        <v>0</v>
      </c>
      <c r="N75" s="256">
        <v>392000</v>
      </c>
      <c r="O75" s="223" t="s">
        <v>86</v>
      </c>
      <c r="Q75" s="244">
        <v>392000</v>
      </c>
      <c r="R75" s="244">
        <v>0</v>
      </c>
      <c r="S75" s="244">
        <v>0</v>
      </c>
      <c r="T75" s="245">
        <v>0</v>
      </c>
      <c r="U75" s="246">
        <v>5</v>
      </c>
      <c r="V75" s="246">
        <v>10</v>
      </c>
      <c r="W75" s="246">
        <v>10</v>
      </c>
      <c r="X75" s="246" t="s">
        <v>448</v>
      </c>
    </row>
    <row r="76" spans="1:24" ht="20.25" customHeight="1">
      <c r="A76" s="247" t="s">
        <v>152</v>
      </c>
      <c r="B76" s="248" t="s">
        <v>246</v>
      </c>
      <c r="C76" s="249" t="s">
        <v>439</v>
      </c>
      <c r="D76" s="250" t="s">
        <v>440</v>
      </c>
      <c r="E76" s="251">
        <v>10.79</v>
      </c>
      <c r="F76" s="252">
        <v>8614</v>
      </c>
      <c r="G76" s="253">
        <v>8614</v>
      </c>
      <c r="H76" s="254" t="s">
        <v>448</v>
      </c>
      <c r="I76" s="242">
        <v>392000</v>
      </c>
      <c r="J76" s="255">
        <v>392000</v>
      </c>
      <c r="K76" s="255"/>
      <c r="L76" s="255">
        <v>0</v>
      </c>
      <c r="M76" s="255">
        <v>0</v>
      </c>
      <c r="N76" s="256">
        <v>392000</v>
      </c>
      <c r="O76" s="223" t="s">
        <v>86</v>
      </c>
      <c r="Q76" s="244">
        <v>392000</v>
      </c>
      <c r="R76" s="244">
        <v>0</v>
      </c>
      <c r="S76" s="244">
        <v>0</v>
      </c>
      <c r="T76" s="245">
        <v>0</v>
      </c>
      <c r="U76" s="246">
        <v>5</v>
      </c>
      <c r="V76" s="246">
        <v>10</v>
      </c>
      <c r="W76" s="246">
        <v>10</v>
      </c>
      <c r="X76" s="246" t="s">
        <v>448</v>
      </c>
    </row>
    <row r="77" spans="1:24" ht="20.25" customHeight="1">
      <c r="A77" s="247" t="s">
        <v>100</v>
      </c>
      <c r="B77" s="248" t="s">
        <v>247</v>
      </c>
      <c r="C77" s="249" t="s">
        <v>440</v>
      </c>
      <c r="D77" s="250" t="s">
        <v>440</v>
      </c>
      <c r="E77" s="251">
        <v>30.39</v>
      </c>
      <c r="F77" s="252">
        <v>2486.4</v>
      </c>
      <c r="G77" s="253">
        <v>10119.870000000001</v>
      </c>
      <c r="H77" s="254" t="s">
        <v>448</v>
      </c>
      <c r="I77" s="242">
        <v>291000</v>
      </c>
      <c r="J77" s="255">
        <v>291000</v>
      </c>
      <c r="K77" s="255"/>
      <c r="L77" s="255">
        <v>0</v>
      </c>
      <c r="M77" s="255">
        <v>0</v>
      </c>
      <c r="N77" s="256">
        <v>291000</v>
      </c>
      <c r="O77" s="223" t="s">
        <v>86</v>
      </c>
      <c r="Q77" s="244">
        <v>291000</v>
      </c>
      <c r="R77" s="244">
        <v>0</v>
      </c>
      <c r="S77" s="244">
        <v>0</v>
      </c>
      <c r="T77" s="245">
        <v>0</v>
      </c>
      <c r="U77" s="246">
        <v>10</v>
      </c>
      <c r="V77" s="246">
        <v>10</v>
      </c>
      <c r="W77" s="246">
        <v>10</v>
      </c>
      <c r="X77" s="246" t="s">
        <v>448</v>
      </c>
    </row>
    <row r="78" spans="1:24" ht="20.25" customHeight="1">
      <c r="A78" s="247" t="s">
        <v>152</v>
      </c>
      <c r="B78" s="248" t="s">
        <v>249</v>
      </c>
      <c r="C78" s="249" t="s">
        <v>439</v>
      </c>
      <c r="D78" s="250" t="s">
        <v>440</v>
      </c>
      <c r="E78" s="251">
        <v>31.327999999999999</v>
      </c>
      <c r="F78" s="252">
        <v>5218.3999999999996</v>
      </c>
      <c r="G78" s="253">
        <v>10432.224</v>
      </c>
      <c r="H78" s="254" t="s">
        <v>448</v>
      </c>
      <c r="I78" s="242">
        <v>392000</v>
      </c>
      <c r="J78" s="255">
        <v>392000</v>
      </c>
      <c r="K78" s="255"/>
      <c r="L78" s="255">
        <v>0</v>
      </c>
      <c r="M78" s="255">
        <v>0</v>
      </c>
      <c r="N78" s="256">
        <v>392000</v>
      </c>
      <c r="O78" s="223" t="s">
        <v>86</v>
      </c>
      <c r="Q78" s="244">
        <v>392000</v>
      </c>
      <c r="R78" s="244">
        <v>0</v>
      </c>
      <c r="S78" s="244">
        <v>0</v>
      </c>
      <c r="T78" s="245">
        <v>0</v>
      </c>
      <c r="U78" s="246">
        <v>10</v>
      </c>
      <c r="V78" s="246">
        <v>10</v>
      </c>
      <c r="W78" s="246">
        <v>10</v>
      </c>
      <c r="X78" s="246" t="s">
        <v>448</v>
      </c>
    </row>
    <row r="79" spans="1:24" ht="20.25" customHeight="1">
      <c r="A79" s="247" t="s">
        <v>152</v>
      </c>
      <c r="B79" s="248" t="s">
        <v>250</v>
      </c>
      <c r="C79" s="249" t="s">
        <v>439</v>
      </c>
      <c r="D79" s="250" t="s">
        <v>440</v>
      </c>
      <c r="E79" s="251">
        <v>21.361999999999998</v>
      </c>
      <c r="F79" s="252">
        <v>3254.16</v>
      </c>
      <c r="G79" s="253">
        <v>7113.5459999999994</v>
      </c>
      <c r="H79" s="254" t="s">
        <v>448</v>
      </c>
      <c r="I79" s="242">
        <v>392000</v>
      </c>
      <c r="J79" s="255">
        <v>392000</v>
      </c>
      <c r="K79" s="255"/>
      <c r="L79" s="255">
        <v>0</v>
      </c>
      <c r="M79" s="255">
        <v>0</v>
      </c>
      <c r="N79" s="256">
        <v>392000</v>
      </c>
      <c r="O79" s="223" t="s">
        <v>86</v>
      </c>
      <c r="Q79" s="244">
        <v>392000</v>
      </c>
      <c r="R79" s="244">
        <v>0</v>
      </c>
      <c r="S79" s="244">
        <v>0</v>
      </c>
      <c r="T79" s="245">
        <v>0</v>
      </c>
      <c r="U79" s="246">
        <v>10</v>
      </c>
      <c r="V79" s="246">
        <v>8</v>
      </c>
      <c r="W79" s="246">
        <v>10</v>
      </c>
      <c r="X79" s="246" t="s">
        <v>448</v>
      </c>
    </row>
    <row r="80" spans="1:24" ht="20.25" customHeight="1">
      <c r="A80" s="247" t="s">
        <v>152</v>
      </c>
      <c r="B80" s="248" t="s">
        <v>251</v>
      </c>
      <c r="C80" s="249" t="s">
        <v>439</v>
      </c>
      <c r="D80" s="250" t="s">
        <v>440</v>
      </c>
      <c r="E80" s="251">
        <v>7.1210000000000004</v>
      </c>
      <c r="F80" s="252">
        <v>1084.72</v>
      </c>
      <c r="G80" s="253">
        <v>2371.2930000000001</v>
      </c>
      <c r="H80" s="254" t="s">
        <v>446</v>
      </c>
      <c r="I80" s="242">
        <v>332000</v>
      </c>
      <c r="J80" s="255">
        <v>332000</v>
      </c>
      <c r="K80" s="255"/>
      <c r="L80" s="255">
        <v>0</v>
      </c>
      <c r="M80" s="255">
        <v>0</v>
      </c>
      <c r="N80" s="256">
        <v>332000</v>
      </c>
      <c r="O80" s="223" t="s">
        <v>86</v>
      </c>
      <c r="Q80" s="244">
        <v>332000</v>
      </c>
      <c r="R80" s="244">
        <v>0</v>
      </c>
      <c r="S80" s="244">
        <v>0</v>
      </c>
      <c r="T80" s="245">
        <v>0</v>
      </c>
      <c r="U80" s="246">
        <v>5</v>
      </c>
      <c r="V80" s="246">
        <v>2.5</v>
      </c>
      <c r="W80" s="246">
        <v>5</v>
      </c>
      <c r="X80" s="246" t="s">
        <v>446</v>
      </c>
    </row>
    <row r="81" spans="1:24" ht="20.25" customHeight="1">
      <c r="A81" s="247" t="s">
        <v>152</v>
      </c>
      <c r="B81" s="248" t="s">
        <v>252</v>
      </c>
      <c r="C81" s="249" t="s">
        <v>439</v>
      </c>
      <c r="D81" s="250" t="s">
        <v>440</v>
      </c>
      <c r="E81" s="251">
        <v>1.8129999999999999</v>
      </c>
      <c r="F81" s="252">
        <v>324.38</v>
      </c>
      <c r="G81" s="253">
        <v>603.72899999999993</v>
      </c>
      <c r="H81" s="254" t="s">
        <v>442</v>
      </c>
      <c r="I81" s="242">
        <v>232000</v>
      </c>
      <c r="J81" s="255">
        <v>232000</v>
      </c>
      <c r="K81" s="255"/>
      <c r="L81" s="255">
        <v>0</v>
      </c>
      <c r="M81" s="255">
        <v>0</v>
      </c>
      <c r="N81" s="256">
        <v>232000</v>
      </c>
      <c r="O81" s="223" t="s">
        <v>86</v>
      </c>
      <c r="Q81" s="244">
        <v>232000</v>
      </c>
      <c r="R81" s="244">
        <v>0</v>
      </c>
      <c r="S81" s="244">
        <v>0</v>
      </c>
      <c r="T81" s="245">
        <v>0</v>
      </c>
      <c r="U81" s="246">
        <v>1</v>
      </c>
      <c r="V81" s="246">
        <v>1</v>
      </c>
      <c r="W81" s="246">
        <v>1</v>
      </c>
      <c r="X81" s="246" t="s">
        <v>442</v>
      </c>
    </row>
    <row r="82" spans="1:24" ht="20.25" customHeight="1">
      <c r="A82" s="247" t="s">
        <v>152</v>
      </c>
      <c r="B82" s="248" t="s">
        <v>253</v>
      </c>
      <c r="C82" s="249" t="s">
        <v>439</v>
      </c>
      <c r="D82" s="250" t="s">
        <v>440</v>
      </c>
      <c r="E82" s="251">
        <v>2.718</v>
      </c>
      <c r="F82" s="252">
        <v>486.57</v>
      </c>
      <c r="G82" s="253">
        <v>905.09399999999994</v>
      </c>
      <c r="H82" s="254" t="s">
        <v>442</v>
      </c>
      <c r="I82" s="242">
        <v>232000</v>
      </c>
      <c r="J82" s="255">
        <v>232000</v>
      </c>
      <c r="K82" s="255"/>
      <c r="L82" s="255">
        <v>0</v>
      </c>
      <c r="M82" s="255">
        <v>0</v>
      </c>
      <c r="N82" s="256">
        <v>232000</v>
      </c>
      <c r="O82" s="223" t="s">
        <v>86</v>
      </c>
      <c r="Q82" s="244">
        <v>232000</v>
      </c>
      <c r="R82" s="244">
        <v>0</v>
      </c>
      <c r="S82" s="244">
        <v>0</v>
      </c>
      <c r="T82" s="245">
        <v>0</v>
      </c>
      <c r="U82" s="246">
        <v>1</v>
      </c>
      <c r="V82" s="246">
        <v>1</v>
      </c>
      <c r="W82" s="246">
        <v>1</v>
      </c>
      <c r="X82" s="246" t="s">
        <v>442</v>
      </c>
    </row>
    <row r="83" spans="1:24" ht="20.25" customHeight="1">
      <c r="A83" s="247" t="s">
        <v>152</v>
      </c>
      <c r="B83" s="248" t="s">
        <v>255</v>
      </c>
      <c r="C83" s="249" t="s">
        <v>439</v>
      </c>
      <c r="D83" s="250" t="s">
        <v>440</v>
      </c>
      <c r="E83" s="251">
        <v>54.834000000000003</v>
      </c>
      <c r="F83" s="252">
        <v>7091.1</v>
      </c>
      <c r="G83" s="253">
        <v>18259.722000000002</v>
      </c>
      <c r="H83" s="254" t="s">
        <v>451</v>
      </c>
      <c r="I83" s="242">
        <v>784000</v>
      </c>
      <c r="J83" s="255">
        <v>784000</v>
      </c>
      <c r="K83" s="255"/>
      <c r="L83" s="255">
        <v>0</v>
      </c>
      <c r="M83" s="255">
        <v>0</v>
      </c>
      <c r="N83" s="256">
        <v>784000</v>
      </c>
      <c r="O83" s="223" t="s">
        <v>86</v>
      </c>
      <c r="Q83" s="244">
        <v>0</v>
      </c>
      <c r="R83" s="244">
        <v>784000</v>
      </c>
      <c r="S83" s="244">
        <v>0</v>
      </c>
      <c r="T83" s="245">
        <v>0</v>
      </c>
      <c r="U83" s="246">
        <v>20</v>
      </c>
      <c r="V83" s="246">
        <v>18</v>
      </c>
      <c r="W83" s="246">
        <v>20</v>
      </c>
      <c r="X83" s="246" t="s">
        <v>451</v>
      </c>
    </row>
    <row r="84" spans="1:24" ht="20.25" customHeight="1">
      <c r="A84" s="247" t="s">
        <v>152</v>
      </c>
      <c r="B84" s="248" t="s">
        <v>256</v>
      </c>
      <c r="C84" s="249" t="s">
        <v>439</v>
      </c>
      <c r="D84" s="250" t="s">
        <v>440</v>
      </c>
      <c r="E84" s="251">
        <v>0.627</v>
      </c>
      <c r="F84" s="252">
        <v>46.5</v>
      </c>
      <c r="G84" s="253">
        <v>208.791</v>
      </c>
      <c r="H84" s="254" t="s">
        <v>442</v>
      </c>
      <c r="I84" s="242">
        <v>232000</v>
      </c>
      <c r="J84" s="255">
        <v>232000</v>
      </c>
      <c r="K84" s="255"/>
      <c r="L84" s="255">
        <v>0</v>
      </c>
      <c r="M84" s="255">
        <v>0</v>
      </c>
      <c r="N84" s="256">
        <v>232000</v>
      </c>
      <c r="O84" s="223" t="s">
        <v>86</v>
      </c>
      <c r="Q84" s="244">
        <v>232000</v>
      </c>
      <c r="R84" s="244">
        <v>0</v>
      </c>
      <c r="S84" s="244">
        <v>0</v>
      </c>
      <c r="T84" s="245">
        <v>0</v>
      </c>
      <c r="U84" s="246">
        <v>1</v>
      </c>
      <c r="V84" s="246">
        <v>1</v>
      </c>
      <c r="W84" s="246">
        <v>1</v>
      </c>
      <c r="X84" s="246" t="s">
        <v>442</v>
      </c>
    </row>
    <row r="85" spans="1:24" ht="20.25" customHeight="1">
      <c r="A85" s="247" t="s">
        <v>89</v>
      </c>
      <c r="B85" s="248" t="s">
        <v>257</v>
      </c>
      <c r="C85" s="249" t="s">
        <v>458</v>
      </c>
      <c r="D85" s="250" t="s">
        <v>440</v>
      </c>
      <c r="E85" s="251">
        <v>0.45600000000000002</v>
      </c>
      <c r="F85" s="252">
        <v>85</v>
      </c>
      <c r="G85" s="253">
        <v>151.84800000000001</v>
      </c>
      <c r="H85" s="254" t="s">
        <v>442</v>
      </c>
      <c r="I85" s="242">
        <v>265000</v>
      </c>
      <c r="J85" s="255">
        <v>265000</v>
      </c>
      <c r="K85" s="255"/>
      <c r="L85" s="255">
        <v>0</v>
      </c>
      <c r="M85" s="255">
        <v>0</v>
      </c>
      <c r="N85" s="256">
        <v>265000</v>
      </c>
      <c r="O85" s="223" t="s">
        <v>86</v>
      </c>
      <c r="Q85" s="244">
        <v>265000</v>
      </c>
      <c r="R85" s="244">
        <v>0</v>
      </c>
      <c r="S85" s="244">
        <v>0</v>
      </c>
      <c r="T85" s="245">
        <v>0</v>
      </c>
      <c r="U85" s="246">
        <v>1</v>
      </c>
      <c r="V85" s="246">
        <v>1</v>
      </c>
      <c r="W85" s="246">
        <v>1</v>
      </c>
      <c r="X85" s="246" t="s">
        <v>442</v>
      </c>
    </row>
    <row r="86" spans="1:24" ht="20.25" customHeight="1">
      <c r="A86" s="247" t="s">
        <v>152</v>
      </c>
      <c r="B86" s="248" t="s">
        <v>259</v>
      </c>
      <c r="C86" s="249" t="s">
        <v>439</v>
      </c>
      <c r="D86" s="250" t="s">
        <v>440</v>
      </c>
      <c r="E86" s="251">
        <v>24.812000000000001</v>
      </c>
      <c r="F86" s="252">
        <v>3089.82</v>
      </c>
      <c r="G86" s="253">
        <v>8262.3960000000006</v>
      </c>
      <c r="H86" s="254" t="s">
        <v>448</v>
      </c>
      <c r="I86" s="242">
        <v>392000</v>
      </c>
      <c r="J86" s="255">
        <v>392000</v>
      </c>
      <c r="K86" s="255"/>
      <c r="L86" s="255">
        <v>0</v>
      </c>
      <c r="M86" s="255">
        <v>0</v>
      </c>
      <c r="N86" s="256">
        <v>392000</v>
      </c>
      <c r="O86" s="223" t="s">
        <v>86</v>
      </c>
      <c r="Q86" s="244">
        <v>392000</v>
      </c>
      <c r="R86" s="244">
        <v>0</v>
      </c>
      <c r="S86" s="244">
        <v>0</v>
      </c>
      <c r="T86" s="245">
        <v>0</v>
      </c>
      <c r="U86" s="246">
        <v>10</v>
      </c>
      <c r="V86" s="246">
        <v>10</v>
      </c>
      <c r="W86" s="246">
        <v>10</v>
      </c>
      <c r="X86" s="246" t="s">
        <v>448</v>
      </c>
    </row>
    <row r="87" spans="1:24" ht="20.25" customHeight="1">
      <c r="A87" s="247" t="s">
        <v>152</v>
      </c>
      <c r="B87" s="248" t="s">
        <v>260</v>
      </c>
      <c r="C87" s="249" t="s">
        <v>439</v>
      </c>
      <c r="D87" s="250" t="s">
        <v>440</v>
      </c>
      <c r="E87" s="251">
        <v>14.026999999999999</v>
      </c>
      <c r="F87" s="252">
        <v>12019.8</v>
      </c>
      <c r="G87" s="253">
        <v>12019.8</v>
      </c>
      <c r="H87" s="254" t="s">
        <v>453</v>
      </c>
      <c r="I87" s="242">
        <v>624000</v>
      </c>
      <c r="J87" s="255">
        <v>624000</v>
      </c>
      <c r="K87" s="255"/>
      <c r="L87" s="255">
        <v>0</v>
      </c>
      <c r="M87" s="255">
        <v>0</v>
      </c>
      <c r="N87" s="256">
        <v>624000</v>
      </c>
      <c r="O87" s="223" t="s">
        <v>86</v>
      </c>
      <c r="Q87" s="244">
        <v>0</v>
      </c>
      <c r="R87" s="244">
        <v>0</v>
      </c>
      <c r="S87" s="244">
        <v>0</v>
      </c>
      <c r="T87" s="245">
        <v>624000</v>
      </c>
      <c r="U87" s="246">
        <v>5</v>
      </c>
      <c r="V87" s="246">
        <v>11</v>
      </c>
      <c r="W87" s="246">
        <v>11</v>
      </c>
      <c r="X87" s="246" t="s">
        <v>453</v>
      </c>
    </row>
    <row r="88" spans="1:24" ht="20.25" customHeight="1">
      <c r="A88" s="247" t="s">
        <v>152</v>
      </c>
      <c r="B88" s="248" t="s">
        <v>261</v>
      </c>
      <c r="C88" s="249" t="s">
        <v>439</v>
      </c>
      <c r="D88" s="250" t="s">
        <v>440</v>
      </c>
      <c r="E88" s="251">
        <v>21.824000000000002</v>
      </c>
      <c r="F88" s="252">
        <v>7810</v>
      </c>
      <c r="G88" s="253">
        <v>7810</v>
      </c>
      <c r="H88" s="254" t="s">
        <v>448</v>
      </c>
      <c r="I88" s="242">
        <v>392000</v>
      </c>
      <c r="J88" s="255">
        <v>392000</v>
      </c>
      <c r="K88" s="255"/>
      <c r="L88" s="255">
        <v>0</v>
      </c>
      <c r="M88" s="255">
        <v>0</v>
      </c>
      <c r="N88" s="256">
        <v>392000</v>
      </c>
      <c r="O88" s="223" t="s">
        <v>86</v>
      </c>
      <c r="Q88" s="244">
        <v>392000</v>
      </c>
      <c r="R88" s="244">
        <v>0</v>
      </c>
      <c r="S88" s="244">
        <v>0</v>
      </c>
      <c r="T88" s="245">
        <v>0</v>
      </c>
      <c r="U88" s="246">
        <v>10</v>
      </c>
      <c r="V88" s="246">
        <v>8</v>
      </c>
      <c r="W88" s="246">
        <v>10</v>
      </c>
      <c r="X88" s="246" t="s">
        <v>448</v>
      </c>
    </row>
    <row r="89" spans="1:24" s="263" customFormat="1" ht="20.25" customHeight="1">
      <c r="A89" s="247" t="s">
        <v>152</v>
      </c>
      <c r="B89" s="248" t="s">
        <v>263</v>
      </c>
      <c r="C89" s="249" t="s">
        <v>439</v>
      </c>
      <c r="D89" s="250" t="s">
        <v>440</v>
      </c>
      <c r="E89" s="251">
        <v>20.010000000000002</v>
      </c>
      <c r="F89" s="252">
        <v>8250</v>
      </c>
      <c r="G89" s="253">
        <v>8250</v>
      </c>
      <c r="H89" s="254" t="s">
        <v>448</v>
      </c>
      <c r="I89" s="240">
        <v>392000</v>
      </c>
      <c r="J89" s="253">
        <v>392000</v>
      </c>
      <c r="K89" s="253"/>
      <c r="L89" s="253">
        <v>0</v>
      </c>
      <c r="M89" s="253">
        <v>0</v>
      </c>
      <c r="N89" s="262">
        <v>392000</v>
      </c>
      <c r="O89" s="263" t="s">
        <v>86</v>
      </c>
      <c r="Q89" s="264">
        <v>392000</v>
      </c>
      <c r="R89" s="264">
        <v>0</v>
      </c>
      <c r="S89" s="264">
        <v>0</v>
      </c>
      <c r="T89" s="245">
        <v>0</v>
      </c>
      <c r="U89" s="265">
        <v>8</v>
      </c>
      <c r="V89" s="265">
        <v>10</v>
      </c>
      <c r="W89" s="265">
        <v>10</v>
      </c>
      <c r="X89" s="265" t="s">
        <v>448</v>
      </c>
    </row>
    <row r="90" spans="1:24" ht="20.25" customHeight="1">
      <c r="A90" s="247" t="s">
        <v>152</v>
      </c>
      <c r="B90" s="248" t="s">
        <v>264</v>
      </c>
      <c r="C90" s="249" t="s">
        <v>439</v>
      </c>
      <c r="D90" s="250" t="s">
        <v>440</v>
      </c>
      <c r="E90" s="251">
        <v>7.9359999999999999</v>
      </c>
      <c r="F90" s="252">
        <v>2840</v>
      </c>
      <c r="G90" s="253">
        <v>2840</v>
      </c>
      <c r="H90" s="254" t="s">
        <v>446</v>
      </c>
      <c r="I90" s="242">
        <v>332000</v>
      </c>
      <c r="J90" s="255">
        <v>332000</v>
      </c>
      <c r="K90" s="255"/>
      <c r="L90" s="255">
        <v>0</v>
      </c>
      <c r="M90" s="255">
        <v>0</v>
      </c>
      <c r="N90" s="256">
        <v>332000</v>
      </c>
      <c r="O90" s="223" t="s">
        <v>86</v>
      </c>
      <c r="Q90" s="244">
        <v>332000</v>
      </c>
      <c r="R90" s="244">
        <v>0</v>
      </c>
      <c r="S90" s="244">
        <v>0</v>
      </c>
      <c r="T90" s="245">
        <v>0</v>
      </c>
      <c r="U90" s="246">
        <v>5</v>
      </c>
      <c r="V90" s="246">
        <v>5</v>
      </c>
      <c r="W90" s="246">
        <v>5</v>
      </c>
      <c r="X90" s="246" t="s">
        <v>446</v>
      </c>
    </row>
    <row r="91" spans="1:24" ht="20.25" customHeight="1">
      <c r="A91" s="247" t="s">
        <v>152</v>
      </c>
      <c r="B91" s="257" t="s">
        <v>265</v>
      </c>
      <c r="C91" s="249" t="s">
        <v>439</v>
      </c>
      <c r="D91" s="250" t="s">
        <v>440</v>
      </c>
      <c r="E91" s="251">
        <v>19.84</v>
      </c>
      <c r="F91" s="252">
        <v>7100</v>
      </c>
      <c r="G91" s="253">
        <v>7100</v>
      </c>
      <c r="H91" s="254" t="s">
        <v>450</v>
      </c>
      <c r="I91" s="242">
        <v>376000</v>
      </c>
      <c r="J91" s="255">
        <v>376000</v>
      </c>
      <c r="K91" s="255"/>
      <c r="L91" s="255">
        <v>0</v>
      </c>
      <c r="M91" s="255">
        <v>0</v>
      </c>
      <c r="N91" s="256">
        <v>376000</v>
      </c>
      <c r="O91" s="223" t="s">
        <v>86</v>
      </c>
      <c r="Q91" s="244">
        <v>376000</v>
      </c>
      <c r="R91" s="244">
        <v>0</v>
      </c>
      <c r="S91" s="244">
        <v>0</v>
      </c>
      <c r="T91" s="245">
        <v>0</v>
      </c>
      <c r="U91" s="246">
        <v>8</v>
      </c>
      <c r="V91" s="246">
        <v>8</v>
      </c>
      <c r="W91" s="246">
        <v>8</v>
      </c>
      <c r="X91" s="246" t="s">
        <v>450</v>
      </c>
    </row>
    <row r="92" spans="1:24" ht="20.25" customHeight="1">
      <c r="A92" s="247" t="s">
        <v>152</v>
      </c>
      <c r="B92" s="248" t="s">
        <v>266</v>
      </c>
      <c r="C92" s="249" t="s">
        <v>439</v>
      </c>
      <c r="D92" s="250" t="s">
        <v>440</v>
      </c>
      <c r="E92" s="251">
        <v>13.35</v>
      </c>
      <c r="F92" s="252">
        <v>5480</v>
      </c>
      <c r="G92" s="253">
        <v>5480</v>
      </c>
      <c r="H92" s="254" t="s">
        <v>450</v>
      </c>
      <c r="I92" s="242">
        <v>376000</v>
      </c>
      <c r="J92" s="255">
        <v>376000</v>
      </c>
      <c r="K92" s="255"/>
      <c r="L92" s="255">
        <v>0</v>
      </c>
      <c r="M92" s="255">
        <v>0</v>
      </c>
      <c r="N92" s="256">
        <v>376000</v>
      </c>
      <c r="O92" s="223" t="s">
        <v>86</v>
      </c>
      <c r="Q92" s="244">
        <v>376000</v>
      </c>
      <c r="R92" s="244">
        <v>0</v>
      </c>
      <c r="S92" s="244">
        <v>0</v>
      </c>
      <c r="T92" s="245">
        <v>0</v>
      </c>
      <c r="U92" s="246">
        <v>5</v>
      </c>
      <c r="V92" s="246">
        <v>8</v>
      </c>
      <c r="W92" s="246">
        <v>8</v>
      </c>
      <c r="X92" s="246" t="s">
        <v>450</v>
      </c>
    </row>
    <row r="93" spans="1:24" ht="20.25" customHeight="1">
      <c r="A93" s="247" t="s">
        <v>152</v>
      </c>
      <c r="B93" s="248" t="s">
        <v>268</v>
      </c>
      <c r="C93" s="249" t="s">
        <v>439</v>
      </c>
      <c r="D93" s="250" t="s">
        <v>440</v>
      </c>
      <c r="E93" s="251">
        <v>66.432000000000002</v>
      </c>
      <c r="F93" s="252">
        <v>11352</v>
      </c>
      <c r="G93" s="253">
        <v>22121.856</v>
      </c>
      <c r="H93" s="254" t="s">
        <v>454</v>
      </c>
      <c r="I93" s="242">
        <v>1016000</v>
      </c>
      <c r="J93" s="255">
        <v>1016000</v>
      </c>
      <c r="K93" s="255"/>
      <c r="L93" s="255">
        <v>0</v>
      </c>
      <c r="M93" s="255">
        <v>0</v>
      </c>
      <c r="N93" s="256">
        <v>1016000</v>
      </c>
      <c r="O93" s="223" t="s">
        <v>86</v>
      </c>
      <c r="Q93" s="244">
        <v>0</v>
      </c>
      <c r="R93" s="244">
        <v>0</v>
      </c>
      <c r="S93" s="244">
        <v>0</v>
      </c>
      <c r="T93" s="245">
        <v>1016000</v>
      </c>
      <c r="U93" s="246">
        <v>21</v>
      </c>
      <c r="V93" s="246">
        <v>20</v>
      </c>
      <c r="W93" s="246">
        <v>21</v>
      </c>
      <c r="X93" s="246" t="s">
        <v>454</v>
      </c>
    </row>
    <row r="94" spans="1:24" ht="20.25" customHeight="1">
      <c r="A94" s="247" t="s">
        <v>152</v>
      </c>
      <c r="B94" s="248" t="s">
        <v>270</v>
      </c>
      <c r="C94" s="249" t="s">
        <v>439</v>
      </c>
      <c r="D94" s="250" t="s">
        <v>440</v>
      </c>
      <c r="E94" s="251">
        <v>23.527999999999999</v>
      </c>
      <c r="F94" s="252">
        <v>4020.5</v>
      </c>
      <c r="G94" s="253">
        <v>7834.8239999999996</v>
      </c>
      <c r="H94" s="254" t="s">
        <v>448</v>
      </c>
      <c r="I94" s="242">
        <v>392000</v>
      </c>
      <c r="J94" s="255">
        <v>392000</v>
      </c>
      <c r="K94" s="255"/>
      <c r="L94" s="255">
        <v>0</v>
      </c>
      <c r="M94" s="255">
        <v>0</v>
      </c>
      <c r="N94" s="256">
        <v>392000</v>
      </c>
      <c r="O94" s="223" t="s">
        <v>86</v>
      </c>
      <c r="Q94" s="244">
        <v>392000</v>
      </c>
      <c r="R94" s="244">
        <v>0</v>
      </c>
      <c r="S94" s="244">
        <v>0</v>
      </c>
      <c r="T94" s="245">
        <v>0</v>
      </c>
      <c r="U94" s="246">
        <v>10</v>
      </c>
      <c r="V94" s="246">
        <v>8</v>
      </c>
      <c r="W94" s="246">
        <v>10</v>
      </c>
      <c r="X94" s="246" t="s">
        <v>448</v>
      </c>
    </row>
    <row r="95" spans="1:24" ht="20.25" customHeight="1">
      <c r="A95" s="247" t="s">
        <v>152</v>
      </c>
      <c r="B95" s="248" t="s">
        <v>271</v>
      </c>
      <c r="C95" s="249" t="s">
        <v>439</v>
      </c>
      <c r="D95" s="250" t="s">
        <v>440</v>
      </c>
      <c r="E95" s="251">
        <v>30.206</v>
      </c>
      <c r="F95" s="252">
        <v>5096</v>
      </c>
      <c r="G95" s="253">
        <v>10058.598</v>
      </c>
      <c r="H95" s="254" t="s">
        <v>448</v>
      </c>
      <c r="I95" s="242">
        <v>392000</v>
      </c>
      <c r="J95" s="255">
        <v>392000</v>
      </c>
      <c r="K95" s="255"/>
      <c r="L95" s="255">
        <v>0</v>
      </c>
      <c r="M95" s="255">
        <v>0</v>
      </c>
      <c r="N95" s="256">
        <v>392000</v>
      </c>
      <c r="O95" s="223" t="s">
        <v>86</v>
      </c>
      <c r="Q95" s="244">
        <v>392000</v>
      </c>
      <c r="R95" s="244">
        <v>0</v>
      </c>
      <c r="S95" s="244">
        <v>0</v>
      </c>
      <c r="T95" s="245">
        <v>0</v>
      </c>
      <c r="U95" s="246">
        <v>10</v>
      </c>
      <c r="V95" s="246">
        <v>10</v>
      </c>
      <c r="W95" s="246">
        <v>10</v>
      </c>
      <c r="X95" s="246" t="s">
        <v>448</v>
      </c>
    </row>
    <row r="96" spans="1:24" ht="20.25" customHeight="1">
      <c r="A96" s="247" t="s">
        <v>152</v>
      </c>
      <c r="B96" s="248" t="s">
        <v>272</v>
      </c>
      <c r="C96" s="249" t="s">
        <v>439</v>
      </c>
      <c r="D96" s="250" t="s">
        <v>440</v>
      </c>
      <c r="E96" s="251">
        <v>8.6300000000000008</v>
      </c>
      <c r="F96" s="252">
        <v>4832</v>
      </c>
      <c r="G96" s="253">
        <v>4832</v>
      </c>
      <c r="H96" s="254" t="s">
        <v>446</v>
      </c>
      <c r="I96" s="242">
        <v>332000</v>
      </c>
      <c r="J96" s="255">
        <v>332000</v>
      </c>
      <c r="K96" s="255"/>
      <c r="L96" s="255">
        <v>0</v>
      </c>
      <c r="M96" s="255">
        <v>0</v>
      </c>
      <c r="N96" s="256">
        <v>332000</v>
      </c>
      <c r="O96" s="223" t="s">
        <v>86</v>
      </c>
      <c r="Q96" s="244">
        <v>332000</v>
      </c>
      <c r="R96" s="244">
        <v>0</v>
      </c>
      <c r="S96" s="244">
        <v>0</v>
      </c>
      <c r="T96" s="245">
        <v>0</v>
      </c>
      <c r="U96" s="246">
        <v>5</v>
      </c>
      <c r="V96" s="246">
        <v>5</v>
      </c>
      <c r="W96" s="246">
        <v>5</v>
      </c>
      <c r="X96" s="246" t="s">
        <v>446</v>
      </c>
    </row>
    <row r="97" spans="1:24" ht="20.25" customHeight="1">
      <c r="A97" s="247" t="s">
        <v>152</v>
      </c>
      <c r="B97" s="248" t="s">
        <v>274</v>
      </c>
      <c r="C97" s="249" t="s">
        <v>439</v>
      </c>
      <c r="D97" s="250" t="s">
        <v>440</v>
      </c>
      <c r="E97" s="251">
        <v>30.206</v>
      </c>
      <c r="F97" s="252">
        <v>5096</v>
      </c>
      <c r="G97" s="253">
        <v>10058.598</v>
      </c>
      <c r="H97" s="254" t="s">
        <v>448</v>
      </c>
      <c r="I97" s="242">
        <v>392000</v>
      </c>
      <c r="J97" s="255">
        <v>392000</v>
      </c>
      <c r="K97" s="255"/>
      <c r="L97" s="255">
        <v>0</v>
      </c>
      <c r="M97" s="255">
        <v>0</v>
      </c>
      <c r="N97" s="256">
        <v>392000</v>
      </c>
      <c r="O97" s="223" t="s">
        <v>86</v>
      </c>
      <c r="Q97" s="244">
        <v>392000</v>
      </c>
      <c r="R97" s="244">
        <v>0</v>
      </c>
      <c r="S97" s="244">
        <v>0</v>
      </c>
      <c r="T97" s="245">
        <v>0</v>
      </c>
      <c r="U97" s="246">
        <v>10</v>
      </c>
      <c r="V97" s="246">
        <v>10</v>
      </c>
      <c r="W97" s="246">
        <v>10</v>
      </c>
      <c r="X97" s="246" t="s">
        <v>448</v>
      </c>
    </row>
    <row r="98" spans="1:24" ht="20.25" customHeight="1">
      <c r="A98" s="247" t="s">
        <v>152</v>
      </c>
      <c r="B98" s="248" t="s">
        <v>275</v>
      </c>
      <c r="C98" s="249" t="s">
        <v>439</v>
      </c>
      <c r="D98" s="250" t="s">
        <v>440</v>
      </c>
      <c r="E98" s="251">
        <v>17.263999999999999</v>
      </c>
      <c r="F98" s="252">
        <v>5136</v>
      </c>
      <c r="G98" s="253">
        <v>5748.9119999999994</v>
      </c>
      <c r="H98" s="254" t="s">
        <v>450</v>
      </c>
      <c r="I98" s="242">
        <v>376000</v>
      </c>
      <c r="J98" s="255">
        <v>376000</v>
      </c>
      <c r="K98" s="255"/>
      <c r="L98" s="255">
        <v>0</v>
      </c>
      <c r="M98" s="255">
        <v>0</v>
      </c>
      <c r="N98" s="256">
        <v>376000</v>
      </c>
      <c r="O98" s="223" t="s">
        <v>86</v>
      </c>
      <c r="Q98" s="244">
        <v>376000</v>
      </c>
      <c r="R98" s="244">
        <v>0</v>
      </c>
      <c r="S98" s="244">
        <v>0</v>
      </c>
      <c r="T98" s="245">
        <v>0</v>
      </c>
      <c r="U98" s="246">
        <v>8</v>
      </c>
      <c r="V98" s="246">
        <v>8</v>
      </c>
      <c r="W98" s="246">
        <v>8</v>
      </c>
      <c r="X98" s="246" t="s">
        <v>450</v>
      </c>
    </row>
    <row r="99" spans="1:24" ht="20.25" customHeight="1">
      <c r="A99" s="247" t="s">
        <v>152</v>
      </c>
      <c r="B99" s="248" t="s">
        <v>276</v>
      </c>
      <c r="C99" s="249" t="s">
        <v>439</v>
      </c>
      <c r="D99" s="250" t="s">
        <v>440</v>
      </c>
      <c r="E99" s="251">
        <v>17.263999999999999</v>
      </c>
      <c r="F99" s="252">
        <v>5136</v>
      </c>
      <c r="G99" s="253">
        <v>5748.9119999999994</v>
      </c>
      <c r="H99" s="254" t="s">
        <v>450</v>
      </c>
      <c r="I99" s="242">
        <v>376000</v>
      </c>
      <c r="J99" s="255">
        <v>376000</v>
      </c>
      <c r="K99" s="255"/>
      <c r="L99" s="255">
        <v>0</v>
      </c>
      <c r="M99" s="255">
        <v>0</v>
      </c>
      <c r="N99" s="256">
        <v>376000</v>
      </c>
      <c r="O99" s="223" t="s">
        <v>86</v>
      </c>
      <c r="Q99" s="244">
        <v>376000</v>
      </c>
      <c r="R99" s="244">
        <v>0</v>
      </c>
      <c r="S99" s="244">
        <v>0</v>
      </c>
      <c r="T99" s="245">
        <v>0</v>
      </c>
      <c r="U99" s="246">
        <v>8</v>
      </c>
      <c r="V99" s="246">
        <v>8</v>
      </c>
      <c r="W99" s="246">
        <v>8</v>
      </c>
      <c r="X99" s="246" t="s">
        <v>450</v>
      </c>
    </row>
    <row r="100" spans="1:24" ht="20.25" customHeight="1">
      <c r="A100" s="247" t="s">
        <v>95</v>
      </c>
      <c r="B100" s="248" t="s">
        <v>278</v>
      </c>
      <c r="C100" s="249" t="s">
        <v>455</v>
      </c>
      <c r="D100" s="250" t="s">
        <v>440</v>
      </c>
      <c r="E100" s="251">
        <v>54.673999999999999</v>
      </c>
      <c r="F100" s="252">
        <v>3815.36</v>
      </c>
      <c r="G100" s="253">
        <v>18206.441999999999</v>
      </c>
      <c r="H100" s="254" t="s">
        <v>451</v>
      </c>
      <c r="I100" s="242">
        <v>1504000</v>
      </c>
      <c r="J100" s="255">
        <v>1504000</v>
      </c>
      <c r="K100" s="255"/>
      <c r="L100" s="255">
        <v>0</v>
      </c>
      <c r="M100" s="255">
        <v>0</v>
      </c>
      <c r="N100" s="256">
        <v>1504000</v>
      </c>
      <c r="O100" s="223" t="s">
        <v>86</v>
      </c>
      <c r="Q100" s="244">
        <v>0</v>
      </c>
      <c r="R100" s="244">
        <v>1504000</v>
      </c>
      <c r="S100" s="244">
        <v>0</v>
      </c>
      <c r="T100" s="245">
        <v>0</v>
      </c>
      <c r="U100" s="246">
        <v>20</v>
      </c>
      <c r="V100" s="246">
        <v>18</v>
      </c>
      <c r="W100" s="246">
        <v>20</v>
      </c>
      <c r="X100" s="246" t="s">
        <v>451</v>
      </c>
    </row>
    <row r="101" spans="1:24" ht="20.25" customHeight="1">
      <c r="A101" s="247" t="s">
        <v>95</v>
      </c>
      <c r="B101" s="248" t="s">
        <v>280</v>
      </c>
      <c r="C101" s="249" t="s">
        <v>455</v>
      </c>
      <c r="D101" s="250" t="s">
        <v>440</v>
      </c>
      <c r="E101" s="251">
        <v>34.170999999999999</v>
      </c>
      <c r="F101" s="252">
        <v>2384.6</v>
      </c>
      <c r="G101" s="253">
        <v>11378.942999999999</v>
      </c>
      <c r="H101" s="254" t="s">
        <v>453</v>
      </c>
      <c r="I101" s="242">
        <v>1164000</v>
      </c>
      <c r="J101" s="255">
        <v>1164000</v>
      </c>
      <c r="K101" s="255"/>
      <c r="L101" s="255">
        <v>0</v>
      </c>
      <c r="M101" s="255">
        <v>0</v>
      </c>
      <c r="N101" s="256">
        <v>1164000</v>
      </c>
      <c r="O101" s="223" t="s">
        <v>86</v>
      </c>
      <c r="Q101" s="244">
        <v>0</v>
      </c>
      <c r="R101" s="244">
        <v>1164000</v>
      </c>
      <c r="S101" s="244">
        <v>0</v>
      </c>
      <c r="T101" s="245">
        <v>0</v>
      </c>
      <c r="U101" s="246">
        <v>11</v>
      </c>
      <c r="V101" s="246">
        <v>11</v>
      </c>
      <c r="W101" s="246">
        <v>11</v>
      </c>
      <c r="X101" s="246" t="s">
        <v>453</v>
      </c>
    </row>
    <row r="102" spans="1:24" ht="20.25" customHeight="1">
      <c r="A102" s="247" t="s">
        <v>97</v>
      </c>
      <c r="B102" s="248" t="s">
        <v>281</v>
      </c>
      <c r="C102" s="249" t="s">
        <v>456</v>
      </c>
      <c r="D102" s="250" t="s">
        <v>440</v>
      </c>
      <c r="E102" s="251">
        <v>25.8</v>
      </c>
      <c r="F102" s="252">
        <v>4738.5600000000004</v>
      </c>
      <c r="G102" s="253">
        <v>8591.4</v>
      </c>
      <c r="H102" s="254" t="s">
        <v>448</v>
      </c>
      <c r="I102" s="242">
        <v>549000</v>
      </c>
      <c r="J102" s="255">
        <v>549000</v>
      </c>
      <c r="K102" s="255"/>
      <c r="L102" s="255">
        <v>0</v>
      </c>
      <c r="M102" s="255">
        <v>0</v>
      </c>
      <c r="N102" s="256">
        <v>549000</v>
      </c>
      <c r="O102" s="223" t="s">
        <v>86</v>
      </c>
      <c r="Q102" s="244">
        <v>549000</v>
      </c>
      <c r="R102" s="244">
        <v>0</v>
      </c>
      <c r="S102" s="244">
        <v>0</v>
      </c>
      <c r="T102" s="245">
        <v>0</v>
      </c>
      <c r="U102" s="246">
        <v>10</v>
      </c>
      <c r="V102" s="246">
        <v>10</v>
      </c>
      <c r="W102" s="246">
        <v>10</v>
      </c>
      <c r="X102" s="246" t="s">
        <v>448</v>
      </c>
    </row>
    <row r="103" spans="1:24" ht="20.25" customHeight="1">
      <c r="A103" s="247" t="s">
        <v>85</v>
      </c>
      <c r="B103" s="248" t="s">
        <v>283</v>
      </c>
      <c r="C103" s="249" t="s">
        <v>455</v>
      </c>
      <c r="D103" s="250" t="s">
        <v>440</v>
      </c>
      <c r="E103" s="251">
        <v>12.349</v>
      </c>
      <c r="F103" s="252">
        <v>9240</v>
      </c>
      <c r="G103" s="253">
        <v>9240</v>
      </c>
      <c r="H103" s="254" t="s">
        <v>448</v>
      </c>
      <c r="I103" s="242">
        <v>752000</v>
      </c>
      <c r="J103" s="255">
        <v>752000</v>
      </c>
      <c r="K103" s="255"/>
      <c r="L103" s="255">
        <v>0</v>
      </c>
      <c r="M103" s="255">
        <v>0</v>
      </c>
      <c r="N103" s="256">
        <v>752000</v>
      </c>
      <c r="O103" s="223" t="s">
        <v>86</v>
      </c>
      <c r="Q103" s="244">
        <v>752000</v>
      </c>
      <c r="R103" s="244">
        <v>0</v>
      </c>
      <c r="S103" s="244">
        <v>0</v>
      </c>
      <c r="T103" s="245">
        <v>0</v>
      </c>
      <c r="U103" s="246">
        <v>5</v>
      </c>
      <c r="V103" s="246">
        <v>10</v>
      </c>
      <c r="W103" s="246">
        <v>10</v>
      </c>
      <c r="X103" s="246" t="s">
        <v>448</v>
      </c>
    </row>
    <row r="104" spans="1:24" ht="20.25" customHeight="1">
      <c r="A104" s="247" t="s">
        <v>95</v>
      </c>
      <c r="B104" s="248" t="s">
        <v>284</v>
      </c>
      <c r="C104" s="249" t="s">
        <v>455</v>
      </c>
      <c r="D104" s="250" t="s">
        <v>440</v>
      </c>
      <c r="E104" s="251">
        <v>45.505000000000003</v>
      </c>
      <c r="F104" s="252">
        <v>3998.8</v>
      </c>
      <c r="G104" s="253">
        <v>15153.165000000001</v>
      </c>
      <c r="H104" s="254" t="s">
        <v>452</v>
      </c>
      <c r="I104" s="242">
        <v>1384500</v>
      </c>
      <c r="J104" s="255">
        <v>1384500</v>
      </c>
      <c r="K104" s="255"/>
      <c r="L104" s="255">
        <v>0</v>
      </c>
      <c r="M104" s="255">
        <v>0</v>
      </c>
      <c r="N104" s="256">
        <v>1384500</v>
      </c>
      <c r="O104" s="223" t="s">
        <v>86</v>
      </c>
      <c r="Q104" s="244">
        <v>0</v>
      </c>
      <c r="R104" s="244">
        <v>1384500</v>
      </c>
      <c r="S104" s="244">
        <v>0</v>
      </c>
      <c r="T104" s="245">
        <v>0</v>
      </c>
      <c r="U104" s="246">
        <v>15</v>
      </c>
      <c r="V104" s="246">
        <v>15</v>
      </c>
      <c r="W104" s="246">
        <v>15</v>
      </c>
      <c r="X104" s="246" t="s">
        <v>452</v>
      </c>
    </row>
    <row r="105" spans="1:24" ht="20.25" customHeight="1">
      <c r="A105" s="247" t="s">
        <v>85</v>
      </c>
      <c r="B105" s="248" t="s">
        <v>286</v>
      </c>
      <c r="C105" s="249" t="s">
        <v>455</v>
      </c>
      <c r="D105" s="250" t="s">
        <v>440</v>
      </c>
      <c r="E105" s="251">
        <v>10.291</v>
      </c>
      <c r="F105" s="252">
        <v>7700</v>
      </c>
      <c r="G105" s="253">
        <v>7700</v>
      </c>
      <c r="H105" s="254" t="s">
        <v>450</v>
      </c>
      <c r="I105" s="242">
        <v>698500</v>
      </c>
      <c r="J105" s="255">
        <v>698500</v>
      </c>
      <c r="K105" s="255"/>
      <c r="L105" s="255">
        <v>0</v>
      </c>
      <c r="M105" s="255">
        <v>0</v>
      </c>
      <c r="N105" s="256">
        <v>698500</v>
      </c>
      <c r="O105" s="223" t="s">
        <v>86</v>
      </c>
      <c r="Q105" s="244">
        <v>698500</v>
      </c>
      <c r="R105" s="244">
        <v>0</v>
      </c>
      <c r="S105" s="244">
        <v>0</v>
      </c>
      <c r="T105" s="245">
        <v>0</v>
      </c>
      <c r="U105" s="246">
        <v>5</v>
      </c>
      <c r="V105" s="246">
        <v>8</v>
      </c>
      <c r="W105" s="246">
        <v>8</v>
      </c>
      <c r="X105" s="246" t="s">
        <v>450</v>
      </c>
    </row>
    <row r="106" spans="1:24" ht="20.25" customHeight="1">
      <c r="A106" s="247" t="s">
        <v>207</v>
      </c>
      <c r="B106" s="248" t="s">
        <v>287</v>
      </c>
      <c r="C106" s="249" t="s">
        <v>457</v>
      </c>
      <c r="D106" s="250" t="s">
        <v>440</v>
      </c>
      <c r="E106" s="251">
        <v>26.257000000000001</v>
      </c>
      <c r="F106" s="252">
        <v>3570</v>
      </c>
      <c r="G106" s="253">
        <v>8743.5810000000001</v>
      </c>
      <c r="H106" s="254" t="s">
        <v>448</v>
      </c>
      <c r="I106" s="242">
        <v>370000</v>
      </c>
      <c r="J106" s="255">
        <v>370000</v>
      </c>
      <c r="K106" s="255"/>
      <c r="L106" s="255">
        <v>0</v>
      </c>
      <c r="M106" s="255">
        <v>0</v>
      </c>
      <c r="N106" s="256">
        <v>370000</v>
      </c>
      <c r="O106" s="223" t="s">
        <v>86</v>
      </c>
      <c r="Q106" s="244">
        <v>0</v>
      </c>
      <c r="R106" s="244">
        <v>370000</v>
      </c>
      <c r="S106" s="244">
        <v>0</v>
      </c>
      <c r="T106" s="245">
        <v>0</v>
      </c>
      <c r="U106" s="246">
        <v>10</v>
      </c>
      <c r="V106" s="246">
        <v>10</v>
      </c>
      <c r="W106" s="246">
        <v>10</v>
      </c>
      <c r="X106" s="246" t="s">
        <v>448</v>
      </c>
    </row>
    <row r="107" spans="1:24" ht="20.25" customHeight="1">
      <c r="A107" s="247" t="s">
        <v>289</v>
      </c>
      <c r="B107" s="248" t="s">
        <v>288</v>
      </c>
      <c r="C107" s="249" t="s">
        <v>463</v>
      </c>
      <c r="D107" s="250" t="s">
        <v>440</v>
      </c>
      <c r="E107" s="251">
        <v>8.3460000000000001</v>
      </c>
      <c r="F107" s="252">
        <v>586.79999999999995</v>
      </c>
      <c r="G107" s="253">
        <v>2779.2179999999998</v>
      </c>
      <c r="H107" s="254" t="s">
        <v>446</v>
      </c>
      <c r="I107" s="242">
        <v>448000</v>
      </c>
      <c r="J107" s="255">
        <v>448000</v>
      </c>
      <c r="K107" s="255"/>
      <c r="L107" s="255">
        <v>0</v>
      </c>
      <c r="M107" s="255">
        <v>0</v>
      </c>
      <c r="N107" s="256">
        <v>448000</v>
      </c>
      <c r="O107" s="223" t="s">
        <v>86</v>
      </c>
      <c r="Q107" s="244">
        <v>448000</v>
      </c>
      <c r="R107" s="244">
        <v>0</v>
      </c>
      <c r="S107" s="244">
        <v>0</v>
      </c>
      <c r="T107" s="245">
        <v>0</v>
      </c>
      <c r="U107" s="246">
        <v>5</v>
      </c>
      <c r="V107" s="246">
        <v>5</v>
      </c>
      <c r="W107" s="246">
        <v>5</v>
      </c>
      <c r="X107" s="246" t="s">
        <v>446</v>
      </c>
    </row>
    <row r="108" spans="1:24" ht="20.25" customHeight="1">
      <c r="A108" s="247" t="s">
        <v>87</v>
      </c>
      <c r="B108" s="248" t="s">
        <v>290</v>
      </c>
      <c r="C108" s="249" t="s">
        <v>449</v>
      </c>
      <c r="D108" s="250" t="s">
        <v>440</v>
      </c>
      <c r="E108" s="251">
        <v>3.65</v>
      </c>
      <c r="F108" s="252">
        <v>666</v>
      </c>
      <c r="G108" s="253">
        <v>1215.45</v>
      </c>
      <c r="H108" s="254" t="s">
        <v>444</v>
      </c>
      <c r="I108" s="242">
        <v>147000</v>
      </c>
      <c r="J108" s="255">
        <v>147000</v>
      </c>
      <c r="K108" s="255"/>
      <c r="L108" s="255">
        <v>0</v>
      </c>
      <c r="M108" s="255">
        <v>0</v>
      </c>
      <c r="N108" s="256">
        <v>147000</v>
      </c>
      <c r="O108" s="223" t="s">
        <v>86</v>
      </c>
      <c r="Q108" s="244">
        <v>0</v>
      </c>
      <c r="R108" s="244">
        <v>147000</v>
      </c>
      <c r="S108" s="244">
        <v>0</v>
      </c>
      <c r="T108" s="245">
        <v>0</v>
      </c>
      <c r="U108" s="246">
        <v>2.5</v>
      </c>
      <c r="V108" s="246">
        <v>2.5</v>
      </c>
      <c r="W108" s="246">
        <v>2.5</v>
      </c>
      <c r="X108" s="246" t="s">
        <v>444</v>
      </c>
    </row>
    <row r="109" spans="1:24" ht="20.25" customHeight="1">
      <c r="A109" s="247" t="s">
        <v>87</v>
      </c>
      <c r="B109" s="248" t="s">
        <v>291</v>
      </c>
      <c r="C109" s="249" t="s">
        <v>449</v>
      </c>
      <c r="D109" s="250" t="s">
        <v>440</v>
      </c>
      <c r="E109" s="251">
        <v>8.5239999999999991</v>
      </c>
      <c r="F109" s="252">
        <v>540</v>
      </c>
      <c r="G109" s="253">
        <v>2838.4919999999997</v>
      </c>
      <c r="H109" s="254" t="s">
        <v>446</v>
      </c>
      <c r="I109" s="242">
        <v>232000</v>
      </c>
      <c r="J109" s="255">
        <v>232000</v>
      </c>
      <c r="K109" s="255"/>
      <c r="L109" s="255">
        <v>0</v>
      </c>
      <c r="M109" s="255">
        <v>0</v>
      </c>
      <c r="N109" s="256">
        <v>232000</v>
      </c>
      <c r="O109" s="223" t="s">
        <v>86</v>
      </c>
      <c r="Q109" s="244">
        <v>0</v>
      </c>
      <c r="R109" s="244">
        <v>232000</v>
      </c>
      <c r="S109" s="244">
        <v>0</v>
      </c>
      <c r="T109" s="245">
        <v>0</v>
      </c>
      <c r="U109" s="246">
        <v>5</v>
      </c>
      <c r="V109" s="246">
        <v>5</v>
      </c>
      <c r="W109" s="246">
        <v>5</v>
      </c>
      <c r="X109" s="246" t="s">
        <v>446</v>
      </c>
    </row>
    <row r="110" spans="1:24" ht="20.25" customHeight="1">
      <c r="A110" s="247" t="s">
        <v>85</v>
      </c>
      <c r="B110" s="248" t="s">
        <v>293</v>
      </c>
      <c r="C110" s="249" t="s">
        <v>455</v>
      </c>
      <c r="D110" s="250" t="s">
        <v>440</v>
      </c>
      <c r="E110" s="251">
        <v>17.940000000000001</v>
      </c>
      <c r="F110" s="252">
        <v>7704</v>
      </c>
      <c r="G110" s="253">
        <v>7704</v>
      </c>
      <c r="H110" s="254" t="s">
        <v>450</v>
      </c>
      <c r="I110" s="242">
        <v>698500</v>
      </c>
      <c r="J110" s="255">
        <v>698500</v>
      </c>
      <c r="K110" s="255"/>
      <c r="L110" s="255">
        <v>0</v>
      </c>
      <c r="M110" s="255">
        <v>0</v>
      </c>
      <c r="N110" s="256">
        <v>698500</v>
      </c>
      <c r="O110" s="223" t="s">
        <v>86</v>
      </c>
      <c r="Q110" s="244">
        <v>698500</v>
      </c>
      <c r="R110" s="244">
        <v>0</v>
      </c>
      <c r="S110" s="244">
        <v>0</v>
      </c>
      <c r="T110" s="245">
        <v>0</v>
      </c>
      <c r="U110" s="246">
        <v>8</v>
      </c>
      <c r="V110" s="246">
        <v>8</v>
      </c>
      <c r="W110" s="246">
        <v>8</v>
      </c>
      <c r="X110" s="246" t="s">
        <v>450</v>
      </c>
    </row>
    <row r="111" spans="1:24" ht="20.25" customHeight="1">
      <c r="A111" s="247" t="s">
        <v>90</v>
      </c>
      <c r="B111" s="248" t="s">
        <v>294</v>
      </c>
      <c r="C111" s="249" t="s">
        <v>447</v>
      </c>
      <c r="D111" s="250" t="s">
        <v>440</v>
      </c>
      <c r="E111" s="251">
        <v>23.359000000000002</v>
      </c>
      <c r="F111" s="252">
        <v>4979</v>
      </c>
      <c r="G111" s="253">
        <v>7778.5470000000005</v>
      </c>
      <c r="H111" s="254" t="s">
        <v>448</v>
      </c>
      <c r="I111" s="242">
        <v>635000</v>
      </c>
      <c r="J111" s="255">
        <v>635000</v>
      </c>
      <c r="K111" s="255"/>
      <c r="L111" s="255">
        <v>0</v>
      </c>
      <c r="M111" s="255">
        <v>0</v>
      </c>
      <c r="N111" s="256">
        <v>635000</v>
      </c>
      <c r="O111" s="223" t="s">
        <v>86</v>
      </c>
      <c r="Q111" s="244">
        <v>0</v>
      </c>
      <c r="R111" s="244">
        <v>0</v>
      </c>
      <c r="S111" s="244">
        <v>0</v>
      </c>
      <c r="T111" s="245">
        <v>635000</v>
      </c>
      <c r="U111" s="246">
        <v>10</v>
      </c>
      <c r="V111" s="246">
        <v>8</v>
      </c>
      <c r="W111" s="246">
        <v>10</v>
      </c>
      <c r="X111" s="246" t="s">
        <v>448</v>
      </c>
    </row>
    <row r="112" spans="1:24" ht="20.25" customHeight="1">
      <c r="A112" s="247" t="s">
        <v>88</v>
      </c>
      <c r="B112" s="248" t="s">
        <v>295</v>
      </c>
      <c r="C112" s="249" t="s">
        <v>459</v>
      </c>
      <c r="D112" s="250" t="s">
        <v>440</v>
      </c>
      <c r="E112" s="251">
        <v>25.193999999999999</v>
      </c>
      <c r="F112" s="252">
        <v>3542.4</v>
      </c>
      <c r="G112" s="253">
        <v>8389.601999999999</v>
      </c>
      <c r="H112" s="254" t="s">
        <v>448</v>
      </c>
      <c r="I112" s="242">
        <v>603000</v>
      </c>
      <c r="J112" s="255">
        <v>603000</v>
      </c>
      <c r="K112" s="255"/>
      <c r="L112" s="255">
        <v>0</v>
      </c>
      <c r="M112" s="255">
        <v>0</v>
      </c>
      <c r="N112" s="256">
        <v>603000</v>
      </c>
      <c r="O112" s="223" t="s">
        <v>86</v>
      </c>
      <c r="Q112" s="244">
        <v>603000</v>
      </c>
      <c r="R112" s="244">
        <v>0</v>
      </c>
      <c r="S112" s="244">
        <v>0</v>
      </c>
      <c r="T112" s="245">
        <v>0</v>
      </c>
      <c r="U112" s="246">
        <v>10</v>
      </c>
      <c r="V112" s="246">
        <v>10</v>
      </c>
      <c r="W112" s="246">
        <v>10</v>
      </c>
      <c r="X112" s="246" t="s">
        <v>448</v>
      </c>
    </row>
    <row r="113" spans="1:24" ht="20.25" customHeight="1">
      <c r="A113" s="247" t="s">
        <v>85</v>
      </c>
      <c r="B113" s="248" t="s">
        <v>297</v>
      </c>
      <c r="C113" s="249" t="s">
        <v>455</v>
      </c>
      <c r="D113" s="250" t="s">
        <v>440</v>
      </c>
      <c r="E113" s="251">
        <v>7.26</v>
      </c>
      <c r="F113" s="252">
        <v>3272</v>
      </c>
      <c r="G113" s="253">
        <v>3272</v>
      </c>
      <c r="H113" s="254" t="s">
        <v>446</v>
      </c>
      <c r="I113" s="242">
        <v>632500</v>
      </c>
      <c r="J113" s="255">
        <v>632500</v>
      </c>
      <c r="K113" s="255"/>
      <c r="L113" s="255">
        <v>0</v>
      </c>
      <c r="M113" s="255">
        <v>0</v>
      </c>
      <c r="N113" s="256">
        <v>632500</v>
      </c>
      <c r="O113" s="223" t="s">
        <v>86</v>
      </c>
      <c r="Q113" s="244">
        <v>632500</v>
      </c>
      <c r="R113" s="244">
        <v>0</v>
      </c>
      <c r="S113" s="244">
        <v>0</v>
      </c>
      <c r="T113" s="245">
        <v>0</v>
      </c>
      <c r="U113" s="246">
        <v>5</v>
      </c>
      <c r="V113" s="246">
        <v>5</v>
      </c>
      <c r="W113" s="246">
        <v>5</v>
      </c>
      <c r="X113" s="246" t="s">
        <v>446</v>
      </c>
    </row>
    <row r="114" spans="1:24" ht="20.25" customHeight="1">
      <c r="A114" s="247" t="s">
        <v>91</v>
      </c>
      <c r="B114" s="248" t="s">
        <v>298</v>
      </c>
      <c r="C114" s="249" t="s">
        <v>460</v>
      </c>
      <c r="D114" s="250" t="s">
        <v>440</v>
      </c>
      <c r="E114" s="251">
        <v>52.19</v>
      </c>
      <c r="F114" s="252">
        <v>10370</v>
      </c>
      <c r="G114" s="253">
        <v>17379.27</v>
      </c>
      <c r="H114" s="254" t="s">
        <v>441</v>
      </c>
      <c r="I114" s="242">
        <v>1148000</v>
      </c>
      <c r="J114" s="255">
        <v>1148000</v>
      </c>
      <c r="K114" s="255"/>
      <c r="L114" s="255">
        <v>0</v>
      </c>
      <c r="M114" s="255">
        <v>0</v>
      </c>
      <c r="N114" s="256">
        <v>1148000</v>
      </c>
      <c r="O114" s="223" t="s">
        <v>86</v>
      </c>
      <c r="Q114" s="244">
        <v>0</v>
      </c>
      <c r="R114" s="244">
        <v>1148000</v>
      </c>
      <c r="S114" s="244">
        <v>0</v>
      </c>
      <c r="T114" s="245">
        <v>0</v>
      </c>
      <c r="U114" s="246">
        <v>18</v>
      </c>
      <c r="V114" s="246">
        <v>18</v>
      </c>
      <c r="W114" s="246">
        <v>18</v>
      </c>
      <c r="X114" s="246" t="s">
        <v>441</v>
      </c>
    </row>
    <row r="115" spans="1:24" ht="20.25" customHeight="1">
      <c r="A115" s="247" t="s">
        <v>301</v>
      </c>
      <c r="B115" s="248" t="s">
        <v>300</v>
      </c>
      <c r="C115" s="249">
        <v>0</v>
      </c>
      <c r="D115" s="250" t="s">
        <v>440</v>
      </c>
      <c r="E115" s="251">
        <v>16.28</v>
      </c>
      <c r="F115" s="252">
        <v>5562</v>
      </c>
      <c r="G115" s="253">
        <v>5562</v>
      </c>
      <c r="H115" s="254" t="s">
        <v>450</v>
      </c>
      <c r="I115" s="266">
        <v>0</v>
      </c>
      <c r="J115" s="267">
        <v>0</v>
      </c>
      <c r="K115" s="267"/>
      <c r="L115" s="267">
        <v>0</v>
      </c>
      <c r="M115" s="267">
        <v>0</v>
      </c>
      <c r="N115" s="268">
        <v>0</v>
      </c>
      <c r="O115" s="223" t="s">
        <v>93</v>
      </c>
      <c r="Q115" s="244">
        <v>0</v>
      </c>
      <c r="R115" s="244">
        <v>0</v>
      </c>
      <c r="S115" s="244">
        <v>0</v>
      </c>
      <c r="T115" s="245">
        <v>0</v>
      </c>
      <c r="U115" s="246">
        <v>8</v>
      </c>
      <c r="V115" s="246">
        <v>8</v>
      </c>
      <c r="W115" s="246">
        <v>8</v>
      </c>
      <c r="X115" s="246" t="s">
        <v>450</v>
      </c>
    </row>
    <row r="116" spans="1:24" ht="20.25" customHeight="1">
      <c r="A116" s="247" t="s">
        <v>303</v>
      </c>
      <c r="B116" s="248" t="s">
        <v>302</v>
      </c>
      <c r="C116" s="249" t="s">
        <v>447</v>
      </c>
      <c r="D116" s="250" t="s">
        <v>440</v>
      </c>
      <c r="E116" s="251">
        <v>16.763999999999999</v>
      </c>
      <c r="F116" s="252">
        <v>3660</v>
      </c>
      <c r="G116" s="253">
        <v>5582.4119999999994</v>
      </c>
      <c r="H116" s="254" t="s">
        <v>450</v>
      </c>
      <c r="I116" s="242">
        <v>562000</v>
      </c>
      <c r="J116" s="255">
        <v>562000</v>
      </c>
      <c r="K116" s="255"/>
      <c r="L116" s="255">
        <v>0</v>
      </c>
      <c r="M116" s="255">
        <v>0</v>
      </c>
      <c r="N116" s="256">
        <v>562000</v>
      </c>
      <c r="O116" s="223" t="s">
        <v>86</v>
      </c>
      <c r="Q116" s="244">
        <v>0</v>
      </c>
      <c r="R116" s="244">
        <v>0</v>
      </c>
      <c r="S116" s="244">
        <v>0</v>
      </c>
      <c r="T116" s="245">
        <v>562000</v>
      </c>
      <c r="U116" s="246">
        <v>8</v>
      </c>
      <c r="V116" s="246">
        <v>8</v>
      </c>
      <c r="W116" s="246">
        <v>8</v>
      </c>
      <c r="X116" s="246" t="s">
        <v>450</v>
      </c>
    </row>
    <row r="117" spans="1:24" s="263" customFormat="1" ht="20.25" customHeight="1">
      <c r="A117" s="247" t="s">
        <v>142</v>
      </c>
      <c r="B117" s="248" t="s">
        <v>305</v>
      </c>
      <c r="C117" s="249" t="s">
        <v>460</v>
      </c>
      <c r="D117" s="250" t="s">
        <v>440</v>
      </c>
      <c r="E117" s="251">
        <v>13.957000000000001</v>
      </c>
      <c r="F117" s="252">
        <v>4569.6000000000004</v>
      </c>
      <c r="G117" s="253">
        <v>4647.6810000000005</v>
      </c>
      <c r="H117" s="254" t="s">
        <v>446</v>
      </c>
      <c r="I117" s="242">
        <v>485000</v>
      </c>
      <c r="J117" s="253">
        <v>485000</v>
      </c>
      <c r="K117" s="253"/>
      <c r="L117" s="253">
        <v>0</v>
      </c>
      <c r="M117" s="253">
        <v>0</v>
      </c>
      <c r="N117" s="262">
        <v>485000</v>
      </c>
      <c r="O117" s="263" t="s">
        <v>86</v>
      </c>
      <c r="Q117" s="244">
        <v>485000</v>
      </c>
      <c r="R117" s="244">
        <v>0</v>
      </c>
      <c r="S117" s="244">
        <v>0</v>
      </c>
      <c r="T117" s="245">
        <v>0</v>
      </c>
      <c r="U117" s="265">
        <v>5</v>
      </c>
      <c r="V117" s="265">
        <v>5</v>
      </c>
      <c r="W117" s="265">
        <v>5</v>
      </c>
      <c r="X117" s="265" t="s">
        <v>446</v>
      </c>
    </row>
    <row r="118" spans="1:24" s="263" customFormat="1" ht="20.25" customHeight="1">
      <c r="A118" s="247" t="s">
        <v>143</v>
      </c>
      <c r="B118" s="248" t="s">
        <v>306</v>
      </c>
      <c r="C118" s="249" t="s">
        <v>460</v>
      </c>
      <c r="D118" s="250" t="s">
        <v>440</v>
      </c>
      <c r="E118" s="251">
        <v>28.725999999999999</v>
      </c>
      <c r="F118" s="252">
        <v>16299</v>
      </c>
      <c r="G118" s="253">
        <v>16299</v>
      </c>
      <c r="H118" s="254" t="s">
        <v>441</v>
      </c>
      <c r="I118" s="242">
        <v>1148000</v>
      </c>
      <c r="J118" s="253">
        <v>1148000</v>
      </c>
      <c r="K118" s="253"/>
      <c r="L118" s="253">
        <v>0</v>
      </c>
      <c r="M118" s="253">
        <v>0</v>
      </c>
      <c r="N118" s="262">
        <v>1148000</v>
      </c>
      <c r="O118" s="263" t="s">
        <v>86</v>
      </c>
      <c r="Q118" s="244">
        <v>0</v>
      </c>
      <c r="R118" s="244">
        <v>1148000</v>
      </c>
      <c r="S118" s="244">
        <v>0</v>
      </c>
      <c r="T118" s="245">
        <v>0</v>
      </c>
      <c r="U118" s="265">
        <v>10</v>
      </c>
      <c r="V118" s="265">
        <v>18</v>
      </c>
      <c r="W118" s="265">
        <v>18</v>
      </c>
      <c r="X118" s="265" t="s">
        <v>441</v>
      </c>
    </row>
    <row r="119" spans="1:24" ht="20.25" customHeight="1">
      <c r="A119" s="247" t="s">
        <v>308</v>
      </c>
      <c r="B119" s="248" t="s">
        <v>307</v>
      </c>
      <c r="C119" s="249">
        <v>0</v>
      </c>
      <c r="D119" s="250" t="s">
        <v>440</v>
      </c>
      <c r="E119" s="251">
        <v>2.145</v>
      </c>
      <c r="F119" s="252">
        <v>1395</v>
      </c>
      <c r="G119" s="253">
        <v>1395</v>
      </c>
      <c r="H119" s="254" t="s">
        <v>444</v>
      </c>
      <c r="I119" s="242">
        <v>0</v>
      </c>
      <c r="J119" s="255">
        <v>0</v>
      </c>
      <c r="K119" s="255"/>
      <c r="L119" s="255">
        <v>0</v>
      </c>
      <c r="M119" s="255">
        <v>0</v>
      </c>
      <c r="N119" s="256">
        <v>0</v>
      </c>
      <c r="O119" s="223" t="s">
        <v>93</v>
      </c>
      <c r="Q119" s="244">
        <v>0</v>
      </c>
      <c r="R119" s="244">
        <v>0</v>
      </c>
      <c r="S119" s="244">
        <v>0</v>
      </c>
      <c r="T119" s="245">
        <v>0</v>
      </c>
      <c r="U119" s="246">
        <v>1</v>
      </c>
      <c r="V119" s="246">
        <v>2.5</v>
      </c>
      <c r="W119" s="246">
        <v>2.5</v>
      </c>
      <c r="X119" s="246" t="s">
        <v>444</v>
      </c>
    </row>
    <row r="120" spans="1:24" ht="20.25" customHeight="1">
      <c r="A120" s="247" t="s">
        <v>311</v>
      </c>
      <c r="B120" s="248" t="s">
        <v>310</v>
      </c>
      <c r="C120" s="249" t="s">
        <v>460</v>
      </c>
      <c r="D120" s="250" t="s">
        <v>440</v>
      </c>
      <c r="E120" s="251">
        <v>2.16</v>
      </c>
      <c r="F120" s="252">
        <v>1710</v>
      </c>
      <c r="G120" s="253">
        <v>1710</v>
      </c>
      <c r="H120" s="254" t="s">
        <v>444</v>
      </c>
      <c r="I120" s="242">
        <v>408000</v>
      </c>
      <c r="J120" s="255">
        <v>408000</v>
      </c>
      <c r="K120" s="255"/>
      <c r="L120" s="255">
        <v>0</v>
      </c>
      <c r="M120" s="255">
        <v>0</v>
      </c>
      <c r="N120" s="256">
        <v>408000</v>
      </c>
      <c r="O120" s="223" t="s">
        <v>86</v>
      </c>
      <c r="Q120" s="244">
        <v>408000</v>
      </c>
      <c r="R120" s="244">
        <v>0</v>
      </c>
      <c r="S120" s="244">
        <v>0</v>
      </c>
      <c r="T120" s="245">
        <v>0</v>
      </c>
      <c r="U120" s="246">
        <v>1</v>
      </c>
      <c r="V120" s="246">
        <v>2.5</v>
      </c>
      <c r="W120" s="246">
        <v>2.5</v>
      </c>
      <c r="X120" s="246" t="s">
        <v>444</v>
      </c>
    </row>
    <row r="121" spans="1:24" ht="20.25" customHeight="1">
      <c r="A121" s="247" t="s">
        <v>92</v>
      </c>
      <c r="B121" s="248" t="s">
        <v>312</v>
      </c>
      <c r="C121" s="249" t="s">
        <v>445</v>
      </c>
      <c r="D121" s="250" t="s">
        <v>440</v>
      </c>
      <c r="E121" s="251">
        <v>6.4909999999999997</v>
      </c>
      <c r="F121" s="252">
        <v>2270.31</v>
      </c>
      <c r="G121" s="253">
        <v>2270.31</v>
      </c>
      <c r="H121" s="254" t="s">
        <v>444</v>
      </c>
      <c r="I121" s="242">
        <v>0</v>
      </c>
      <c r="J121" s="255">
        <v>0</v>
      </c>
      <c r="K121" s="255"/>
      <c r="L121" s="255">
        <v>0</v>
      </c>
      <c r="M121" s="255">
        <v>0</v>
      </c>
      <c r="N121" s="256">
        <v>0</v>
      </c>
      <c r="O121" s="223" t="s">
        <v>93</v>
      </c>
      <c r="Q121" s="244">
        <v>0</v>
      </c>
      <c r="R121" s="244">
        <v>0</v>
      </c>
      <c r="S121" s="244">
        <v>0</v>
      </c>
      <c r="T121" s="245">
        <v>0</v>
      </c>
      <c r="U121" s="246">
        <v>2.5</v>
      </c>
      <c r="V121" s="246">
        <v>2.5</v>
      </c>
      <c r="W121" s="246">
        <v>2.5</v>
      </c>
      <c r="X121" s="246" t="s">
        <v>444</v>
      </c>
    </row>
    <row r="122" spans="1:24" ht="20.25" customHeight="1">
      <c r="A122" s="247" t="s">
        <v>314</v>
      </c>
      <c r="B122" s="248" t="s">
        <v>313</v>
      </c>
      <c r="C122" s="249">
        <v>0</v>
      </c>
      <c r="D122" s="250" t="s">
        <v>440</v>
      </c>
      <c r="E122" s="251">
        <v>22.54</v>
      </c>
      <c r="F122" s="252">
        <v>7868</v>
      </c>
      <c r="G122" s="253">
        <v>7868</v>
      </c>
      <c r="H122" s="254" t="s">
        <v>448</v>
      </c>
      <c r="I122" s="242">
        <v>0</v>
      </c>
      <c r="J122" s="255">
        <v>0</v>
      </c>
      <c r="K122" s="255"/>
      <c r="L122" s="255">
        <v>0</v>
      </c>
      <c r="M122" s="255">
        <v>0</v>
      </c>
      <c r="N122" s="256">
        <v>0</v>
      </c>
      <c r="O122" s="223" t="s">
        <v>93</v>
      </c>
      <c r="Q122" s="244">
        <v>0</v>
      </c>
      <c r="R122" s="244">
        <v>0</v>
      </c>
      <c r="S122" s="244">
        <v>0</v>
      </c>
      <c r="T122" s="245">
        <v>0</v>
      </c>
      <c r="U122" s="246">
        <v>10</v>
      </c>
      <c r="V122" s="246">
        <v>8</v>
      </c>
      <c r="W122" s="246">
        <v>10</v>
      </c>
      <c r="X122" s="246" t="s">
        <v>448</v>
      </c>
    </row>
    <row r="123" spans="1:24" ht="20.25" customHeight="1">
      <c r="A123" s="247" t="s">
        <v>144</v>
      </c>
      <c r="B123" s="248" t="s">
        <v>315</v>
      </c>
      <c r="C123" s="249" t="s">
        <v>462</v>
      </c>
      <c r="D123" s="250" t="s">
        <v>440</v>
      </c>
      <c r="E123" s="251">
        <v>3.2280000000000002</v>
      </c>
      <c r="F123" s="252">
        <v>3306.73</v>
      </c>
      <c r="G123" s="253">
        <v>3306.73</v>
      </c>
      <c r="H123" s="254" t="s">
        <v>446</v>
      </c>
      <c r="I123" s="242">
        <v>465000</v>
      </c>
      <c r="J123" s="255">
        <v>465000</v>
      </c>
      <c r="K123" s="255"/>
      <c r="L123" s="255">
        <v>0</v>
      </c>
      <c r="M123" s="255">
        <v>0</v>
      </c>
      <c r="N123" s="256">
        <v>465000</v>
      </c>
      <c r="O123" s="223" t="s">
        <v>86</v>
      </c>
      <c r="Q123" s="244">
        <v>0</v>
      </c>
      <c r="R123" s="244">
        <v>465000</v>
      </c>
      <c r="S123" s="244">
        <v>0</v>
      </c>
      <c r="T123" s="245">
        <v>0</v>
      </c>
      <c r="U123" s="246">
        <v>2.5</v>
      </c>
      <c r="V123" s="246">
        <v>5</v>
      </c>
      <c r="W123" s="246">
        <v>5</v>
      </c>
      <c r="X123" s="246" t="s">
        <v>446</v>
      </c>
    </row>
    <row r="124" spans="1:24" ht="20.25" customHeight="1">
      <c r="A124" s="247" t="s">
        <v>144</v>
      </c>
      <c r="B124" s="248" t="s">
        <v>316</v>
      </c>
      <c r="C124" s="249" t="s">
        <v>462</v>
      </c>
      <c r="D124" s="250" t="s">
        <v>440</v>
      </c>
      <c r="E124" s="251">
        <v>0.58399999999999996</v>
      </c>
      <c r="F124" s="252">
        <v>359.7</v>
      </c>
      <c r="G124" s="253">
        <v>359.7</v>
      </c>
      <c r="H124" s="254" t="s">
        <v>442</v>
      </c>
      <c r="I124" s="242">
        <v>289000</v>
      </c>
      <c r="J124" s="255">
        <v>289000</v>
      </c>
      <c r="K124" s="255"/>
      <c r="L124" s="255">
        <v>0</v>
      </c>
      <c r="M124" s="255">
        <v>0</v>
      </c>
      <c r="N124" s="256">
        <v>289000</v>
      </c>
      <c r="O124" s="223" t="s">
        <v>86</v>
      </c>
      <c r="Q124" s="244">
        <v>0</v>
      </c>
      <c r="R124" s="244">
        <v>289000</v>
      </c>
      <c r="S124" s="244">
        <v>0</v>
      </c>
      <c r="T124" s="245">
        <v>0</v>
      </c>
      <c r="U124" s="246">
        <v>1</v>
      </c>
      <c r="V124" s="246">
        <v>1</v>
      </c>
      <c r="W124" s="246">
        <v>1</v>
      </c>
      <c r="X124" s="246" t="s">
        <v>442</v>
      </c>
    </row>
    <row r="125" spans="1:24" ht="20.25" customHeight="1">
      <c r="A125" s="247" t="s">
        <v>228</v>
      </c>
      <c r="B125" s="248" t="s">
        <v>317</v>
      </c>
      <c r="C125" s="249" t="s">
        <v>455</v>
      </c>
      <c r="D125" s="250" t="s">
        <v>440</v>
      </c>
      <c r="E125" s="251">
        <v>4.8600000000000003</v>
      </c>
      <c r="F125" s="252">
        <v>5155</v>
      </c>
      <c r="G125" s="253">
        <v>5155</v>
      </c>
      <c r="H125" s="254" t="s">
        <v>450</v>
      </c>
      <c r="I125" s="242">
        <v>698500</v>
      </c>
      <c r="J125" s="255">
        <v>698500</v>
      </c>
      <c r="K125" s="255"/>
      <c r="L125" s="255">
        <v>0</v>
      </c>
      <c r="M125" s="255">
        <v>0</v>
      </c>
      <c r="N125" s="256">
        <v>698500</v>
      </c>
      <c r="O125" s="223" t="s">
        <v>86</v>
      </c>
      <c r="Q125" s="244">
        <v>698500</v>
      </c>
      <c r="R125" s="244">
        <v>0</v>
      </c>
      <c r="S125" s="244">
        <v>0</v>
      </c>
      <c r="T125" s="245">
        <v>0</v>
      </c>
      <c r="U125" s="246">
        <v>2.5</v>
      </c>
      <c r="V125" s="246">
        <v>8</v>
      </c>
      <c r="W125" s="246">
        <v>8</v>
      </c>
      <c r="X125" s="246" t="s">
        <v>450</v>
      </c>
    </row>
    <row r="126" spans="1:24" ht="20.25" customHeight="1" thickBot="1">
      <c r="A126" s="247" t="s">
        <v>98</v>
      </c>
      <c r="B126" s="269" t="s">
        <v>318</v>
      </c>
      <c r="C126" s="249" t="s">
        <v>462</v>
      </c>
      <c r="D126" s="250" t="s">
        <v>440</v>
      </c>
      <c r="E126" s="251">
        <v>0.44400000000000001</v>
      </c>
      <c r="F126" s="252">
        <v>84.3</v>
      </c>
      <c r="G126" s="270">
        <v>147.852</v>
      </c>
      <c r="H126" s="254" t="s">
        <v>442</v>
      </c>
      <c r="I126" s="258">
        <v>289000</v>
      </c>
      <c r="J126" s="271">
        <v>289000</v>
      </c>
      <c r="K126" s="271"/>
      <c r="L126" s="271">
        <v>0</v>
      </c>
      <c r="M126" s="271">
        <v>0</v>
      </c>
      <c r="N126" s="259">
        <v>289000</v>
      </c>
      <c r="O126" s="223" t="s">
        <v>86</v>
      </c>
      <c r="Q126" s="244">
        <v>0</v>
      </c>
      <c r="R126" s="244">
        <v>289000</v>
      </c>
      <c r="S126" s="244">
        <v>0</v>
      </c>
      <c r="T126" s="245">
        <v>0</v>
      </c>
      <c r="U126" s="246">
        <v>1</v>
      </c>
      <c r="V126" s="246">
        <v>1</v>
      </c>
      <c r="W126" s="246">
        <v>1</v>
      </c>
      <c r="X126" s="246" t="s">
        <v>442</v>
      </c>
    </row>
    <row r="127" spans="1:24" ht="15.75" thickBot="1">
      <c r="A127" s="272" t="s">
        <v>403</v>
      </c>
      <c r="B127" s="273"/>
      <c r="C127" s="273"/>
      <c r="D127" s="274"/>
      <c r="E127" s="275">
        <v>2138.5219999999995</v>
      </c>
      <c r="F127" s="275">
        <v>578262.82999999996</v>
      </c>
      <c r="G127" s="276"/>
      <c r="H127" s="277"/>
      <c r="I127" s="278">
        <v>0</v>
      </c>
      <c r="J127" s="279">
        <v>0</v>
      </c>
      <c r="K127" s="279"/>
      <c r="L127" s="279"/>
      <c r="M127" s="279"/>
      <c r="N127" s="280">
        <v>58445200</v>
      </c>
    </row>
    <row r="128" spans="1:24">
      <c r="A128" s="228"/>
      <c r="E128" s="281">
        <v>2138.5219999999995</v>
      </c>
      <c r="F128" s="281">
        <v>578262.82999999996</v>
      </c>
      <c r="G128" s="282"/>
      <c r="H128" s="282"/>
      <c r="I128" s="282"/>
      <c r="J128" s="282"/>
      <c r="K128" s="282"/>
      <c r="L128" s="282"/>
      <c r="M128" s="282"/>
      <c r="N128" s="283">
        <v>58445200</v>
      </c>
    </row>
    <row r="129" spans="1:14">
      <c r="A129" s="228"/>
      <c r="E129" s="281">
        <v>0</v>
      </c>
      <c r="F129" s="284">
        <v>0</v>
      </c>
      <c r="G129" s="282"/>
      <c r="H129" s="282"/>
      <c r="I129" s="282"/>
      <c r="J129" s="282"/>
      <c r="K129" s="282"/>
      <c r="L129" s="282"/>
      <c r="M129" s="282"/>
      <c r="N129" s="285">
        <v>0</v>
      </c>
    </row>
    <row r="130" spans="1:14" ht="36" customHeight="1">
      <c r="A130" s="340" t="s">
        <v>431</v>
      </c>
      <c r="B130" s="340"/>
      <c r="C130" s="286"/>
      <c r="D130" s="286"/>
      <c r="E130" s="340" t="s">
        <v>432</v>
      </c>
      <c r="F130" s="340"/>
      <c r="G130" s="340"/>
      <c r="H130" s="340"/>
      <c r="I130" s="340"/>
      <c r="J130" s="340"/>
      <c r="K130" s="340"/>
      <c r="L130" s="340"/>
      <c r="M130" s="340"/>
      <c r="N130" s="340"/>
    </row>
    <row r="131" spans="1:14" ht="54.75" customHeight="1">
      <c r="A131" s="287"/>
      <c r="B131" s="288"/>
      <c r="C131" s="289"/>
      <c r="D131" s="290"/>
      <c r="E131" s="291"/>
      <c r="F131" s="292"/>
      <c r="G131" s="293"/>
      <c r="H131" s="292"/>
      <c r="I131" s="293"/>
      <c r="J131" s="293"/>
      <c r="K131" s="294"/>
      <c r="L131" s="294"/>
      <c r="M131" s="294"/>
      <c r="N131" s="295"/>
    </row>
    <row r="132" spans="1:14" ht="40.5" customHeight="1">
      <c r="A132" s="296" t="s">
        <v>433</v>
      </c>
      <c r="B132" s="297"/>
      <c r="C132" s="297"/>
      <c r="D132" s="297"/>
      <c r="E132" s="298" t="s">
        <v>434</v>
      </c>
      <c r="F132" s="299"/>
      <c r="G132" s="299"/>
      <c r="H132" s="300"/>
      <c r="I132" s="300"/>
      <c r="J132" s="300"/>
      <c r="K132" s="294"/>
      <c r="L132" s="294"/>
      <c r="M132" s="294"/>
      <c r="N132" s="294"/>
    </row>
    <row r="133" spans="1:14" ht="40.5" customHeight="1">
      <c r="A133" s="296" t="s">
        <v>435</v>
      </c>
      <c r="B133" s="296"/>
      <c r="C133" s="301"/>
      <c r="D133" s="302"/>
      <c r="E133" s="298" t="s">
        <v>436</v>
      </c>
      <c r="F133" s="303"/>
      <c r="G133" s="303"/>
      <c r="H133" s="293"/>
      <c r="I133" s="293"/>
      <c r="J133" s="293"/>
      <c r="K133" s="294"/>
      <c r="L133" s="294"/>
      <c r="M133" s="294"/>
      <c r="N133" s="294"/>
    </row>
    <row r="134" spans="1:14" ht="40.5" customHeight="1">
      <c r="A134" s="296" t="s">
        <v>437</v>
      </c>
      <c r="B134" s="302"/>
      <c r="C134" s="302"/>
      <c r="D134" s="302"/>
      <c r="E134" s="304"/>
      <c r="F134" s="305"/>
      <c r="G134" s="306"/>
      <c r="H134" s="306"/>
      <c r="I134" s="306"/>
      <c r="J134" s="306"/>
      <c r="K134" s="307"/>
      <c r="L134" s="307"/>
      <c r="M134" s="307"/>
      <c r="N134" s="307"/>
    </row>
  </sheetData>
  <autoFilter ref="A5:O130" xr:uid="{00000000-0009-0000-0000-000002000000}">
    <filterColumn colId="10" showButton="0"/>
    <filterColumn colId="11" showButton="0"/>
  </autoFilter>
  <mergeCells count="22">
    <mergeCell ref="A1:E1"/>
    <mergeCell ref="A2:N2"/>
    <mergeCell ref="A5:A6"/>
    <mergeCell ref="B5:B6"/>
    <mergeCell ref="C5:C6"/>
    <mergeCell ref="D5:D6"/>
    <mergeCell ref="E5:E6"/>
    <mergeCell ref="F5:F6"/>
    <mergeCell ref="H5:H6"/>
    <mergeCell ref="I5:I6"/>
    <mergeCell ref="S5:S6"/>
    <mergeCell ref="T5:T6"/>
    <mergeCell ref="U5:W6"/>
    <mergeCell ref="X5:X6"/>
    <mergeCell ref="A130:B130"/>
    <mergeCell ref="E130:N130"/>
    <mergeCell ref="J5:J6"/>
    <mergeCell ref="K5:M5"/>
    <mergeCell ref="N5:N6"/>
    <mergeCell ref="O5:O6"/>
    <mergeCell ref="Q5:Q6"/>
    <mergeCell ref="R5:R6"/>
  </mergeCells>
  <conditionalFormatting sqref="B131:B1048576 B3:B129">
    <cfRule type="duplicateValues" dxfId="69" priority="1"/>
  </conditionalFormatting>
  <printOptions horizontalCentered="1"/>
  <pageMargins left="0.51181102362204722" right="0.51181102362204722" top="0.55118110236220474" bottom="0.55118110236220474" header="0.31496062992125984" footer="0.31496062992125984"/>
  <pageSetup paperSize="9" scale="59" fitToHeight="7" orientation="landscape" r:id="rId1"/>
  <headerFooter>
    <oddFooter>&amp;LAppendix to the Act of Executed Works&amp;C&amp;P / &amp;N&amp;RNo. 468 LCL</oddFooter>
  </headerFooter>
  <rowBreaks count="1" manualBreakCount="1">
    <brk id="113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rgb="FFFF0000"/>
  </sheetPr>
  <dimension ref="A1:C8"/>
  <sheetViews>
    <sheetView workbookViewId="0">
      <selection activeCell="B4" sqref="B4"/>
    </sheetView>
  </sheetViews>
  <sheetFormatPr defaultColWidth="8.85546875" defaultRowHeight="15"/>
  <cols>
    <col min="1" max="1" width="21.7109375" style="22" bestFit="1" customWidth="1"/>
    <col min="2" max="2" width="80.85546875" style="22" customWidth="1"/>
    <col min="3" max="3" width="13.28515625" style="22" bestFit="1" customWidth="1"/>
    <col min="4" max="16384" width="8.85546875" style="22"/>
  </cols>
  <sheetData>
    <row r="1" spans="1:3" ht="24" customHeight="1">
      <c r="A1" s="23" t="s">
        <v>22</v>
      </c>
      <c r="B1" s="24" t="str" cm="1">
        <f t="array" aca="1" ref="B1" ca="1">CELL("имяфайла")</f>
        <v>S:\АВИА CS\АВИА 2023\[расчет  стоми.xlsx]расч предв стоим-ти</v>
      </c>
    </row>
    <row r="2" spans="1:3" ht="24" customHeight="1">
      <c r="A2" s="23" t="s">
        <v>29</v>
      </c>
      <c r="B2" s="25" t="str">
        <f ca="1">LEFT(B1,SEARCH("[",B1,1)-1)&amp;B3</f>
        <v>S:\АВИА CS\АВИА 2023\AWC - 468 (LCL)_JULY_3.xlsx</v>
      </c>
    </row>
    <row r="3" spans="1:3" ht="24" customHeight="1">
      <c r="A3" s="23" t="s">
        <v>28</v>
      </c>
      <c r="B3" s="26" t="s">
        <v>146</v>
      </c>
    </row>
    <row r="4" spans="1:3" ht="24" customHeight="1"/>
    <row r="5" spans="1:3" ht="29.45" customHeight="1">
      <c r="A5" s="47" t="s">
        <v>128</v>
      </c>
      <c r="B5" s="48" t="str">
        <f ca="1">LEFT(B1,SEARCH("[",B1,1)-1)&amp;"Справочник курсов.xlsx"</f>
        <v>S:\АВИА CS\АВИА 2023\Справочник курсов.xlsx</v>
      </c>
    </row>
    <row r="7" spans="1:3">
      <c r="A7" s="22" t="s">
        <v>125</v>
      </c>
    </row>
    <row r="8" spans="1:3">
      <c r="A8" s="43" t="s">
        <v>147</v>
      </c>
      <c r="B8" s="43"/>
      <c r="C8" s="4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 codeName="Лист3">
    <tabColor rgb="FFC00000"/>
  </sheetPr>
  <dimension ref="A1:E31"/>
  <sheetViews>
    <sheetView workbookViewId="0">
      <selection activeCell="B4" sqref="B4"/>
    </sheetView>
  </sheetViews>
  <sheetFormatPr defaultRowHeight="15"/>
  <cols>
    <col min="1" max="1" width="17.85546875" bestFit="1" customWidth="1"/>
    <col min="2" max="2" width="17.42578125" bestFit="1" customWidth="1"/>
    <col min="3" max="3" width="17.42578125" style="3" bestFit="1" customWidth="1"/>
    <col min="4" max="4" width="24.7109375" style="3" bestFit="1" customWidth="1"/>
    <col min="5" max="5" width="21.85546875" bestFit="1" customWidth="1"/>
    <col min="6" max="6" width="24" bestFit="1" customWidth="1"/>
    <col min="7" max="7" width="13.42578125" customWidth="1"/>
  </cols>
  <sheetData>
    <row r="1" spans="1:5" s="18" customFormat="1" ht="55.5">
      <c r="A1" s="18" t="s">
        <v>129</v>
      </c>
      <c r="B1" s="18" t="s">
        <v>23</v>
      </c>
      <c r="C1" s="18" t="s">
        <v>24</v>
      </c>
      <c r="D1" s="18" t="s">
        <v>130</v>
      </c>
      <c r="E1" s="18" t="s">
        <v>131</v>
      </c>
    </row>
    <row r="2" spans="1:5" ht="15.75">
      <c r="A2" s="16">
        <f>MIN(ACT[Date of Dispatch/ 
Дата отгрузки])</f>
        <v>45124</v>
      </c>
      <c r="B2" s="16">
        <f>MAX(ACT[Date of Dispatch/ 
Дата отгрузки])</f>
        <v>45130</v>
      </c>
      <c r="C2" s="16">
        <f ca="1">IF(WORKDAY(A2,15)&gt;=TODAY(),TODAY(),WORKDAY(A2,15))</f>
        <v>45145</v>
      </c>
      <c r="D2" s="17">
        <v>45155</v>
      </c>
      <c r="E2" s="10" t="s">
        <v>17</v>
      </c>
    </row>
    <row r="4" spans="1:5" ht="36" customHeight="1">
      <c r="A4" s="27" t="str">
        <f>IF(COUNT(Курс_840[Дата])=0,"Обновите курсы валюты в Справочнике","")</f>
        <v/>
      </c>
    </row>
    <row r="5" spans="1:5" s="20" customFormat="1">
      <c r="A5" s="20" t="s">
        <v>25</v>
      </c>
      <c r="B5" s="20" t="s">
        <v>26</v>
      </c>
      <c r="C5" s="20" t="s">
        <v>132</v>
      </c>
      <c r="D5" s="20" t="s">
        <v>27</v>
      </c>
    </row>
    <row r="6" spans="1:5">
      <c r="A6" s="19" t="s">
        <v>127</v>
      </c>
      <c r="B6" s="5">
        <v>45130</v>
      </c>
      <c r="C6" s="51">
        <v>11592.99</v>
      </c>
    </row>
    <row r="7" spans="1:5">
      <c r="A7" s="19" t="s">
        <v>133</v>
      </c>
      <c r="B7" s="5">
        <v>45131</v>
      </c>
      <c r="C7" s="51">
        <v>11610.02</v>
      </c>
    </row>
    <row r="8" spans="1:5">
      <c r="A8" s="19" t="s">
        <v>134</v>
      </c>
      <c r="B8" s="5">
        <v>45132</v>
      </c>
      <c r="C8" s="51">
        <v>11595.02</v>
      </c>
    </row>
    <row r="9" spans="1:5">
      <c r="A9" s="19" t="s">
        <v>135</v>
      </c>
      <c r="B9" s="5">
        <v>45133</v>
      </c>
      <c r="C9" s="51">
        <v>11613.06</v>
      </c>
    </row>
    <row r="10" spans="1:5">
      <c r="A10" s="19" t="s">
        <v>136</v>
      </c>
      <c r="B10" s="5">
        <v>45134</v>
      </c>
      <c r="C10" s="51">
        <v>11624.92</v>
      </c>
    </row>
    <row r="11" spans="1:5">
      <c r="A11" s="19" t="s">
        <v>137</v>
      </c>
      <c r="B11" s="5">
        <v>45135</v>
      </c>
      <c r="C11" s="51">
        <v>11600.14</v>
      </c>
    </row>
    <row r="12" spans="1:5">
      <c r="A12" s="19" t="s">
        <v>138</v>
      </c>
      <c r="B12" s="5">
        <v>45136</v>
      </c>
      <c r="C12" s="51">
        <v>11600.14</v>
      </c>
    </row>
    <row r="13" spans="1:5">
      <c r="A13" s="19" t="s">
        <v>127</v>
      </c>
      <c r="B13" s="5">
        <v>45137</v>
      </c>
      <c r="C13" s="51">
        <v>11600.14</v>
      </c>
    </row>
    <row r="14" spans="1:5">
      <c r="A14" s="19" t="s">
        <v>133</v>
      </c>
      <c r="B14" s="5">
        <v>45138</v>
      </c>
      <c r="C14" s="51">
        <v>11600.17</v>
      </c>
    </row>
    <row r="15" spans="1:5">
      <c r="A15" s="19" t="s">
        <v>134</v>
      </c>
      <c r="B15" s="5">
        <v>45139</v>
      </c>
      <c r="C15" s="51">
        <v>11618.15</v>
      </c>
    </row>
    <row r="16" spans="1:5">
      <c r="A16" s="19" t="s">
        <v>135</v>
      </c>
      <c r="B16" s="5">
        <v>45140</v>
      </c>
      <c r="C16" s="51">
        <v>11633.11</v>
      </c>
    </row>
    <row r="17" spans="1:4">
      <c r="A17" s="19" t="s">
        <v>136</v>
      </c>
      <c r="B17" s="5">
        <v>45141</v>
      </c>
      <c r="C17" s="51">
        <v>11655.01</v>
      </c>
    </row>
    <row r="18" spans="1:4">
      <c r="A18" s="19" t="s">
        <v>137</v>
      </c>
      <c r="B18" s="5">
        <v>45142</v>
      </c>
      <c r="C18" s="51">
        <v>11647.79</v>
      </c>
    </row>
    <row r="19" spans="1:4">
      <c r="A19" s="19" t="s">
        <v>138</v>
      </c>
      <c r="B19" s="5">
        <v>45143</v>
      </c>
      <c r="C19" s="51">
        <v>11647.79</v>
      </c>
    </row>
    <row r="20" spans="1:4">
      <c r="A20" s="19" t="s">
        <v>127</v>
      </c>
      <c r="B20" s="5">
        <v>45144</v>
      </c>
      <c r="C20" s="51">
        <v>11647.79</v>
      </c>
    </row>
    <row r="21" spans="1:4">
      <c r="A21" s="19" t="s">
        <v>133</v>
      </c>
      <c r="B21" s="5">
        <v>45145</v>
      </c>
      <c r="C21" s="51">
        <v>11660.02</v>
      </c>
    </row>
    <row r="22" spans="1:4">
      <c r="A22" s="19" t="s">
        <v>134</v>
      </c>
      <c r="B22" s="5">
        <v>45146</v>
      </c>
      <c r="C22" s="51">
        <v>11675.01</v>
      </c>
    </row>
    <row r="23" spans="1:4">
      <c r="A23" s="19" t="s">
        <v>135</v>
      </c>
      <c r="B23" s="5">
        <v>45147</v>
      </c>
      <c r="C23" s="51">
        <v>11664.86</v>
      </c>
    </row>
    <row r="24" spans="1:4">
      <c r="A24" s="19" t="s">
        <v>136</v>
      </c>
      <c r="B24" s="5">
        <v>45148</v>
      </c>
      <c r="C24" s="51">
        <v>11667</v>
      </c>
    </row>
    <row r="25" spans="1:4">
      <c r="A25" s="19" t="s">
        <v>137</v>
      </c>
      <c r="B25" s="5">
        <v>45149</v>
      </c>
      <c r="C25" s="51">
        <v>12075.03</v>
      </c>
    </row>
    <row r="26" spans="1:4">
      <c r="A26" s="19" t="s">
        <v>138</v>
      </c>
      <c r="B26" s="5">
        <v>45150</v>
      </c>
      <c r="C26" s="51">
        <v>12075.03</v>
      </c>
    </row>
    <row r="27" spans="1:4">
      <c r="A27" s="19" t="s">
        <v>127</v>
      </c>
      <c r="B27" s="5">
        <v>45151</v>
      </c>
      <c r="C27" s="51">
        <v>12075.03</v>
      </c>
    </row>
    <row r="28" spans="1:4">
      <c r="A28" s="19" t="s">
        <v>133</v>
      </c>
      <c r="B28" s="5">
        <v>45152</v>
      </c>
      <c r="C28" s="51">
        <v>12041.88</v>
      </c>
    </row>
    <row r="29" spans="1:4">
      <c r="A29" s="19" t="s">
        <v>134</v>
      </c>
      <c r="B29" s="5">
        <v>45153</v>
      </c>
      <c r="C29" s="51">
        <v>12062.04</v>
      </c>
    </row>
    <row r="30" spans="1:4">
      <c r="A30" s="19" t="s">
        <v>135</v>
      </c>
      <c r="B30" s="5">
        <v>45154</v>
      </c>
      <c r="C30" s="51">
        <v>12074.99</v>
      </c>
    </row>
    <row r="31" spans="1:4">
      <c r="A31" s="19" t="s">
        <v>136</v>
      </c>
      <c r="B31" s="5">
        <v>45155</v>
      </c>
      <c r="C31" s="51">
        <v>12089</v>
      </c>
      <c r="D31" s="3" t="s">
        <v>139</v>
      </c>
    </row>
  </sheetData>
  <phoneticPr fontId="16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E121"/>
  <sheetViews>
    <sheetView workbookViewId="0">
      <selection sqref="A1:AC116"/>
    </sheetView>
  </sheetViews>
  <sheetFormatPr defaultColWidth="8.85546875" defaultRowHeight="12.75"/>
  <cols>
    <col min="1" max="1" width="10.28515625" style="6" bestFit="1" customWidth="1"/>
    <col min="2" max="4" width="20.7109375" style="6" bestFit="1" customWidth="1"/>
    <col min="5" max="5" width="27.7109375" style="6" bestFit="1" customWidth="1"/>
    <col min="6" max="6" width="23.140625" style="6" bestFit="1" customWidth="1"/>
    <col min="7" max="9" width="20.7109375" style="6" bestFit="1" customWidth="1"/>
    <col min="10" max="10" width="23.28515625" style="6" bestFit="1" customWidth="1"/>
    <col min="11" max="11" width="11.28515625" style="6" bestFit="1" customWidth="1"/>
    <col min="12" max="12" width="11.85546875" style="6" bestFit="1" customWidth="1"/>
    <col min="13" max="13" width="31" style="6" bestFit="1" customWidth="1"/>
    <col min="14" max="14" width="35.5703125" style="6" bestFit="1" customWidth="1"/>
    <col min="15" max="15" width="31.85546875" style="6" bestFit="1" customWidth="1"/>
    <col min="16" max="16" width="19.28515625" style="6" bestFit="1" customWidth="1"/>
    <col min="17" max="17" width="19.7109375" style="6" bestFit="1" customWidth="1"/>
    <col min="18" max="18" width="20" style="6" bestFit="1" customWidth="1"/>
    <col min="19" max="19" width="12.85546875" style="6" bestFit="1" customWidth="1"/>
    <col min="20" max="20" width="52.140625" style="6" bestFit="1" customWidth="1"/>
    <col min="21" max="21" width="35.28515625" style="6" bestFit="1" customWidth="1"/>
    <col min="22" max="22" width="29.85546875" style="6" bestFit="1" customWidth="1"/>
    <col min="23" max="23" width="29.7109375" style="6" bestFit="1" customWidth="1"/>
    <col min="24" max="24" width="17.7109375" style="6" bestFit="1" customWidth="1"/>
    <col min="25" max="25" width="13.85546875" style="6" bestFit="1" customWidth="1"/>
    <col min="26" max="26" width="14.7109375" style="6" bestFit="1" customWidth="1"/>
    <col min="27" max="27" width="11.28515625" style="6" bestFit="1" customWidth="1"/>
    <col min="28" max="33" width="11.28515625" style="6" customWidth="1"/>
    <col min="34" max="34" width="11.28515625" style="6" bestFit="1" customWidth="1"/>
    <col min="35" max="35" width="16" style="6" bestFit="1" customWidth="1"/>
    <col min="36" max="39" width="18.7109375" style="6" bestFit="1" customWidth="1"/>
    <col min="40" max="40" width="26.7109375" style="6" bestFit="1" customWidth="1"/>
    <col min="41" max="43" width="18.7109375" style="6" bestFit="1" customWidth="1"/>
    <col min="44" max="44" width="22" style="6" bestFit="1" customWidth="1"/>
    <col min="45" max="45" width="21.42578125" style="6" bestFit="1" customWidth="1"/>
    <col min="46" max="46" width="20.7109375" style="6" bestFit="1" customWidth="1"/>
    <col min="47" max="47" width="30.28515625" style="6" bestFit="1" customWidth="1"/>
    <col min="48" max="48" width="27" style="6" bestFit="1" customWidth="1"/>
    <col min="49" max="49" width="21.85546875" style="6" bestFit="1" customWidth="1"/>
    <col min="50" max="50" width="35.7109375" style="6" bestFit="1" customWidth="1"/>
    <col min="51" max="51" width="35.28515625" style="6" bestFit="1" customWidth="1"/>
    <col min="52" max="52" width="27.7109375" style="6" bestFit="1" customWidth="1"/>
    <col min="53" max="53" width="27.140625" style="6" bestFit="1" customWidth="1"/>
    <col min="54" max="54" width="24.7109375" style="6" bestFit="1" customWidth="1"/>
    <col min="55" max="55" width="24.28515625" style="6" bestFit="1" customWidth="1"/>
    <col min="56" max="56" width="22.5703125" style="6" bestFit="1" customWidth="1"/>
    <col min="57" max="57" width="18.7109375" style="6" bestFit="1" customWidth="1"/>
    <col min="58" max="58" width="9.7109375" style="6" bestFit="1" customWidth="1"/>
    <col min="59" max="59" width="15.140625" style="6" bestFit="1" customWidth="1"/>
    <col min="60" max="60" width="27.42578125" style="6" bestFit="1" customWidth="1"/>
    <col min="61" max="61" width="80.85546875" style="6" bestFit="1" customWidth="1"/>
    <col min="62" max="82" width="19.28515625" style="6" customWidth="1"/>
    <col min="83" max="16384" width="8.85546875" style="6"/>
  </cols>
  <sheetData>
    <row r="1" spans="1:31" s="14" customFormat="1" ht="55.9" customHeight="1">
      <c r="A1" s="14" t="s">
        <v>57</v>
      </c>
      <c r="B1" s="14" t="s">
        <v>58</v>
      </c>
      <c r="C1" s="14" t="s">
        <v>59</v>
      </c>
      <c r="D1" s="14" t="s">
        <v>60</v>
      </c>
      <c r="E1" s="14" t="s">
        <v>140</v>
      </c>
      <c r="F1" s="14" t="s">
        <v>141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65</v>
      </c>
      <c r="L1" s="14" t="s">
        <v>66</v>
      </c>
      <c r="M1" s="14" t="s">
        <v>67</v>
      </c>
      <c r="N1" s="14" t="s">
        <v>68</v>
      </c>
      <c r="O1" s="14" t="s">
        <v>69</v>
      </c>
      <c r="P1" s="14" t="s">
        <v>70</v>
      </c>
      <c r="Q1" s="14" t="s">
        <v>71</v>
      </c>
      <c r="R1" s="1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14" t="s">
        <v>77</v>
      </c>
      <c r="X1" s="14" t="s">
        <v>78</v>
      </c>
      <c r="Y1" s="14" t="s">
        <v>79</v>
      </c>
      <c r="Z1" s="14" t="s">
        <v>80</v>
      </c>
      <c r="AA1" s="14" t="s">
        <v>81</v>
      </c>
      <c r="AB1" s="14" t="s">
        <v>82</v>
      </c>
      <c r="AC1" s="14" t="s">
        <v>83</v>
      </c>
      <c r="AD1" s="14" t="s">
        <v>148</v>
      </c>
      <c r="AE1" s="14" t="s">
        <v>149</v>
      </c>
    </row>
    <row r="2" spans="1:31" ht="15">
      <c r="A2" s="4">
        <v>1</v>
      </c>
      <c r="B2" s="4" t="s">
        <v>150</v>
      </c>
      <c r="C2" s="7" t="s">
        <v>21</v>
      </c>
      <c r="D2" s="5">
        <v>45124</v>
      </c>
      <c r="E2" s="3" t="s">
        <v>84</v>
      </c>
      <c r="F2" s="4" t="s">
        <v>151</v>
      </c>
      <c r="G2" s="4" t="s">
        <v>152</v>
      </c>
      <c r="H2" s="4">
        <v>26.97</v>
      </c>
      <c r="I2" s="4">
        <v>17900</v>
      </c>
      <c r="J2" s="4" t="s">
        <v>86</v>
      </c>
      <c r="K2" s="4">
        <v>1</v>
      </c>
      <c r="L2" s="4">
        <v>41.120999999999995</v>
      </c>
      <c r="M2" s="4">
        <v>768000</v>
      </c>
      <c r="N2" s="4">
        <v>228975.3</v>
      </c>
      <c r="O2" s="4">
        <v>127107.46333989932</v>
      </c>
      <c r="P2" s="4">
        <v>32793.463193988478</v>
      </c>
      <c r="Q2" s="4">
        <v>121598.16152330927</v>
      </c>
      <c r="R2" s="4">
        <v>5968.410301305903</v>
      </c>
      <c r="S2" s="4">
        <v>0</v>
      </c>
      <c r="T2" s="4">
        <v>183971.32851827535</v>
      </c>
      <c r="U2" s="4">
        <v>0</v>
      </c>
      <c r="V2" s="4">
        <v>1468414.1268767784</v>
      </c>
      <c r="W2" s="4">
        <v>1141.58</v>
      </c>
      <c r="X2" s="4">
        <v>1880.86</v>
      </c>
      <c r="Y2" s="4">
        <v>1</v>
      </c>
      <c r="Z2" s="4">
        <v>1880.86</v>
      </c>
      <c r="AA2" s="3"/>
      <c r="AB2" s="3"/>
      <c r="AC2" s="3">
        <v>40080</v>
      </c>
      <c r="AD2" s="3"/>
      <c r="AE2" s="3"/>
    </row>
    <row r="3" spans="1:31" ht="15">
      <c r="A3" s="4">
        <v>2</v>
      </c>
      <c r="B3" s="4" t="s">
        <v>150</v>
      </c>
      <c r="C3" s="7" t="s">
        <v>21</v>
      </c>
      <c r="D3" s="5">
        <v>45124</v>
      </c>
      <c r="E3" s="3" t="s">
        <v>84</v>
      </c>
      <c r="F3" s="4" t="s">
        <v>153</v>
      </c>
      <c r="G3" s="4" t="s">
        <v>152</v>
      </c>
      <c r="H3" s="4">
        <v>1.81</v>
      </c>
      <c r="I3" s="4">
        <v>324.38</v>
      </c>
      <c r="J3" s="4" t="s">
        <v>86</v>
      </c>
      <c r="K3" s="4">
        <v>1</v>
      </c>
      <c r="L3" s="4">
        <v>41.120999999999995</v>
      </c>
      <c r="M3" s="4">
        <v>232000</v>
      </c>
      <c r="N3" s="4">
        <v>15366.9</v>
      </c>
      <c r="O3" s="4">
        <v>8530.3859341942079</v>
      </c>
      <c r="P3" s="4">
        <v>2200.8219644463902</v>
      </c>
      <c r="Q3" s="4">
        <v>8160.6478441672143</v>
      </c>
      <c r="R3" s="4">
        <v>400.54959752924299</v>
      </c>
      <c r="S3" s="4">
        <v>0</v>
      </c>
      <c r="T3" s="4">
        <v>12346.611220544248</v>
      </c>
      <c r="U3" s="4">
        <v>0</v>
      </c>
      <c r="V3" s="4">
        <v>279005.91656088131</v>
      </c>
      <c r="W3" s="4">
        <v>216.91</v>
      </c>
      <c r="X3" s="4">
        <v>1880.86</v>
      </c>
      <c r="Y3" s="4">
        <v>0</v>
      </c>
      <c r="Z3" s="4">
        <v>0</v>
      </c>
      <c r="AA3" s="3"/>
      <c r="AB3" s="3"/>
      <c r="AC3" s="3">
        <v>34485.119999999995</v>
      </c>
      <c r="AD3" s="3"/>
      <c r="AE3" s="3"/>
    </row>
    <row r="4" spans="1:31" ht="15">
      <c r="A4" s="4">
        <v>3</v>
      </c>
      <c r="B4" s="4" t="s">
        <v>150</v>
      </c>
      <c r="C4" s="7" t="s">
        <v>21</v>
      </c>
      <c r="D4" s="5">
        <v>45124</v>
      </c>
      <c r="E4" s="3" t="s">
        <v>84</v>
      </c>
      <c r="F4" s="4" t="s">
        <v>154</v>
      </c>
      <c r="G4" s="4" t="s">
        <v>96</v>
      </c>
      <c r="H4" s="4">
        <v>5.85</v>
      </c>
      <c r="I4" s="4">
        <v>2415</v>
      </c>
      <c r="J4" s="4" t="s">
        <v>86</v>
      </c>
      <c r="K4" s="4">
        <v>1</v>
      </c>
      <c r="L4" s="4">
        <v>41.120999999999995</v>
      </c>
      <c r="M4" s="4">
        <v>520000</v>
      </c>
      <c r="N4" s="4">
        <v>49666.5</v>
      </c>
      <c r="O4" s="4">
        <v>27570.584372948131</v>
      </c>
      <c r="P4" s="4">
        <v>7113.1538629897141</v>
      </c>
      <c r="Q4" s="4">
        <v>26375.574523965861</v>
      </c>
      <c r="R4" s="4">
        <v>1294.5940030641279</v>
      </c>
      <c r="S4" s="4">
        <v>0</v>
      </c>
      <c r="T4" s="4">
        <v>39904.793171372294</v>
      </c>
      <c r="U4" s="4">
        <v>0</v>
      </c>
      <c r="V4" s="4">
        <v>671925.19993434008</v>
      </c>
      <c r="W4" s="4">
        <v>522.37</v>
      </c>
      <c r="X4" s="4">
        <v>1880.86</v>
      </c>
      <c r="Y4" s="4">
        <v>0</v>
      </c>
      <c r="Z4" s="4">
        <v>0</v>
      </c>
      <c r="AA4" s="3"/>
      <c r="AB4" s="3"/>
      <c r="AC4" s="3">
        <v>8890</v>
      </c>
      <c r="AD4" s="3"/>
      <c r="AE4" s="3"/>
    </row>
    <row r="5" spans="1:31" ht="15">
      <c r="A5" s="4">
        <v>4</v>
      </c>
      <c r="B5" s="4" t="s">
        <v>150</v>
      </c>
      <c r="C5" s="7" t="s">
        <v>21</v>
      </c>
      <c r="D5" s="5">
        <v>45124</v>
      </c>
      <c r="E5" s="3" t="s">
        <v>84</v>
      </c>
      <c r="F5" s="4" t="s">
        <v>155</v>
      </c>
      <c r="G5" s="4" t="s">
        <v>92</v>
      </c>
      <c r="H5" s="4">
        <v>6.4909999999999997</v>
      </c>
      <c r="I5" s="4">
        <v>2270.31</v>
      </c>
      <c r="J5" s="4" t="s">
        <v>93</v>
      </c>
      <c r="K5" s="4">
        <v>0</v>
      </c>
      <c r="L5" s="4">
        <v>41.120999999999995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1880.86</v>
      </c>
      <c r="Y5" s="4">
        <v>0</v>
      </c>
      <c r="Z5" s="4">
        <v>0</v>
      </c>
      <c r="AA5" s="3"/>
      <c r="AB5" s="3"/>
      <c r="AC5" s="3">
        <v>20160</v>
      </c>
      <c r="AD5" s="3"/>
      <c r="AE5" s="3"/>
    </row>
    <row r="6" spans="1:31" ht="15">
      <c r="A6" s="4">
        <v>5</v>
      </c>
      <c r="B6" s="4" t="s">
        <v>156</v>
      </c>
      <c r="C6" s="7" t="s">
        <v>21</v>
      </c>
      <c r="D6" s="5">
        <v>45124</v>
      </c>
      <c r="E6" s="3" t="s">
        <v>84</v>
      </c>
      <c r="F6" s="4" t="s">
        <v>157</v>
      </c>
      <c r="G6" s="4" t="s">
        <v>152</v>
      </c>
      <c r="H6" s="4">
        <v>7.9359999999999999</v>
      </c>
      <c r="I6" s="4">
        <v>2840</v>
      </c>
      <c r="J6" s="4" t="s">
        <v>86</v>
      </c>
      <c r="K6" s="4">
        <v>1</v>
      </c>
      <c r="L6" s="4">
        <v>64.121000000000009</v>
      </c>
      <c r="M6" s="4">
        <v>332000</v>
      </c>
      <c r="N6" s="4">
        <v>67376.639999999999</v>
      </c>
      <c r="O6" s="4">
        <v>23985.851749036978</v>
      </c>
      <c r="P6" s="4">
        <v>6188.3002448495799</v>
      </c>
      <c r="Q6" s="4">
        <v>22946.217307902243</v>
      </c>
      <c r="R6" s="4">
        <v>1126.2706445626236</v>
      </c>
      <c r="S6" s="4">
        <v>0</v>
      </c>
      <c r="T6" s="4">
        <v>34716.364373606142</v>
      </c>
      <c r="U6" s="4">
        <v>0</v>
      </c>
      <c r="V6" s="4">
        <v>488339.64431995759</v>
      </c>
      <c r="W6" s="4">
        <v>379.65</v>
      </c>
      <c r="X6" s="4">
        <v>2433.1</v>
      </c>
      <c r="Y6" s="4">
        <v>1</v>
      </c>
      <c r="Z6" s="4">
        <v>2433.1</v>
      </c>
      <c r="AA6" s="3"/>
      <c r="AB6" s="3"/>
      <c r="AC6" s="3">
        <v>17111.04</v>
      </c>
      <c r="AD6" s="3"/>
      <c r="AE6" s="3"/>
    </row>
    <row r="7" spans="1:31" ht="15">
      <c r="A7" s="4">
        <v>6</v>
      </c>
      <c r="B7" s="4" t="s">
        <v>156</v>
      </c>
      <c r="C7" s="7" t="s">
        <v>21</v>
      </c>
      <c r="D7" s="5">
        <v>45124</v>
      </c>
      <c r="E7" s="3" t="s">
        <v>84</v>
      </c>
      <c r="F7" s="4" t="s">
        <v>158</v>
      </c>
      <c r="G7" s="4" t="s">
        <v>152</v>
      </c>
      <c r="H7" s="4">
        <v>7.12</v>
      </c>
      <c r="I7" s="4">
        <v>1186</v>
      </c>
      <c r="J7" s="4" t="s">
        <v>86</v>
      </c>
      <c r="K7" s="4">
        <v>1</v>
      </c>
      <c r="L7" s="4">
        <v>64.121000000000009</v>
      </c>
      <c r="M7" s="4">
        <v>332000</v>
      </c>
      <c r="N7" s="4">
        <v>60448.800000000003</v>
      </c>
      <c r="O7" s="4">
        <v>21519.564573228738</v>
      </c>
      <c r="P7" s="4">
        <v>5552.0032438670632</v>
      </c>
      <c r="Q7" s="4">
        <v>20586.828028259071</v>
      </c>
      <c r="R7" s="4">
        <v>1010.4645903838054</v>
      </c>
      <c r="S7" s="4">
        <v>0</v>
      </c>
      <c r="T7" s="4">
        <v>31146.738198094223</v>
      </c>
      <c r="U7" s="4">
        <v>0</v>
      </c>
      <c r="V7" s="4">
        <v>472264.39863383299</v>
      </c>
      <c r="W7" s="4">
        <v>367.15</v>
      </c>
      <c r="X7" s="4">
        <v>2433.1</v>
      </c>
      <c r="Y7" s="4">
        <v>0</v>
      </c>
      <c r="Z7" s="4">
        <v>0</v>
      </c>
      <c r="AA7" s="3"/>
      <c r="AB7" s="3"/>
      <c r="AC7" s="3">
        <v>7579.2</v>
      </c>
      <c r="AD7" s="3"/>
      <c r="AE7" s="3"/>
    </row>
    <row r="8" spans="1:31" ht="15">
      <c r="A8" s="4">
        <v>7</v>
      </c>
      <c r="B8" s="4" t="s">
        <v>156</v>
      </c>
      <c r="C8" s="7" t="s">
        <v>21</v>
      </c>
      <c r="D8" s="5">
        <v>45124</v>
      </c>
      <c r="E8" s="3" t="s">
        <v>84</v>
      </c>
      <c r="F8" s="4" t="s">
        <v>159</v>
      </c>
      <c r="G8" s="4" t="s">
        <v>90</v>
      </c>
      <c r="H8" s="4">
        <v>23.359000000000002</v>
      </c>
      <c r="I8" s="4">
        <v>4979</v>
      </c>
      <c r="J8" s="4" t="s">
        <v>86</v>
      </c>
      <c r="K8" s="4">
        <v>1</v>
      </c>
      <c r="L8" s="4">
        <v>64.121000000000009</v>
      </c>
      <c r="M8" s="4">
        <v>635000</v>
      </c>
      <c r="N8" s="4">
        <v>198317.91</v>
      </c>
      <c r="O8" s="4">
        <v>70600.492818265455</v>
      </c>
      <c r="P8" s="4">
        <v>18214.781428861057</v>
      </c>
      <c r="Q8" s="4">
        <v>67540.409538216802</v>
      </c>
      <c r="R8" s="4">
        <v>3315.0902200527125</v>
      </c>
      <c r="S8" s="4">
        <v>0</v>
      </c>
      <c r="T8" s="4">
        <v>102184.92381591052</v>
      </c>
      <c r="U8" s="4">
        <v>0</v>
      </c>
      <c r="V8" s="4">
        <v>1095173.6078213069</v>
      </c>
      <c r="W8" s="4">
        <v>851.41</v>
      </c>
      <c r="X8" s="4">
        <v>2433.1</v>
      </c>
      <c r="Y8" s="4">
        <v>0</v>
      </c>
      <c r="Z8" s="4">
        <v>0</v>
      </c>
      <c r="AA8" s="3"/>
      <c r="AB8" s="3"/>
      <c r="AC8" s="3">
        <v>23184</v>
      </c>
      <c r="AD8" s="3"/>
      <c r="AE8" s="3"/>
    </row>
    <row r="9" spans="1:31" ht="15">
      <c r="A9" s="4">
        <v>8</v>
      </c>
      <c r="B9" s="4" t="s">
        <v>156</v>
      </c>
      <c r="C9" s="7" t="s">
        <v>21</v>
      </c>
      <c r="D9" s="5">
        <v>45124</v>
      </c>
      <c r="E9" s="3" t="s">
        <v>84</v>
      </c>
      <c r="F9" s="4" t="s">
        <v>160</v>
      </c>
      <c r="G9" s="4" t="s">
        <v>94</v>
      </c>
      <c r="H9" s="4">
        <v>14.747</v>
      </c>
      <c r="I9" s="4">
        <v>3012</v>
      </c>
      <c r="J9" s="4" t="s">
        <v>86</v>
      </c>
      <c r="K9" s="4">
        <v>1</v>
      </c>
      <c r="L9" s="4">
        <v>64.121000000000009</v>
      </c>
      <c r="M9" s="4">
        <v>216500</v>
      </c>
      <c r="N9" s="4">
        <v>125202.03</v>
      </c>
      <c r="O9" s="4">
        <v>44571.491399073617</v>
      </c>
      <c r="P9" s="4">
        <v>11499.352786138705</v>
      </c>
      <c r="Q9" s="4">
        <v>42639.600131002313</v>
      </c>
      <c r="R9" s="4">
        <v>2092.8822070772444</v>
      </c>
      <c r="S9" s="4">
        <v>0</v>
      </c>
      <c r="T9" s="4">
        <v>64511.369130238134</v>
      </c>
      <c r="U9" s="4">
        <v>0</v>
      </c>
      <c r="V9" s="4">
        <v>507016.7256535301</v>
      </c>
      <c r="W9" s="4">
        <v>394.17</v>
      </c>
      <c r="X9" s="4">
        <v>2433.1</v>
      </c>
      <c r="Y9" s="4">
        <v>0</v>
      </c>
      <c r="Z9" s="4">
        <v>0</v>
      </c>
      <c r="AA9" s="3"/>
      <c r="AB9" s="3"/>
      <c r="AC9" s="3">
        <v>18720</v>
      </c>
      <c r="AD9" s="3"/>
      <c r="AE9" s="3"/>
    </row>
    <row r="10" spans="1:31" ht="15">
      <c r="A10" s="4">
        <v>9</v>
      </c>
      <c r="B10" s="4" t="s">
        <v>156</v>
      </c>
      <c r="C10" s="7" t="s">
        <v>21</v>
      </c>
      <c r="D10" s="5">
        <v>45124</v>
      </c>
      <c r="E10" s="3" t="s">
        <v>84</v>
      </c>
      <c r="F10" s="4" t="s">
        <v>161</v>
      </c>
      <c r="G10" s="4" t="s">
        <v>87</v>
      </c>
      <c r="H10" s="4">
        <v>2.4350000000000001</v>
      </c>
      <c r="I10" s="4">
        <v>549</v>
      </c>
      <c r="J10" s="4" t="s">
        <v>86</v>
      </c>
      <c r="K10" s="4">
        <v>1</v>
      </c>
      <c r="L10" s="4">
        <v>64.121000000000009</v>
      </c>
      <c r="M10" s="4">
        <v>119000</v>
      </c>
      <c r="N10" s="4">
        <v>20673.150000000001</v>
      </c>
      <c r="O10" s="4">
        <v>7359.570187614042</v>
      </c>
      <c r="P10" s="4">
        <v>1898.7539183730755</v>
      </c>
      <c r="Q10" s="4">
        <v>7040.579529327365</v>
      </c>
      <c r="R10" s="4">
        <v>345.57321314389981</v>
      </c>
      <c r="S10" s="4">
        <v>0</v>
      </c>
      <c r="T10" s="4">
        <v>10652.009482072956</v>
      </c>
      <c r="U10" s="4">
        <v>0</v>
      </c>
      <c r="V10" s="4">
        <v>166969.63633053133</v>
      </c>
      <c r="W10" s="4">
        <v>129.81</v>
      </c>
      <c r="X10" s="4">
        <v>2433.1</v>
      </c>
      <c r="Y10" s="4">
        <v>0</v>
      </c>
      <c r="Z10" s="4">
        <v>0</v>
      </c>
      <c r="AA10" s="3"/>
      <c r="AB10" s="3"/>
      <c r="AC10" s="3">
        <v>7520</v>
      </c>
      <c r="AD10" s="3"/>
      <c r="AE10" s="3"/>
    </row>
    <row r="11" spans="1:31" ht="15">
      <c r="A11" s="4">
        <v>10</v>
      </c>
      <c r="B11" s="4" t="s">
        <v>156</v>
      </c>
      <c r="C11" s="7" t="s">
        <v>21</v>
      </c>
      <c r="D11" s="5">
        <v>45124</v>
      </c>
      <c r="E11" s="3" t="s">
        <v>84</v>
      </c>
      <c r="F11" s="4" t="s">
        <v>162</v>
      </c>
      <c r="G11" s="4" t="s">
        <v>87</v>
      </c>
      <c r="H11" s="4">
        <v>8.5239999999999991</v>
      </c>
      <c r="I11" s="4">
        <v>540</v>
      </c>
      <c r="J11" s="4" t="s">
        <v>86</v>
      </c>
      <c r="K11" s="4">
        <v>1</v>
      </c>
      <c r="L11" s="4">
        <v>64.121000000000009</v>
      </c>
      <c r="M11" s="4">
        <v>232000</v>
      </c>
      <c r="N11" s="4">
        <v>72368.759999999995</v>
      </c>
      <c r="O11" s="4">
        <v>25763.029272781139</v>
      </c>
      <c r="P11" s="4">
        <v>6646.8083779105109</v>
      </c>
      <c r="Q11" s="4">
        <v>24646.365465292176</v>
      </c>
      <c r="R11" s="4">
        <v>1209.719124779713</v>
      </c>
      <c r="S11" s="4">
        <v>0</v>
      </c>
      <c r="T11" s="4">
        <v>37288.59500007797</v>
      </c>
      <c r="U11" s="4">
        <v>0</v>
      </c>
      <c r="V11" s="4">
        <v>399923.27724084153</v>
      </c>
      <c r="W11" s="4">
        <v>310.91000000000003</v>
      </c>
      <c r="X11" s="4">
        <v>2433.1</v>
      </c>
      <c r="Y11" s="4">
        <v>0</v>
      </c>
      <c r="Z11" s="4">
        <v>0</v>
      </c>
      <c r="AA11" s="3"/>
      <c r="AB11" s="3"/>
      <c r="AC11" s="3">
        <v>7840</v>
      </c>
      <c r="AD11" s="3"/>
      <c r="AE11" s="3"/>
    </row>
    <row r="12" spans="1:31" ht="15">
      <c r="A12" s="4">
        <v>11</v>
      </c>
      <c r="B12" s="4" t="s">
        <v>163</v>
      </c>
      <c r="C12" s="7" t="s">
        <v>21</v>
      </c>
      <c r="D12" s="5">
        <v>45124</v>
      </c>
      <c r="E12" s="3" t="s">
        <v>84</v>
      </c>
      <c r="F12" s="4" t="s">
        <v>164</v>
      </c>
      <c r="G12" s="4" t="s">
        <v>152</v>
      </c>
      <c r="H12" s="4">
        <v>16.675000000000001</v>
      </c>
      <c r="I12" s="4">
        <v>6875</v>
      </c>
      <c r="J12" s="4" t="s">
        <v>86</v>
      </c>
      <c r="K12" s="4">
        <v>1</v>
      </c>
      <c r="L12" s="4">
        <v>61.750000000000007</v>
      </c>
      <c r="M12" s="4">
        <v>376000</v>
      </c>
      <c r="N12" s="4">
        <v>141570.75</v>
      </c>
      <c r="O12" s="4">
        <v>52333.846153846149</v>
      </c>
      <c r="P12" s="4">
        <v>13502.024291497974</v>
      </c>
      <c r="Q12" s="4">
        <v>50065.506072874487</v>
      </c>
      <c r="R12" s="4">
        <v>2457.3684210526312</v>
      </c>
      <c r="S12" s="4">
        <v>0</v>
      </c>
      <c r="T12" s="4">
        <v>75746.356275303639</v>
      </c>
      <c r="U12" s="4">
        <v>0</v>
      </c>
      <c r="V12" s="4">
        <v>711675.85121457488</v>
      </c>
      <c r="W12" s="4">
        <v>553.27</v>
      </c>
      <c r="X12" s="4">
        <v>2101.41</v>
      </c>
      <c r="Y12" s="4">
        <v>1</v>
      </c>
      <c r="Z12" s="4">
        <v>2101.41</v>
      </c>
      <c r="AA12" s="3"/>
      <c r="AB12" s="3"/>
      <c r="AC12" s="3">
        <v>48575.999999999993</v>
      </c>
      <c r="AD12" s="3"/>
      <c r="AE12" s="3"/>
    </row>
    <row r="13" spans="1:31" ht="15">
      <c r="A13" s="4">
        <v>12</v>
      </c>
      <c r="B13" s="4" t="s">
        <v>163</v>
      </c>
      <c r="C13" s="7" t="s">
        <v>21</v>
      </c>
      <c r="D13" s="5">
        <v>45124</v>
      </c>
      <c r="E13" s="3" t="s">
        <v>84</v>
      </c>
      <c r="F13" s="4" t="s">
        <v>165</v>
      </c>
      <c r="G13" s="4" t="s">
        <v>152</v>
      </c>
      <c r="H13" s="4">
        <v>16.864000000000001</v>
      </c>
      <c r="I13" s="4">
        <v>6035</v>
      </c>
      <c r="J13" s="4" t="s">
        <v>86</v>
      </c>
      <c r="K13" s="4">
        <v>1</v>
      </c>
      <c r="L13" s="4">
        <v>61.750000000000007</v>
      </c>
      <c r="M13" s="4">
        <v>376000</v>
      </c>
      <c r="N13" s="4">
        <v>143175.36000000002</v>
      </c>
      <c r="O13" s="4">
        <v>52927.015384615384</v>
      </c>
      <c r="P13" s="4">
        <v>13655.060728744938</v>
      </c>
      <c r="Q13" s="4">
        <v>50632.965182186235</v>
      </c>
      <c r="R13" s="4">
        <v>2485.2210526315789</v>
      </c>
      <c r="S13" s="4">
        <v>0</v>
      </c>
      <c r="T13" s="4">
        <v>76604.890688259111</v>
      </c>
      <c r="U13" s="4">
        <v>0</v>
      </c>
      <c r="V13" s="4">
        <v>715480.51303643733</v>
      </c>
      <c r="W13" s="4">
        <v>556.23</v>
      </c>
      <c r="X13" s="4">
        <v>2101.41</v>
      </c>
      <c r="Y13" s="4">
        <v>0</v>
      </c>
      <c r="Z13" s="4">
        <v>0</v>
      </c>
      <c r="AA13" s="3"/>
      <c r="AB13" s="3"/>
      <c r="AC13" s="3">
        <v>36360.959999999999</v>
      </c>
      <c r="AD13" s="3"/>
      <c r="AE13" s="3"/>
    </row>
    <row r="14" spans="1:31" ht="15">
      <c r="A14" s="4">
        <v>13</v>
      </c>
      <c r="B14" s="4" t="s">
        <v>163</v>
      </c>
      <c r="C14" s="7" t="s">
        <v>21</v>
      </c>
      <c r="D14" s="5">
        <v>45124</v>
      </c>
      <c r="E14" s="3" t="s">
        <v>84</v>
      </c>
      <c r="F14" s="4" t="s">
        <v>166</v>
      </c>
      <c r="G14" s="4" t="s">
        <v>152</v>
      </c>
      <c r="H14" s="4">
        <v>16.864000000000001</v>
      </c>
      <c r="I14" s="4">
        <v>6035</v>
      </c>
      <c r="J14" s="4" t="s">
        <v>86</v>
      </c>
      <c r="K14" s="4">
        <v>1</v>
      </c>
      <c r="L14" s="4">
        <v>61.750000000000007</v>
      </c>
      <c r="M14" s="4">
        <v>376000</v>
      </c>
      <c r="N14" s="4">
        <v>143175.36000000002</v>
      </c>
      <c r="O14" s="4">
        <v>52927.015384615384</v>
      </c>
      <c r="P14" s="4">
        <v>13655.060728744938</v>
      </c>
      <c r="Q14" s="4">
        <v>50632.965182186235</v>
      </c>
      <c r="R14" s="4">
        <v>2485.2210526315789</v>
      </c>
      <c r="S14" s="4">
        <v>0</v>
      </c>
      <c r="T14" s="4">
        <v>76604.890688259111</v>
      </c>
      <c r="U14" s="4">
        <v>0</v>
      </c>
      <c r="V14" s="4">
        <v>715480.51303643733</v>
      </c>
      <c r="W14" s="4">
        <v>556.23</v>
      </c>
      <c r="X14" s="4">
        <v>2101.41</v>
      </c>
      <c r="Y14" s="4">
        <v>0</v>
      </c>
      <c r="Z14" s="4">
        <v>0</v>
      </c>
      <c r="AA14" s="3"/>
      <c r="AB14" s="3"/>
      <c r="AC14" s="3">
        <v>31244.639999999999</v>
      </c>
      <c r="AD14" s="3"/>
      <c r="AE14" s="3"/>
    </row>
    <row r="15" spans="1:31" ht="15">
      <c r="A15" s="4">
        <v>14</v>
      </c>
      <c r="B15" s="4" t="s">
        <v>163</v>
      </c>
      <c r="C15" s="7" t="s">
        <v>21</v>
      </c>
      <c r="D15" s="5">
        <v>45124</v>
      </c>
      <c r="E15" s="3" t="s">
        <v>84</v>
      </c>
      <c r="F15" s="4" t="s">
        <v>167</v>
      </c>
      <c r="G15" s="4" t="s">
        <v>152</v>
      </c>
      <c r="H15" s="4">
        <v>11.347</v>
      </c>
      <c r="I15" s="4">
        <v>4658</v>
      </c>
      <c r="J15" s="4" t="s">
        <v>86</v>
      </c>
      <c r="K15" s="4">
        <v>1</v>
      </c>
      <c r="L15" s="4">
        <v>61.750000000000007</v>
      </c>
      <c r="M15" s="4">
        <v>332000</v>
      </c>
      <c r="N15" s="4">
        <v>96336.03</v>
      </c>
      <c r="O15" s="4">
        <v>35612.123076923068</v>
      </c>
      <c r="P15" s="4">
        <v>9187.8542510121442</v>
      </c>
      <c r="Q15" s="4">
        <v>34068.563562753028</v>
      </c>
      <c r="R15" s="4">
        <v>1672.1894736842105</v>
      </c>
      <c r="S15" s="4">
        <v>0</v>
      </c>
      <c r="T15" s="4">
        <v>51543.862348178125</v>
      </c>
      <c r="U15" s="4">
        <v>0</v>
      </c>
      <c r="V15" s="4">
        <v>560420.62271255068</v>
      </c>
      <c r="W15" s="4">
        <v>435.68</v>
      </c>
      <c r="X15" s="4">
        <v>2101.41</v>
      </c>
      <c r="Y15" s="4">
        <v>0</v>
      </c>
      <c r="Z15" s="4">
        <v>0</v>
      </c>
      <c r="AA15" s="3"/>
      <c r="AB15" s="3"/>
      <c r="AC15" s="3">
        <v>33594.720000000001</v>
      </c>
      <c r="AD15" s="3"/>
      <c r="AE15" s="3"/>
    </row>
    <row r="16" spans="1:31" ht="15">
      <c r="A16" s="4">
        <v>15</v>
      </c>
      <c r="B16" s="4" t="s">
        <v>168</v>
      </c>
      <c r="C16" s="7" t="s">
        <v>21</v>
      </c>
      <c r="D16" s="5">
        <v>45124</v>
      </c>
      <c r="E16" s="3" t="s">
        <v>84</v>
      </c>
      <c r="F16" s="4" t="s">
        <v>169</v>
      </c>
      <c r="G16" s="4" t="s">
        <v>152</v>
      </c>
      <c r="H16" s="4">
        <v>28.48</v>
      </c>
      <c r="I16" s="4">
        <v>4744</v>
      </c>
      <c r="J16" s="4" t="s">
        <v>86</v>
      </c>
      <c r="K16" s="4">
        <v>1</v>
      </c>
      <c r="L16" s="4">
        <v>59.96</v>
      </c>
      <c r="M16" s="4">
        <v>392000</v>
      </c>
      <c r="N16" s="4">
        <v>241795.20000000001</v>
      </c>
      <c r="O16" s="4">
        <v>92051.767845230148</v>
      </c>
      <c r="P16" s="4">
        <v>23749.166110740494</v>
      </c>
      <c r="Q16" s="4">
        <v>88061.907938625751</v>
      </c>
      <c r="R16" s="4">
        <v>4322.3482321547699</v>
      </c>
      <c r="S16" s="4">
        <v>0</v>
      </c>
      <c r="T16" s="4">
        <v>133232.82188125417</v>
      </c>
      <c r="U16" s="4">
        <v>0</v>
      </c>
      <c r="V16" s="4">
        <v>975213.21200800547</v>
      </c>
      <c r="W16" s="4">
        <v>758.15</v>
      </c>
      <c r="X16" s="4">
        <v>1539.02</v>
      </c>
      <c r="Y16" s="4">
        <v>1</v>
      </c>
      <c r="Z16" s="4">
        <v>1539.02</v>
      </c>
      <c r="AA16" s="3"/>
      <c r="AB16" s="3"/>
      <c r="AC16" s="3">
        <v>30316.799999999999</v>
      </c>
      <c r="AD16" s="3"/>
      <c r="AE16" s="3"/>
    </row>
    <row r="17" spans="1:31" ht="15">
      <c r="A17" s="4">
        <v>16</v>
      </c>
      <c r="B17" s="4" t="s">
        <v>168</v>
      </c>
      <c r="C17" s="7" t="s">
        <v>21</v>
      </c>
      <c r="D17" s="5">
        <v>45124</v>
      </c>
      <c r="E17" s="3" t="s">
        <v>84</v>
      </c>
      <c r="F17" s="4" t="s">
        <v>170</v>
      </c>
      <c r="G17" s="4" t="s">
        <v>152</v>
      </c>
      <c r="H17" s="4">
        <v>29.907</v>
      </c>
      <c r="I17" s="4">
        <v>4555.82</v>
      </c>
      <c r="J17" s="4" t="s">
        <v>86</v>
      </c>
      <c r="K17" s="4">
        <v>1</v>
      </c>
      <c r="L17" s="4">
        <v>59.96</v>
      </c>
      <c r="M17" s="4">
        <v>392000</v>
      </c>
      <c r="N17" s="4">
        <v>253910.43</v>
      </c>
      <c r="O17" s="4">
        <v>96664.052701801207</v>
      </c>
      <c r="P17" s="4">
        <v>24939.126084056039</v>
      </c>
      <c r="Q17" s="4">
        <v>92474.279519679782</v>
      </c>
      <c r="R17" s="4">
        <v>4538.9209472981984</v>
      </c>
      <c r="S17" s="4">
        <v>0</v>
      </c>
      <c r="T17" s="4">
        <v>139908.49733155436</v>
      </c>
      <c r="U17" s="4">
        <v>0</v>
      </c>
      <c r="V17" s="4">
        <v>1004435.3065843894</v>
      </c>
      <c r="W17" s="4">
        <v>780.87</v>
      </c>
      <c r="X17" s="4">
        <v>1539.02</v>
      </c>
      <c r="Y17" s="4">
        <v>0</v>
      </c>
      <c r="Z17" s="4">
        <v>0</v>
      </c>
      <c r="AA17" s="3"/>
      <c r="AB17" s="3"/>
      <c r="AC17" s="3">
        <v>56558.879999999997</v>
      </c>
      <c r="AD17" s="3"/>
      <c r="AE17" s="3"/>
    </row>
    <row r="18" spans="1:31" ht="15">
      <c r="A18" s="4">
        <v>17</v>
      </c>
      <c r="B18" s="4" t="s">
        <v>168</v>
      </c>
      <c r="C18" s="7" t="s">
        <v>21</v>
      </c>
      <c r="D18" s="5">
        <v>45124</v>
      </c>
      <c r="E18" s="3" t="s">
        <v>84</v>
      </c>
      <c r="F18" s="4" t="s">
        <v>171</v>
      </c>
      <c r="G18" s="4" t="s">
        <v>172</v>
      </c>
      <c r="H18" s="4">
        <v>1.573</v>
      </c>
      <c r="I18" s="4">
        <v>1020</v>
      </c>
      <c r="J18" s="4" t="s">
        <v>93</v>
      </c>
      <c r="K18" s="4">
        <v>0</v>
      </c>
      <c r="L18" s="4">
        <v>59.96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1539.02</v>
      </c>
      <c r="Y18" s="4">
        <v>0</v>
      </c>
      <c r="Z18" s="4">
        <v>0</v>
      </c>
      <c r="AA18" s="3"/>
      <c r="AB18" s="3"/>
      <c r="AC18" s="3">
        <v>3580</v>
      </c>
      <c r="AD18" s="3"/>
      <c r="AE18" s="3"/>
    </row>
    <row r="19" spans="1:31" ht="15">
      <c r="A19" s="4">
        <v>18</v>
      </c>
      <c r="B19" s="4" t="s">
        <v>173</v>
      </c>
      <c r="C19" s="7" t="s">
        <v>21</v>
      </c>
      <c r="D19" s="5">
        <v>45124</v>
      </c>
      <c r="E19" s="3" t="s">
        <v>84</v>
      </c>
      <c r="F19" s="4" t="s">
        <v>174</v>
      </c>
      <c r="G19" s="4" t="s">
        <v>152</v>
      </c>
      <c r="H19" s="4">
        <v>54.834000000000003</v>
      </c>
      <c r="I19" s="4">
        <v>7091.1</v>
      </c>
      <c r="J19" s="4" t="s">
        <v>86</v>
      </c>
      <c r="K19" s="4">
        <v>1</v>
      </c>
      <c r="L19" s="4">
        <v>57.206000000000003</v>
      </c>
      <c r="M19" s="4">
        <v>784000</v>
      </c>
      <c r="N19" s="4">
        <v>465540.66</v>
      </c>
      <c r="O19" s="4">
        <v>185764.24151312801</v>
      </c>
      <c r="P19" s="4">
        <v>47926.790896059858</v>
      </c>
      <c r="Q19" s="4">
        <v>177712.54064258994</v>
      </c>
      <c r="R19" s="4">
        <v>8722.6759430828934</v>
      </c>
      <c r="S19" s="4">
        <v>0</v>
      </c>
      <c r="T19" s="4">
        <v>268869.2969268958</v>
      </c>
      <c r="U19" s="4">
        <v>0</v>
      </c>
      <c r="V19" s="4">
        <v>1938536.2059217568</v>
      </c>
      <c r="W19" s="4">
        <v>1507.06</v>
      </c>
      <c r="X19" s="4">
        <v>1726.25</v>
      </c>
      <c r="Y19" s="4">
        <v>1</v>
      </c>
      <c r="Z19" s="4">
        <v>1726.25</v>
      </c>
      <c r="AA19" s="3"/>
      <c r="AB19" s="3"/>
      <c r="AC19" s="3">
        <v>59243.519999999997</v>
      </c>
      <c r="AD19" s="3"/>
      <c r="AE19" s="3"/>
    </row>
    <row r="20" spans="1:31" ht="15">
      <c r="A20" s="4">
        <v>19</v>
      </c>
      <c r="B20" s="4" t="s">
        <v>173</v>
      </c>
      <c r="C20" s="7" t="s">
        <v>21</v>
      </c>
      <c r="D20" s="5">
        <v>45124</v>
      </c>
      <c r="E20" s="3" t="s">
        <v>84</v>
      </c>
      <c r="F20" s="4" t="s">
        <v>175</v>
      </c>
      <c r="G20" s="4" t="s">
        <v>152</v>
      </c>
      <c r="H20" s="4">
        <v>2.3719999999999999</v>
      </c>
      <c r="I20" s="4">
        <v>770</v>
      </c>
      <c r="J20" s="4" t="s">
        <v>86</v>
      </c>
      <c r="K20" s="4">
        <v>1</v>
      </c>
      <c r="L20" s="4">
        <v>57.206000000000003</v>
      </c>
      <c r="M20" s="4">
        <v>232000</v>
      </c>
      <c r="N20" s="4">
        <v>20138.28</v>
      </c>
      <c r="O20" s="4">
        <v>8035.7584868720051</v>
      </c>
      <c r="P20" s="4">
        <v>2073.2091039401457</v>
      </c>
      <c r="Q20" s="4">
        <v>7687.4593574100609</v>
      </c>
      <c r="R20" s="4">
        <v>377.32405691710653</v>
      </c>
      <c r="S20" s="4">
        <v>0</v>
      </c>
      <c r="T20" s="4">
        <v>11630.703073104218</v>
      </c>
      <c r="U20" s="4">
        <v>0</v>
      </c>
      <c r="V20" s="4">
        <v>281942.73407824355</v>
      </c>
      <c r="W20" s="4">
        <v>219.19</v>
      </c>
      <c r="X20" s="4">
        <v>1726.25</v>
      </c>
      <c r="Y20" s="4">
        <v>0</v>
      </c>
      <c r="Z20" s="4">
        <v>0</v>
      </c>
      <c r="AA20" s="3"/>
      <c r="AB20" s="3"/>
      <c r="AC20" s="3">
        <v>10785.6</v>
      </c>
      <c r="AD20" s="3"/>
      <c r="AE20" s="3"/>
    </row>
    <row r="21" spans="1:31" ht="15">
      <c r="A21" s="4">
        <v>20</v>
      </c>
      <c r="B21" s="4" t="s">
        <v>176</v>
      </c>
      <c r="C21" s="7" t="s">
        <v>21</v>
      </c>
      <c r="D21" s="5">
        <v>45124</v>
      </c>
      <c r="E21" s="3" t="s">
        <v>84</v>
      </c>
      <c r="F21" s="4" t="s">
        <v>177</v>
      </c>
      <c r="G21" s="4" t="s">
        <v>152</v>
      </c>
      <c r="H21" s="4">
        <v>44.23</v>
      </c>
      <c r="I21" s="4">
        <v>5507.94</v>
      </c>
      <c r="J21" s="4" t="s">
        <v>86</v>
      </c>
      <c r="K21" s="4">
        <v>1</v>
      </c>
      <c r="L21" s="4">
        <v>64.278999999999996</v>
      </c>
      <c r="M21" s="4">
        <v>724000</v>
      </c>
      <c r="N21" s="4">
        <v>375512.6999999999</v>
      </c>
      <c r="O21" s="4">
        <v>133352.63460850355</v>
      </c>
      <c r="P21" s="4">
        <v>34404.704491357981</v>
      </c>
      <c r="Q21" s="4">
        <v>127572.6442539554</v>
      </c>
      <c r="R21" s="4">
        <v>6261.656217427153</v>
      </c>
      <c r="S21" s="4">
        <v>0</v>
      </c>
      <c r="T21" s="4">
        <v>193010.39219651828</v>
      </c>
      <c r="U21" s="4">
        <v>0</v>
      </c>
      <c r="V21" s="4">
        <v>1594114.7317677627</v>
      </c>
      <c r="W21" s="4">
        <v>1239.3</v>
      </c>
      <c r="X21" s="4">
        <v>2289.14</v>
      </c>
      <c r="Y21" s="4">
        <v>1</v>
      </c>
      <c r="Z21" s="4">
        <v>2289.14</v>
      </c>
      <c r="AA21" s="3"/>
      <c r="AB21" s="3"/>
      <c r="AC21" s="3">
        <v>45805.200000000004</v>
      </c>
      <c r="AD21" s="3"/>
      <c r="AE21" s="3"/>
    </row>
    <row r="22" spans="1:31" ht="15">
      <c r="A22" s="4">
        <v>21</v>
      </c>
      <c r="B22" s="4" t="s">
        <v>176</v>
      </c>
      <c r="C22" s="7" t="s">
        <v>21</v>
      </c>
      <c r="D22" s="5">
        <v>45124</v>
      </c>
      <c r="E22" s="3" t="s">
        <v>84</v>
      </c>
      <c r="F22" s="4" t="s">
        <v>178</v>
      </c>
      <c r="G22" s="4" t="s">
        <v>152</v>
      </c>
      <c r="H22" s="4">
        <v>10.79</v>
      </c>
      <c r="I22" s="4">
        <v>8614</v>
      </c>
      <c r="J22" s="4" t="s">
        <v>86</v>
      </c>
      <c r="K22" s="4">
        <v>1</v>
      </c>
      <c r="L22" s="4">
        <v>64.278999999999996</v>
      </c>
      <c r="M22" s="4">
        <v>392000</v>
      </c>
      <c r="N22" s="4">
        <v>91607.099999999991</v>
      </c>
      <c r="O22" s="4">
        <v>32531.651083557612</v>
      </c>
      <c r="P22" s="4">
        <v>8393.0988347671864</v>
      </c>
      <c r="Q22" s="4">
        <v>31121.610479316725</v>
      </c>
      <c r="R22" s="4">
        <v>1527.5439879276278</v>
      </c>
      <c r="S22" s="4">
        <v>0</v>
      </c>
      <c r="T22" s="4">
        <v>47085.284463043914</v>
      </c>
      <c r="U22" s="4">
        <v>0</v>
      </c>
      <c r="V22" s="4">
        <v>604266.28884861304</v>
      </c>
      <c r="W22" s="4">
        <v>469.77</v>
      </c>
      <c r="X22" s="4">
        <v>2289.14</v>
      </c>
      <c r="Y22" s="4">
        <v>0</v>
      </c>
      <c r="Z22" s="4">
        <v>0</v>
      </c>
      <c r="AA22" s="3"/>
      <c r="AB22" s="3"/>
      <c r="AC22" s="3">
        <v>43092</v>
      </c>
      <c r="AD22" s="3"/>
      <c r="AE22" s="3"/>
    </row>
    <row r="23" spans="1:31" ht="15">
      <c r="A23" s="4">
        <v>22</v>
      </c>
      <c r="B23" s="4" t="s">
        <v>176</v>
      </c>
      <c r="C23" s="7" t="s">
        <v>21</v>
      </c>
      <c r="D23" s="5">
        <v>45124</v>
      </c>
      <c r="E23" s="3" t="s">
        <v>84</v>
      </c>
      <c r="F23" s="4" t="s">
        <v>179</v>
      </c>
      <c r="G23" s="4" t="s">
        <v>152</v>
      </c>
      <c r="H23" s="4">
        <v>8.6319999999999997</v>
      </c>
      <c r="I23" s="4">
        <v>4832</v>
      </c>
      <c r="J23" s="4" t="s">
        <v>86</v>
      </c>
      <c r="K23" s="4">
        <v>1</v>
      </c>
      <c r="L23" s="4">
        <v>64.278999999999996</v>
      </c>
      <c r="M23" s="4">
        <v>332000</v>
      </c>
      <c r="N23" s="4">
        <v>73285.679999999993</v>
      </c>
      <c r="O23" s="4">
        <v>26025.320866846097</v>
      </c>
      <c r="P23" s="4">
        <v>6714.4790678137497</v>
      </c>
      <c r="Q23" s="4">
        <v>24897.288383453382</v>
      </c>
      <c r="R23" s="4">
        <v>1222.0351903421024</v>
      </c>
      <c r="S23" s="4">
        <v>0</v>
      </c>
      <c r="T23" s="4">
        <v>37668.227570435134</v>
      </c>
      <c r="U23" s="4">
        <v>0</v>
      </c>
      <c r="V23" s="4">
        <v>501813.03107889037</v>
      </c>
      <c r="W23" s="4">
        <v>390.12</v>
      </c>
      <c r="X23" s="4">
        <v>2289.14</v>
      </c>
      <c r="Y23" s="4">
        <v>0</v>
      </c>
      <c r="Z23" s="4">
        <v>0</v>
      </c>
      <c r="AA23" s="3"/>
      <c r="AB23" s="3"/>
      <c r="AC23" s="3">
        <v>32281.199999999997</v>
      </c>
      <c r="AD23" s="3"/>
      <c r="AE23" s="3"/>
    </row>
    <row r="24" spans="1:31" ht="15">
      <c r="A24" s="4">
        <v>23</v>
      </c>
      <c r="B24" s="4" t="s">
        <v>176</v>
      </c>
      <c r="C24" s="7" t="s">
        <v>21</v>
      </c>
      <c r="D24" s="5">
        <v>45124</v>
      </c>
      <c r="E24" s="3" t="s">
        <v>84</v>
      </c>
      <c r="F24" s="4" t="s">
        <v>180</v>
      </c>
      <c r="G24" s="4" t="s">
        <v>152</v>
      </c>
      <c r="H24" s="4">
        <v>0.627</v>
      </c>
      <c r="I24" s="4">
        <v>46.5</v>
      </c>
      <c r="J24" s="4" t="s">
        <v>86</v>
      </c>
      <c r="K24" s="4">
        <v>1</v>
      </c>
      <c r="L24" s="4">
        <v>64.278999999999996</v>
      </c>
      <c r="M24" s="4">
        <v>232000</v>
      </c>
      <c r="N24" s="4">
        <v>5323.23</v>
      </c>
      <c r="O24" s="4">
        <v>1890.3934410927368</v>
      </c>
      <c r="P24" s="4">
        <v>487.71760606107762</v>
      </c>
      <c r="Q24" s="4">
        <v>1808.4568832744756</v>
      </c>
      <c r="R24" s="4">
        <v>88.764604303116116</v>
      </c>
      <c r="S24" s="4">
        <v>0</v>
      </c>
      <c r="T24" s="4">
        <v>2736.0957700026452</v>
      </c>
      <c r="U24" s="4">
        <v>0</v>
      </c>
      <c r="V24" s="4">
        <v>244334.65830473407</v>
      </c>
      <c r="W24" s="4">
        <v>189.95</v>
      </c>
      <c r="X24" s="4">
        <v>2289.14</v>
      </c>
      <c r="Y24" s="4">
        <v>0</v>
      </c>
      <c r="Z24" s="4">
        <v>0</v>
      </c>
      <c r="AA24" s="3"/>
      <c r="AB24" s="3"/>
      <c r="AC24" s="3">
        <v>960</v>
      </c>
      <c r="AD24" s="3"/>
      <c r="AE24" s="3"/>
    </row>
    <row r="25" spans="1:31" ht="15">
      <c r="A25" s="4">
        <v>24</v>
      </c>
      <c r="B25" s="4" t="s">
        <v>181</v>
      </c>
      <c r="C25" s="7" t="s">
        <v>21</v>
      </c>
      <c r="D25" s="5">
        <v>45124</v>
      </c>
      <c r="E25" s="3" t="s">
        <v>84</v>
      </c>
      <c r="F25" s="4" t="s">
        <v>182</v>
      </c>
      <c r="G25" s="4" t="s">
        <v>152</v>
      </c>
      <c r="H25" s="4">
        <v>22.654</v>
      </c>
      <c r="I25" s="4">
        <v>3330.18</v>
      </c>
      <c r="J25" s="4" t="s">
        <v>86</v>
      </c>
      <c r="K25" s="4">
        <v>1</v>
      </c>
      <c r="L25" s="4">
        <v>64.734999999999985</v>
      </c>
      <c r="M25" s="4">
        <v>392000</v>
      </c>
      <c r="N25" s="4">
        <v>192332.46</v>
      </c>
      <c r="O25" s="4">
        <v>67820.27033289567</v>
      </c>
      <c r="P25" s="4">
        <v>17497.489765968956</v>
      </c>
      <c r="Q25" s="4">
        <v>64880.692052212886</v>
      </c>
      <c r="R25" s="4">
        <v>3184.5431374063496</v>
      </c>
      <c r="S25" s="4">
        <v>0</v>
      </c>
      <c r="T25" s="4">
        <v>98160.917587085831</v>
      </c>
      <c r="U25" s="4">
        <v>0</v>
      </c>
      <c r="V25" s="4">
        <v>835876.37287556974</v>
      </c>
      <c r="W25" s="4">
        <v>649.83000000000004</v>
      </c>
      <c r="X25" s="4">
        <v>2307.0100000000002</v>
      </c>
      <c r="Y25" s="4">
        <v>1</v>
      </c>
      <c r="Z25" s="4">
        <v>2307.0100000000002</v>
      </c>
      <c r="AA25" s="3"/>
      <c r="AB25" s="3"/>
      <c r="AC25" s="3">
        <v>34142.22</v>
      </c>
      <c r="AD25" s="3"/>
      <c r="AE25" s="3"/>
    </row>
    <row r="26" spans="1:31" ht="15">
      <c r="A26" s="4">
        <v>25</v>
      </c>
      <c r="B26" s="4" t="s">
        <v>181</v>
      </c>
      <c r="C26" s="7" t="s">
        <v>21</v>
      </c>
      <c r="D26" s="5">
        <v>45124</v>
      </c>
      <c r="E26" s="3" t="s">
        <v>84</v>
      </c>
      <c r="F26" s="4" t="s">
        <v>183</v>
      </c>
      <c r="G26" s="4" t="s">
        <v>152</v>
      </c>
      <c r="H26" s="4">
        <v>14.026999999999999</v>
      </c>
      <c r="I26" s="4">
        <v>12019.8</v>
      </c>
      <c r="J26" s="4" t="s">
        <v>86</v>
      </c>
      <c r="K26" s="4">
        <v>1</v>
      </c>
      <c r="L26" s="4">
        <v>64.734999999999985</v>
      </c>
      <c r="M26" s="4">
        <v>624000</v>
      </c>
      <c r="N26" s="4">
        <v>119089.23</v>
      </c>
      <c r="O26" s="4">
        <v>41993.243222368124</v>
      </c>
      <c r="P26" s="4">
        <v>10834.170078010353</v>
      </c>
      <c r="Q26" s="4">
        <v>40173.102649262386</v>
      </c>
      <c r="R26" s="4">
        <v>1971.8189541978841</v>
      </c>
      <c r="S26" s="4">
        <v>0</v>
      </c>
      <c r="T26" s="4">
        <v>60779.694137638078</v>
      </c>
      <c r="U26" s="4">
        <v>0</v>
      </c>
      <c r="V26" s="4">
        <v>898841.25904147676</v>
      </c>
      <c r="W26" s="4">
        <v>698.78</v>
      </c>
      <c r="X26" s="4">
        <v>2307.0100000000002</v>
      </c>
      <c r="Y26" s="4">
        <v>0</v>
      </c>
      <c r="Z26" s="4">
        <v>0</v>
      </c>
      <c r="AA26" s="3"/>
      <c r="AB26" s="3"/>
      <c r="AC26" s="3">
        <v>52884</v>
      </c>
      <c r="AD26" s="3"/>
      <c r="AE26" s="3"/>
    </row>
    <row r="27" spans="1:31" ht="15">
      <c r="A27" s="4">
        <v>26</v>
      </c>
      <c r="B27" s="4" t="s">
        <v>181</v>
      </c>
      <c r="C27" s="7" t="s">
        <v>21</v>
      </c>
      <c r="D27" s="5">
        <v>45124</v>
      </c>
      <c r="E27" s="3" t="s">
        <v>84</v>
      </c>
      <c r="F27" s="4" t="s">
        <v>184</v>
      </c>
      <c r="G27" s="4" t="s">
        <v>152</v>
      </c>
      <c r="H27" s="4">
        <v>5.3949999999999996</v>
      </c>
      <c r="I27" s="4">
        <v>424.4</v>
      </c>
      <c r="J27" s="4" t="s">
        <v>86</v>
      </c>
      <c r="K27" s="4">
        <v>1</v>
      </c>
      <c r="L27" s="4">
        <v>64.734999999999985</v>
      </c>
      <c r="M27" s="4">
        <v>291100</v>
      </c>
      <c r="N27" s="4">
        <v>45803.55</v>
      </c>
      <c r="O27" s="4">
        <v>16151.247393218508</v>
      </c>
      <c r="P27" s="4">
        <v>4166.9884915424427</v>
      </c>
      <c r="Q27" s="4">
        <v>15451.193326639375</v>
      </c>
      <c r="R27" s="4">
        <v>758.39190546072462</v>
      </c>
      <c r="S27" s="4">
        <v>0</v>
      </c>
      <c r="T27" s="4">
        <v>23376.805437553103</v>
      </c>
      <c r="U27" s="4">
        <v>0</v>
      </c>
      <c r="V27" s="4">
        <v>396808.17655441415</v>
      </c>
      <c r="W27" s="4">
        <v>308.49</v>
      </c>
      <c r="X27" s="4">
        <v>2307.0100000000002</v>
      </c>
      <c r="Y27" s="4">
        <v>0</v>
      </c>
      <c r="Z27" s="4">
        <v>0</v>
      </c>
      <c r="AA27" s="3"/>
      <c r="AB27" s="3"/>
      <c r="AC27" s="3">
        <v>5919.2</v>
      </c>
      <c r="AD27" s="3"/>
      <c r="AE27" s="3"/>
    </row>
    <row r="28" spans="1:31" ht="15">
      <c r="A28" s="4">
        <v>27</v>
      </c>
      <c r="B28" s="4" t="s">
        <v>181</v>
      </c>
      <c r="C28" s="7" t="s">
        <v>21</v>
      </c>
      <c r="D28" s="5">
        <v>45124</v>
      </c>
      <c r="E28" s="3" t="s">
        <v>84</v>
      </c>
      <c r="F28" s="4" t="s">
        <v>185</v>
      </c>
      <c r="G28" s="4" t="s">
        <v>152</v>
      </c>
      <c r="H28" s="4">
        <v>22.658999999999999</v>
      </c>
      <c r="I28" s="4">
        <v>6741</v>
      </c>
      <c r="J28" s="4" t="s">
        <v>86</v>
      </c>
      <c r="K28" s="4">
        <v>1</v>
      </c>
      <c r="L28" s="4">
        <v>64.734999999999985</v>
      </c>
      <c r="M28" s="4">
        <v>392000</v>
      </c>
      <c r="N28" s="4">
        <v>192374.91</v>
      </c>
      <c r="O28" s="4">
        <v>67835.239051517739</v>
      </c>
      <c r="P28" s="4">
        <v>17501.351664478261</v>
      </c>
      <c r="Q28" s="4">
        <v>64895.011971885389</v>
      </c>
      <c r="R28" s="4">
        <v>3185.2460029350432</v>
      </c>
      <c r="S28" s="4">
        <v>0</v>
      </c>
      <c r="T28" s="4">
        <v>98182.582837723035</v>
      </c>
      <c r="U28" s="4">
        <v>0</v>
      </c>
      <c r="V28" s="4">
        <v>835974.34152853931</v>
      </c>
      <c r="W28" s="4">
        <v>649.91</v>
      </c>
      <c r="X28" s="4">
        <v>2307.0100000000002</v>
      </c>
      <c r="Y28" s="4">
        <v>0</v>
      </c>
      <c r="Z28" s="4">
        <v>0</v>
      </c>
      <c r="AA28" s="3"/>
      <c r="AB28" s="3"/>
      <c r="AC28" s="3">
        <v>36385.440000000002</v>
      </c>
      <c r="AD28" s="3"/>
      <c r="AE28" s="3"/>
    </row>
    <row r="29" spans="1:31" ht="15">
      <c r="A29" s="4">
        <v>28</v>
      </c>
      <c r="B29" s="4" t="s">
        <v>186</v>
      </c>
      <c r="C29" s="7" t="s">
        <v>21</v>
      </c>
      <c r="D29" s="5">
        <v>45124</v>
      </c>
      <c r="E29" s="3" t="s">
        <v>84</v>
      </c>
      <c r="F29" s="4" t="s">
        <v>187</v>
      </c>
      <c r="G29" s="4" t="s">
        <v>152</v>
      </c>
      <c r="H29" s="4">
        <v>24.812000000000001</v>
      </c>
      <c r="I29" s="4">
        <v>3089.82</v>
      </c>
      <c r="J29" s="4" t="s">
        <v>86</v>
      </c>
      <c r="K29" s="4">
        <v>1</v>
      </c>
      <c r="L29" s="4">
        <v>61.497999999999998</v>
      </c>
      <c r="M29" s="4">
        <v>392000</v>
      </c>
      <c r="N29" s="4">
        <v>210653.88</v>
      </c>
      <c r="O29" s="4">
        <v>78190.60132036815</v>
      </c>
      <c r="P29" s="4">
        <v>20173.013756544929</v>
      </c>
      <c r="Q29" s="4">
        <v>74801.535009268599</v>
      </c>
      <c r="R29" s="4">
        <v>3671.4885036911778</v>
      </c>
      <c r="S29" s="4">
        <v>0</v>
      </c>
      <c r="T29" s="4">
        <v>113170.60717421706</v>
      </c>
      <c r="U29" s="4">
        <v>0</v>
      </c>
      <c r="V29" s="4">
        <v>892661.12576408987</v>
      </c>
      <c r="W29" s="4">
        <v>693.98</v>
      </c>
      <c r="X29" s="4">
        <v>2059.33</v>
      </c>
      <c r="Y29" s="4">
        <v>1</v>
      </c>
      <c r="Z29" s="4">
        <v>2059.33</v>
      </c>
      <c r="AA29" s="3"/>
      <c r="AB29" s="3"/>
      <c r="AC29" s="3">
        <v>24619.200000000001</v>
      </c>
      <c r="AD29" s="3"/>
      <c r="AE29" s="3"/>
    </row>
    <row r="30" spans="1:31" ht="15">
      <c r="A30" s="4">
        <v>29</v>
      </c>
      <c r="B30" s="4" t="s">
        <v>186</v>
      </c>
      <c r="C30" s="7" t="s">
        <v>21</v>
      </c>
      <c r="D30" s="5">
        <v>45124</v>
      </c>
      <c r="E30" s="3" t="s">
        <v>84</v>
      </c>
      <c r="F30" s="4" t="s">
        <v>188</v>
      </c>
      <c r="G30" s="4" t="s">
        <v>152</v>
      </c>
      <c r="H30" s="4">
        <v>14.026999999999999</v>
      </c>
      <c r="I30" s="4">
        <v>12019.8</v>
      </c>
      <c r="J30" s="4" t="s">
        <v>86</v>
      </c>
      <c r="K30" s="4">
        <v>1</v>
      </c>
      <c r="L30" s="4">
        <v>61.497999999999998</v>
      </c>
      <c r="M30" s="4">
        <v>624000</v>
      </c>
      <c r="N30" s="4">
        <v>119089.23</v>
      </c>
      <c r="O30" s="4">
        <v>44203.593612800418</v>
      </c>
      <c r="P30" s="4">
        <v>11404.435916615172</v>
      </c>
      <c r="Q30" s="4">
        <v>42287.648378809063</v>
      </c>
      <c r="R30" s="4">
        <v>2075.6073368239618</v>
      </c>
      <c r="S30" s="4">
        <v>0</v>
      </c>
      <c r="T30" s="4">
        <v>63978.885492211128</v>
      </c>
      <c r="U30" s="4">
        <v>0</v>
      </c>
      <c r="V30" s="4">
        <v>907039.40073725989</v>
      </c>
      <c r="W30" s="4">
        <v>705.15</v>
      </c>
      <c r="X30" s="4">
        <v>2059.33</v>
      </c>
      <c r="Y30" s="4">
        <v>0</v>
      </c>
      <c r="Z30" s="4">
        <v>0</v>
      </c>
      <c r="AA30" s="3"/>
      <c r="AB30" s="3"/>
      <c r="AC30" s="3">
        <v>52884</v>
      </c>
      <c r="AD30" s="3"/>
      <c r="AE30" s="3"/>
    </row>
    <row r="31" spans="1:31" ht="15">
      <c r="A31" s="4">
        <v>30</v>
      </c>
      <c r="B31" s="4" t="s">
        <v>186</v>
      </c>
      <c r="C31" s="7" t="s">
        <v>21</v>
      </c>
      <c r="D31" s="5">
        <v>45124</v>
      </c>
      <c r="E31" s="3" t="s">
        <v>84</v>
      </c>
      <c r="F31" s="4" t="s">
        <v>189</v>
      </c>
      <c r="G31" s="4" t="s">
        <v>152</v>
      </c>
      <c r="H31" s="4">
        <v>22.658999999999999</v>
      </c>
      <c r="I31" s="4">
        <v>6741</v>
      </c>
      <c r="J31" s="4" t="s">
        <v>86</v>
      </c>
      <c r="K31" s="4">
        <v>1</v>
      </c>
      <c r="L31" s="4">
        <v>61.497999999999998</v>
      </c>
      <c r="M31" s="4">
        <v>392000</v>
      </c>
      <c r="N31" s="4">
        <v>192374.91</v>
      </c>
      <c r="O31" s="4">
        <v>71405.805066831439</v>
      </c>
      <c r="P31" s="4">
        <v>18422.550326839897</v>
      </c>
      <c r="Q31" s="4">
        <v>68310.816611922346</v>
      </c>
      <c r="R31" s="4">
        <v>3352.9041594848613</v>
      </c>
      <c r="S31" s="4">
        <v>0</v>
      </c>
      <c r="T31" s="4">
        <v>103350.50733357183</v>
      </c>
      <c r="U31" s="4">
        <v>0</v>
      </c>
      <c r="V31" s="4">
        <v>849217.49349865038</v>
      </c>
      <c r="W31" s="4">
        <v>660.2</v>
      </c>
      <c r="X31" s="4">
        <v>2059.33</v>
      </c>
      <c r="Y31" s="4">
        <v>0</v>
      </c>
      <c r="Z31" s="4">
        <v>0</v>
      </c>
      <c r="AA31" s="3"/>
      <c r="AB31" s="3"/>
      <c r="AC31" s="3">
        <v>36385.440000000002</v>
      </c>
      <c r="AD31" s="3"/>
      <c r="AE31" s="3"/>
    </row>
    <row r="32" spans="1:31" ht="15">
      <c r="A32" s="4">
        <v>31</v>
      </c>
      <c r="B32" s="4" t="s">
        <v>190</v>
      </c>
      <c r="C32" s="7" t="s">
        <v>21</v>
      </c>
      <c r="D32" s="5">
        <v>45124</v>
      </c>
      <c r="E32" s="3" t="s">
        <v>84</v>
      </c>
      <c r="F32" s="4" t="s">
        <v>191</v>
      </c>
      <c r="G32" s="4" t="s">
        <v>152</v>
      </c>
      <c r="H32" s="4">
        <v>10.79</v>
      </c>
      <c r="I32" s="4">
        <v>8614</v>
      </c>
      <c r="J32" s="4" t="s">
        <v>86</v>
      </c>
      <c r="K32" s="4">
        <v>1</v>
      </c>
      <c r="L32" s="4">
        <v>63.65</v>
      </c>
      <c r="M32" s="4">
        <v>392000</v>
      </c>
      <c r="N32" s="4">
        <v>91607.099999999991</v>
      </c>
      <c r="O32" s="4">
        <v>32853.13432835821</v>
      </c>
      <c r="P32" s="4">
        <v>8476.0408483896299</v>
      </c>
      <c r="Q32" s="4">
        <v>31429.15946582875</v>
      </c>
      <c r="R32" s="4">
        <v>1542.6394344069129</v>
      </c>
      <c r="S32" s="4">
        <v>0</v>
      </c>
      <c r="T32" s="4">
        <v>47550.589159465831</v>
      </c>
      <c r="U32" s="4">
        <v>0</v>
      </c>
      <c r="V32" s="4">
        <v>605458.66323644936</v>
      </c>
      <c r="W32" s="4">
        <v>470.7</v>
      </c>
      <c r="X32" s="4">
        <v>2138.84</v>
      </c>
      <c r="Y32" s="4">
        <v>1</v>
      </c>
      <c r="Z32" s="4">
        <v>2138.84</v>
      </c>
      <c r="AA32" s="3"/>
      <c r="AB32" s="3"/>
      <c r="AC32" s="3">
        <v>43092</v>
      </c>
      <c r="AD32" s="3"/>
      <c r="AE32" s="3"/>
    </row>
    <row r="33" spans="1:31" ht="15">
      <c r="A33" s="4">
        <v>32</v>
      </c>
      <c r="B33" s="4" t="s">
        <v>190</v>
      </c>
      <c r="C33" s="7" t="s">
        <v>21</v>
      </c>
      <c r="D33" s="5">
        <v>45124</v>
      </c>
      <c r="E33" s="3" t="s">
        <v>84</v>
      </c>
      <c r="F33" s="4" t="s">
        <v>192</v>
      </c>
      <c r="G33" s="4" t="s">
        <v>152</v>
      </c>
      <c r="H33" s="4">
        <v>8.6300000000000008</v>
      </c>
      <c r="I33" s="4">
        <v>4832</v>
      </c>
      <c r="J33" s="4" t="s">
        <v>86</v>
      </c>
      <c r="K33" s="4">
        <v>1</v>
      </c>
      <c r="L33" s="4">
        <v>63.65</v>
      </c>
      <c r="M33" s="4">
        <v>332000</v>
      </c>
      <c r="N33" s="4">
        <v>73268.700000000012</v>
      </c>
      <c r="O33" s="4">
        <v>26276.417910447766</v>
      </c>
      <c r="P33" s="4">
        <v>6779.2615868028288</v>
      </c>
      <c r="Q33" s="4">
        <v>25137.501963864888</v>
      </c>
      <c r="R33" s="4">
        <v>1233.8256087981149</v>
      </c>
      <c r="S33" s="4">
        <v>0</v>
      </c>
      <c r="T33" s="4">
        <v>38031.657501963869</v>
      </c>
      <c r="U33" s="4">
        <v>0</v>
      </c>
      <c r="V33" s="4">
        <v>502727.36457187752</v>
      </c>
      <c r="W33" s="4">
        <v>390.83</v>
      </c>
      <c r="X33" s="4">
        <v>2138.84</v>
      </c>
      <c r="Y33" s="4">
        <v>0</v>
      </c>
      <c r="Z33" s="4">
        <v>0</v>
      </c>
      <c r="AA33" s="3"/>
      <c r="AB33" s="3"/>
      <c r="AC33" s="3">
        <v>32281.199999999997</v>
      </c>
      <c r="AD33" s="3"/>
      <c r="AE33" s="3"/>
    </row>
    <row r="34" spans="1:31" ht="15">
      <c r="A34" s="4">
        <v>33</v>
      </c>
      <c r="B34" s="4" t="s">
        <v>190</v>
      </c>
      <c r="C34" s="7" t="s">
        <v>21</v>
      </c>
      <c r="D34" s="5">
        <v>45124</v>
      </c>
      <c r="E34" s="3" t="s">
        <v>84</v>
      </c>
      <c r="F34" s="4" t="s">
        <v>193</v>
      </c>
      <c r="G34" s="4" t="s">
        <v>152</v>
      </c>
      <c r="H34" s="4">
        <v>25.890999999999998</v>
      </c>
      <c r="I34" s="4">
        <v>4368</v>
      </c>
      <c r="J34" s="4" t="s">
        <v>86</v>
      </c>
      <c r="K34" s="4">
        <v>1</v>
      </c>
      <c r="L34" s="4">
        <v>63.65</v>
      </c>
      <c r="M34" s="4">
        <v>392000</v>
      </c>
      <c r="N34" s="4">
        <v>219814.59</v>
      </c>
      <c r="O34" s="4">
        <v>78832.298507462678</v>
      </c>
      <c r="P34" s="4">
        <v>20338.570306362923</v>
      </c>
      <c r="Q34" s="4">
        <v>75415.418695993707</v>
      </c>
      <c r="R34" s="4">
        <v>3701.6197957580512</v>
      </c>
      <c r="S34" s="4">
        <v>0</v>
      </c>
      <c r="T34" s="4">
        <v>114099.379418696</v>
      </c>
      <c r="U34" s="4">
        <v>0</v>
      </c>
      <c r="V34" s="4">
        <v>904201.87672427343</v>
      </c>
      <c r="W34" s="4">
        <v>702.95</v>
      </c>
      <c r="X34" s="4">
        <v>2138.84</v>
      </c>
      <c r="Y34" s="4">
        <v>0</v>
      </c>
      <c r="Z34" s="4">
        <v>0</v>
      </c>
      <c r="AA34" s="3"/>
      <c r="AB34" s="3"/>
      <c r="AC34" s="3">
        <v>18083.52</v>
      </c>
      <c r="AD34" s="3"/>
      <c r="AE34" s="3"/>
    </row>
    <row r="35" spans="1:31" ht="15">
      <c r="A35" s="4">
        <v>34</v>
      </c>
      <c r="B35" s="4" t="s">
        <v>190</v>
      </c>
      <c r="C35" s="7" t="s">
        <v>21</v>
      </c>
      <c r="D35" s="5">
        <v>45124</v>
      </c>
      <c r="E35" s="3" t="s">
        <v>84</v>
      </c>
      <c r="F35" s="4" t="s">
        <v>194</v>
      </c>
      <c r="G35" s="4" t="s">
        <v>152</v>
      </c>
      <c r="H35" s="4">
        <v>18.338999999999999</v>
      </c>
      <c r="I35" s="4">
        <v>3094</v>
      </c>
      <c r="J35" s="4" t="s">
        <v>86</v>
      </c>
      <c r="K35" s="4">
        <v>1</v>
      </c>
      <c r="L35" s="4">
        <v>63.65</v>
      </c>
      <c r="M35" s="4">
        <v>376000</v>
      </c>
      <c r="N35" s="4">
        <v>155698.10999999999</v>
      </c>
      <c r="O35" s="4">
        <v>55838.149253731339</v>
      </c>
      <c r="P35" s="4">
        <v>14406.127258444618</v>
      </c>
      <c r="Q35" s="4">
        <v>53417.91987431264</v>
      </c>
      <c r="R35" s="4">
        <v>2621.9151610369204</v>
      </c>
      <c r="S35" s="4">
        <v>0</v>
      </c>
      <c r="T35" s="4">
        <v>80818.373919874299</v>
      </c>
      <c r="U35" s="4">
        <v>0</v>
      </c>
      <c r="V35" s="4">
        <v>738800.59546739981</v>
      </c>
      <c r="W35" s="4">
        <v>574.36</v>
      </c>
      <c r="X35" s="4">
        <v>2138.84</v>
      </c>
      <c r="Y35" s="4">
        <v>0</v>
      </c>
      <c r="Z35" s="4">
        <v>0</v>
      </c>
      <c r="AA35" s="3"/>
      <c r="AB35" s="3"/>
      <c r="AC35" s="3">
        <v>12809.16</v>
      </c>
      <c r="AD35" s="3"/>
      <c r="AE35" s="3"/>
    </row>
    <row r="36" spans="1:31" ht="15">
      <c r="A36" s="4">
        <v>35</v>
      </c>
      <c r="B36" s="4" t="s">
        <v>195</v>
      </c>
      <c r="C36" s="7" t="s">
        <v>21</v>
      </c>
      <c r="D36" s="5">
        <v>45124</v>
      </c>
      <c r="E36" s="3" t="s">
        <v>84</v>
      </c>
      <c r="F36" s="4" t="s">
        <v>196</v>
      </c>
      <c r="G36" s="4" t="s">
        <v>152</v>
      </c>
      <c r="H36" s="4">
        <v>7.5519999999999996</v>
      </c>
      <c r="I36" s="4">
        <v>1274</v>
      </c>
      <c r="J36" s="4" t="s">
        <v>86</v>
      </c>
      <c r="K36" s="4">
        <v>1</v>
      </c>
      <c r="L36" s="4">
        <v>64.295999999999992</v>
      </c>
      <c r="M36" s="4">
        <v>332000</v>
      </c>
      <c r="N36" s="4">
        <v>64116.480000000003</v>
      </c>
      <c r="O36" s="4">
        <v>22763.120567375889</v>
      </c>
      <c r="P36" s="4">
        <v>5872.8381236779896</v>
      </c>
      <c r="Q36" s="4">
        <v>21776.483762597985</v>
      </c>
      <c r="R36" s="4">
        <v>1068.8565385093941</v>
      </c>
      <c r="S36" s="4">
        <v>0</v>
      </c>
      <c r="T36" s="4">
        <v>32946.621873833523</v>
      </c>
      <c r="U36" s="4">
        <v>0</v>
      </c>
      <c r="V36" s="4">
        <v>480544.4008659948</v>
      </c>
      <c r="W36" s="4">
        <v>373.59</v>
      </c>
      <c r="X36" s="4">
        <v>1850.8</v>
      </c>
      <c r="Y36" s="4">
        <v>1</v>
      </c>
      <c r="Z36" s="4">
        <v>1850.8</v>
      </c>
      <c r="AA36" s="3"/>
      <c r="AB36" s="3"/>
      <c r="AC36" s="3">
        <v>5274.3600000000006</v>
      </c>
      <c r="AD36" s="3"/>
      <c r="AE36" s="3"/>
    </row>
    <row r="37" spans="1:31" ht="15">
      <c r="A37" s="4">
        <v>36</v>
      </c>
      <c r="B37" s="4" t="s">
        <v>195</v>
      </c>
      <c r="C37" s="7" t="s">
        <v>21</v>
      </c>
      <c r="D37" s="5">
        <v>45124</v>
      </c>
      <c r="E37" s="3" t="s">
        <v>84</v>
      </c>
      <c r="F37" s="4" t="s">
        <v>197</v>
      </c>
      <c r="G37" s="4" t="s">
        <v>152</v>
      </c>
      <c r="H37" s="4">
        <v>56.744</v>
      </c>
      <c r="I37" s="4">
        <v>9696.5</v>
      </c>
      <c r="J37" s="4" t="s">
        <v>86</v>
      </c>
      <c r="K37" s="4">
        <v>1</v>
      </c>
      <c r="L37" s="4">
        <v>64.295999999999992</v>
      </c>
      <c r="M37" s="4">
        <v>784000</v>
      </c>
      <c r="N37" s="4">
        <v>481756.56</v>
      </c>
      <c r="O37" s="4">
        <v>171036.87943262415</v>
      </c>
      <c r="P37" s="4">
        <v>44127.161876322018</v>
      </c>
      <c r="Q37" s="4">
        <v>163623.51623740204</v>
      </c>
      <c r="R37" s="4">
        <v>8031.1434614906084</v>
      </c>
      <c r="S37" s="4">
        <v>0</v>
      </c>
      <c r="T37" s="4">
        <v>247553.37812616653</v>
      </c>
      <c r="U37" s="4">
        <v>0</v>
      </c>
      <c r="V37" s="4">
        <v>1900128.6391340056</v>
      </c>
      <c r="W37" s="4">
        <v>1477.21</v>
      </c>
      <c r="X37" s="4">
        <v>1850.8</v>
      </c>
      <c r="Y37" s="4">
        <v>0</v>
      </c>
      <c r="Z37" s="4">
        <v>0</v>
      </c>
      <c r="AA37" s="3"/>
      <c r="AB37" s="3"/>
      <c r="AC37" s="3">
        <v>99707.489999999991</v>
      </c>
      <c r="AD37" s="3"/>
      <c r="AE37" s="3"/>
    </row>
    <row r="38" spans="1:31" ht="15">
      <c r="A38" s="4">
        <v>37</v>
      </c>
      <c r="B38" s="4" t="s">
        <v>198</v>
      </c>
      <c r="C38" s="7" t="s">
        <v>21</v>
      </c>
      <c r="D38" s="5">
        <v>45124</v>
      </c>
      <c r="E38" s="3" t="s">
        <v>84</v>
      </c>
      <c r="F38" s="4" t="s">
        <v>199</v>
      </c>
      <c r="G38" s="4" t="s">
        <v>152</v>
      </c>
      <c r="H38" s="4">
        <v>66.432000000000002</v>
      </c>
      <c r="I38" s="4">
        <v>11352</v>
      </c>
      <c r="J38" s="4" t="s">
        <v>86</v>
      </c>
      <c r="K38" s="4">
        <v>1</v>
      </c>
      <c r="L38" s="4">
        <v>66.432000000000002</v>
      </c>
      <c r="M38" s="4">
        <v>1016000</v>
      </c>
      <c r="N38" s="4">
        <v>564007.68000000005</v>
      </c>
      <c r="O38" s="4">
        <v>193800</v>
      </c>
      <c r="P38" s="4">
        <v>50000</v>
      </c>
      <c r="Q38" s="4">
        <v>185400</v>
      </c>
      <c r="R38" s="4">
        <v>9100</v>
      </c>
      <c r="S38" s="4">
        <v>0</v>
      </c>
      <c r="T38" s="4">
        <v>280500</v>
      </c>
      <c r="U38" s="4">
        <v>0</v>
      </c>
      <c r="V38" s="4">
        <v>2298807.6800000002</v>
      </c>
      <c r="W38" s="4">
        <v>1787.15</v>
      </c>
      <c r="X38" s="4">
        <v>1787.15</v>
      </c>
      <c r="Y38" s="4">
        <v>1</v>
      </c>
      <c r="Z38" s="4">
        <v>1787.15</v>
      </c>
      <c r="AA38" s="3"/>
      <c r="AB38" s="3"/>
      <c r="AC38" s="3">
        <v>116730.72</v>
      </c>
      <c r="AD38" s="3"/>
      <c r="AE38" s="3"/>
    </row>
    <row r="39" spans="1:31" ht="15">
      <c r="A39" s="4">
        <v>38</v>
      </c>
      <c r="B39" s="4" t="s">
        <v>200</v>
      </c>
      <c r="C39" s="7" t="s">
        <v>21</v>
      </c>
      <c r="D39" s="5">
        <v>45124</v>
      </c>
      <c r="E39" s="3" t="s">
        <v>84</v>
      </c>
      <c r="F39" s="4" t="s">
        <v>201</v>
      </c>
      <c r="G39" s="4" t="s">
        <v>95</v>
      </c>
      <c r="H39" s="4">
        <v>54.673999999999999</v>
      </c>
      <c r="I39" s="4">
        <v>3815</v>
      </c>
      <c r="J39" s="4" t="s">
        <v>86</v>
      </c>
      <c r="K39" s="4">
        <v>1</v>
      </c>
      <c r="L39" s="4">
        <v>54.673999999999999</v>
      </c>
      <c r="M39" s="4">
        <v>1504000</v>
      </c>
      <c r="N39" s="4">
        <v>464182.26</v>
      </c>
      <c r="O39" s="4">
        <v>193800</v>
      </c>
      <c r="P39" s="4">
        <v>50000</v>
      </c>
      <c r="Q39" s="4">
        <v>185400</v>
      </c>
      <c r="R39" s="4">
        <v>9100</v>
      </c>
      <c r="S39" s="4">
        <v>0</v>
      </c>
      <c r="T39" s="4">
        <v>280500</v>
      </c>
      <c r="U39" s="4">
        <v>0</v>
      </c>
      <c r="V39" s="4">
        <v>2686982.26</v>
      </c>
      <c r="W39" s="4">
        <v>2088.92</v>
      </c>
      <c r="X39" s="4">
        <v>2088.92</v>
      </c>
      <c r="Y39" s="4">
        <v>1</v>
      </c>
      <c r="Z39" s="4">
        <v>2088.92</v>
      </c>
      <c r="AA39" s="3"/>
      <c r="AB39" s="3"/>
      <c r="AC39" s="3">
        <v>16112.64</v>
      </c>
      <c r="AD39" s="3"/>
      <c r="AE39" s="3"/>
    </row>
    <row r="40" spans="1:31" ht="15">
      <c r="A40" s="4">
        <v>39</v>
      </c>
      <c r="B40" s="4" t="s">
        <v>202</v>
      </c>
      <c r="C40" s="7" t="s">
        <v>21</v>
      </c>
      <c r="D40" s="5">
        <v>45124</v>
      </c>
      <c r="E40" s="3" t="s">
        <v>84</v>
      </c>
      <c r="F40" s="4" t="s">
        <v>203</v>
      </c>
      <c r="G40" s="4" t="s">
        <v>85</v>
      </c>
      <c r="H40" s="4">
        <v>3.7370000000000001</v>
      </c>
      <c r="I40" s="4">
        <v>1605</v>
      </c>
      <c r="J40" s="4" t="s">
        <v>86</v>
      </c>
      <c r="K40" s="4">
        <v>1</v>
      </c>
      <c r="L40" s="4">
        <v>58.664999999999999</v>
      </c>
      <c r="M40" s="4">
        <v>478000</v>
      </c>
      <c r="N40" s="4">
        <v>31727.13</v>
      </c>
      <c r="O40" s="4">
        <v>12345.190488366148</v>
      </c>
      <c r="P40" s="4">
        <v>3185.03366572914</v>
      </c>
      <c r="Q40" s="4">
        <v>11810.104832523652</v>
      </c>
      <c r="R40" s="4">
        <v>579.67612716270355</v>
      </c>
      <c r="S40" s="4">
        <v>0</v>
      </c>
      <c r="T40" s="4">
        <v>17868.038864740476</v>
      </c>
      <c r="U40" s="4">
        <v>0</v>
      </c>
      <c r="V40" s="4">
        <v>555515.17397852207</v>
      </c>
      <c r="W40" s="4">
        <v>431.87</v>
      </c>
      <c r="X40" s="4">
        <v>2666.85</v>
      </c>
      <c r="Y40" s="4">
        <v>1</v>
      </c>
      <c r="Z40" s="4">
        <v>2666.85</v>
      </c>
      <c r="AA40" s="3"/>
      <c r="AB40" s="3"/>
      <c r="AC40" s="3">
        <v>5278</v>
      </c>
      <c r="AD40" s="3"/>
      <c r="AE40" s="3"/>
    </row>
    <row r="41" spans="1:31" ht="15">
      <c r="A41" s="4">
        <v>40</v>
      </c>
      <c r="B41" s="4" t="s">
        <v>202</v>
      </c>
      <c r="C41" s="7" t="s">
        <v>21</v>
      </c>
      <c r="D41" s="5">
        <v>45124</v>
      </c>
      <c r="E41" s="3" t="s">
        <v>84</v>
      </c>
      <c r="F41" s="4" t="s">
        <v>204</v>
      </c>
      <c r="G41" s="4" t="s">
        <v>95</v>
      </c>
      <c r="H41" s="4">
        <v>13.667999999999999</v>
      </c>
      <c r="I41" s="4">
        <v>954.2</v>
      </c>
      <c r="J41" s="4" t="s">
        <v>86</v>
      </c>
      <c r="K41" s="4">
        <v>1</v>
      </c>
      <c r="L41" s="4">
        <v>58.664999999999999</v>
      </c>
      <c r="M41" s="4">
        <v>632500</v>
      </c>
      <c r="N41" s="4">
        <v>116041.32</v>
      </c>
      <c r="O41" s="4">
        <v>45152.278189721299</v>
      </c>
      <c r="P41" s="4">
        <v>11649.19457939146</v>
      </c>
      <c r="Q41" s="4">
        <v>43195.213500383536</v>
      </c>
      <c r="R41" s="4">
        <v>2120.1534134492458</v>
      </c>
      <c r="S41" s="4">
        <v>0</v>
      </c>
      <c r="T41" s="4">
        <v>65351.981590386087</v>
      </c>
      <c r="U41" s="4">
        <v>0</v>
      </c>
      <c r="V41" s="4">
        <v>916010.14127333171</v>
      </c>
      <c r="W41" s="4">
        <v>712.13</v>
      </c>
      <c r="X41" s="4">
        <v>2666.85</v>
      </c>
      <c r="Y41" s="4">
        <v>0</v>
      </c>
      <c r="Z41" s="4">
        <v>0</v>
      </c>
      <c r="AA41" s="3"/>
      <c r="AB41" s="3"/>
      <c r="AC41" s="3">
        <v>4028.16</v>
      </c>
      <c r="AD41" s="3"/>
      <c r="AE41" s="3"/>
    </row>
    <row r="42" spans="1:31" ht="15">
      <c r="A42" s="4">
        <v>41</v>
      </c>
      <c r="B42" s="4" t="s">
        <v>202</v>
      </c>
      <c r="C42" s="7" t="s">
        <v>21</v>
      </c>
      <c r="D42" s="5">
        <v>45124</v>
      </c>
      <c r="E42" s="3" t="s">
        <v>84</v>
      </c>
      <c r="F42" s="4" t="s">
        <v>205</v>
      </c>
      <c r="G42" s="4" t="s">
        <v>97</v>
      </c>
      <c r="H42" s="4">
        <v>25.8</v>
      </c>
      <c r="I42" s="4">
        <v>4738.5600000000004</v>
      </c>
      <c r="J42" s="4" t="s">
        <v>86</v>
      </c>
      <c r="K42" s="4">
        <v>1</v>
      </c>
      <c r="L42" s="4">
        <v>58.664999999999999</v>
      </c>
      <c r="M42" s="4">
        <v>549000</v>
      </c>
      <c r="N42" s="4">
        <v>219042</v>
      </c>
      <c r="O42" s="4">
        <v>85230.375862950663</v>
      </c>
      <c r="P42" s="4">
        <v>21989.261058552798</v>
      </c>
      <c r="Q42" s="4">
        <v>81536.180005113769</v>
      </c>
      <c r="R42" s="4">
        <v>4002.0455126566094</v>
      </c>
      <c r="S42" s="4">
        <v>0</v>
      </c>
      <c r="T42" s="4">
        <v>123359.7545384812</v>
      </c>
      <c r="U42" s="4">
        <v>0</v>
      </c>
      <c r="V42" s="4">
        <v>1084159.616977755</v>
      </c>
      <c r="W42" s="4">
        <v>842.85</v>
      </c>
      <c r="X42" s="4">
        <v>2666.85</v>
      </c>
      <c r="Y42" s="4">
        <v>0</v>
      </c>
      <c r="Z42" s="4">
        <v>0</v>
      </c>
      <c r="AA42" s="3"/>
      <c r="AB42" s="3"/>
      <c r="AC42" s="3">
        <v>57507.839999999997</v>
      </c>
      <c r="AD42" s="3"/>
      <c r="AE42" s="3"/>
    </row>
    <row r="43" spans="1:31" ht="15">
      <c r="A43" s="4">
        <v>42</v>
      </c>
      <c r="B43" s="4" t="s">
        <v>202</v>
      </c>
      <c r="C43" s="7" t="s">
        <v>21</v>
      </c>
      <c r="D43" s="5">
        <v>45124</v>
      </c>
      <c r="E43" s="3" t="s">
        <v>84</v>
      </c>
      <c r="F43" s="4" t="s">
        <v>206</v>
      </c>
      <c r="G43" s="4" t="s">
        <v>207</v>
      </c>
      <c r="H43" s="4">
        <v>15.004</v>
      </c>
      <c r="I43" s="4">
        <v>2040</v>
      </c>
      <c r="J43" s="4" t="s">
        <v>86</v>
      </c>
      <c r="K43" s="4">
        <v>1</v>
      </c>
      <c r="L43" s="4">
        <v>58.664999999999999</v>
      </c>
      <c r="M43" s="4">
        <v>289000</v>
      </c>
      <c r="N43" s="4">
        <v>127383.96</v>
      </c>
      <c r="O43" s="4">
        <v>49565.75811812836</v>
      </c>
      <c r="P43" s="4">
        <v>12787.863291570784</v>
      </c>
      <c r="Q43" s="4">
        <v>47417.397085144461</v>
      </c>
      <c r="R43" s="4">
        <v>2327.3911190658828</v>
      </c>
      <c r="S43" s="4">
        <v>0</v>
      </c>
      <c r="T43" s="4">
        <v>71739.913065712099</v>
      </c>
      <c r="U43" s="4">
        <v>0</v>
      </c>
      <c r="V43" s="4">
        <v>600222.2826796216</v>
      </c>
      <c r="W43" s="4">
        <v>466.63</v>
      </c>
      <c r="X43" s="4">
        <v>2666.85</v>
      </c>
      <c r="Y43" s="4">
        <v>0</v>
      </c>
      <c r="Z43" s="4">
        <v>0</v>
      </c>
      <c r="AA43" s="3"/>
      <c r="AB43" s="3"/>
      <c r="AC43" s="3">
        <v>10022.4</v>
      </c>
      <c r="AD43" s="3"/>
      <c r="AE43" s="3"/>
    </row>
    <row r="44" spans="1:31" ht="15">
      <c r="A44" s="4">
        <v>43</v>
      </c>
      <c r="B44" s="4" t="s">
        <v>202</v>
      </c>
      <c r="C44" s="7" t="s">
        <v>21</v>
      </c>
      <c r="D44" s="5">
        <v>45124</v>
      </c>
      <c r="E44" s="3" t="s">
        <v>84</v>
      </c>
      <c r="F44" s="4" t="s">
        <v>208</v>
      </c>
      <c r="G44" s="4" t="s">
        <v>89</v>
      </c>
      <c r="H44" s="4">
        <v>0.45600000000000002</v>
      </c>
      <c r="I44" s="4">
        <v>85</v>
      </c>
      <c r="J44" s="4" t="s">
        <v>86</v>
      </c>
      <c r="K44" s="4">
        <v>1</v>
      </c>
      <c r="L44" s="4">
        <v>58.664999999999999</v>
      </c>
      <c r="M44" s="4">
        <v>265000</v>
      </c>
      <c r="N44" s="4">
        <v>3871.44</v>
      </c>
      <c r="O44" s="4">
        <v>1506.3973408335469</v>
      </c>
      <c r="P44" s="4">
        <v>388.64740475581698</v>
      </c>
      <c r="Q44" s="4">
        <v>1441.1045768345691</v>
      </c>
      <c r="R44" s="4">
        <v>70.733827665558692</v>
      </c>
      <c r="S44" s="4">
        <v>0</v>
      </c>
      <c r="T44" s="4">
        <v>2180.3119406801334</v>
      </c>
      <c r="U44" s="4">
        <v>0</v>
      </c>
      <c r="V44" s="4">
        <v>274458.63509076968</v>
      </c>
      <c r="W44" s="4">
        <v>213.37</v>
      </c>
      <c r="X44" s="4">
        <v>2666.85</v>
      </c>
      <c r="Y44" s="4">
        <v>0</v>
      </c>
      <c r="Z44" s="4">
        <v>0</v>
      </c>
      <c r="AA44" s="3"/>
      <c r="AB44" s="3"/>
      <c r="AC44" s="3">
        <v>10291.200000000001</v>
      </c>
      <c r="AD44" s="3"/>
      <c r="AE44" s="3"/>
    </row>
    <row r="45" spans="1:31" ht="15">
      <c r="A45" s="4">
        <v>44</v>
      </c>
      <c r="B45" s="4" t="s">
        <v>209</v>
      </c>
      <c r="C45" s="7" t="s">
        <v>21</v>
      </c>
      <c r="D45" s="5">
        <v>45124</v>
      </c>
      <c r="E45" s="3" t="s">
        <v>84</v>
      </c>
      <c r="F45" s="4" t="s">
        <v>210</v>
      </c>
      <c r="G45" s="4" t="s">
        <v>85</v>
      </c>
      <c r="H45" s="4">
        <v>20.183</v>
      </c>
      <c r="I45" s="4">
        <v>8667</v>
      </c>
      <c r="J45" s="4" t="s">
        <v>86</v>
      </c>
      <c r="K45" s="4">
        <v>1</v>
      </c>
      <c r="L45" s="4">
        <v>66.283999999999992</v>
      </c>
      <c r="M45" s="4">
        <v>752000</v>
      </c>
      <c r="N45" s="4">
        <v>171353.67</v>
      </c>
      <c r="O45" s="4">
        <v>59010.702431959457</v>
      </c>
      <c r="P45" s="4">
        <v>15224.639430330097</v>
      </c>
      <c r="Q45" s="4">
        <v>56452.963007664002</v>
      </c>
      <c r="R45" s="4">
        <v>2770.8843763200775</v>
      </c>
      <c r="S45" s="4">
        <v>0</v>
      </c>
      <c r="T45" s="4">
        <v>85410.227204151844</v>
      </c>
      <c r="U45" s="4">
        <v>0</v>
      </c>
      <c r="V45" s="4">
        <v>1142223.0864504257</v>
      </c>
      <c r="W45" s="4">
        <v>887.99</v>
      </c>
      <c r="X45" s="4">
        <v>2409.66</v>
      </c>
      <c r="Y45" s="4">
        <v>1</v>
      </c>
      <c r="Z45" s="4">
        <v>2409.66</v>
      </c>
      <c r="AA45" s="3"/>
      <c r="AB45" s="3"/>
      <c r="AC45" s="3">
        <v>28501.199999999997</v>
      </c>
      <c r="AD45" s="3"/>
      <c r="AE45" s="3"/>
    </row>
    <row r="46" spans="1:31" ht="15">
      <c r="A46" s="4">
        <v>45</v>
      </c>
      <c r="B46" s="4" t="s">
        <v>209</v>
      </c>
      <c r="C46" s="7" t="s">
        <v>21</v>
      </c>
      <c r="D46" s="5">
        <v>45124</v>
      </c>
      <c r="E46" s="3" t="s">
        <v>84</v>
      </c>
      <c r="F46" s="4" t="s">
        <v>211</v>
      </c>
      <c r="G46" s="4" t="s">
        <v>88</v>
      </c>
      <c r="H46" s="4">
        <v>46.100999999999999</v>
      </c>
      <c r="I46" s="4">
        <v>7084.8</v>
      </c>
      <c r="J46" s="4" t="s">
        <v>86</v>
      </c>
      <c r="K46" s="4">
        <v>1</v>
      </c>
      <c r="L46" s="4">
        <v>66.283999999999992</v>
      </c>
      <c r="M46" s="4">
        <v>1066000</v>
      </c>
      <c r="N46" s="4">
        <v>391397.49</v>
      </c>
      <c r="O46" s="4">
        <v>134789.29756804058</v>
      </c>
      <c r="P46" s="4">
        <v>34775.360569669909</v>
      </c>
      <c r="Q46" s="4">
        <v>128947.03699233604</v>
      </c>
      <c r="R46" s="4">
        <v>6329.1156236799234</v>
      </c>
      <c r="S46" s="4">
        <v>0</v>
      </c>
      <c r="T46" s="4">
        <v>195089.7727958482</v>
      </c>
      <c r="U46" s="4">
        <v>0</v>
      </c>
      <c r="V46" s="4">
        <v>1957328.0735495747</v>
      </c>
      <c r="W46" s="4">
        <v>1521.67</v>
      </c>
      <c r="X46" s="4">
        <v>2409.66</v>
      </c>
      <c r="Y46" s="4">
        <v>0</v>
      </c>
      <c r="Z46" s="4">
        <v>0</v>
      </c>
      <c r="AA46" s="3"/>
      <c r="AB46" s="3"/>
      <c r="AC46" s="3">
        <v>262656</v>
      </c>
      <c r="AD46" s="3"/>
      <c r="AE46" s="3"/>
    </row>
    <row r="47" spans="1:31" ht="15">
      <c r="A47" s="4">
        <v>46</v>
      </c>
      <c r="B47" s="4" t="s">
        <v>212</v>
      </c>
      <c r="C47" s="7" t="s">
        <v>21</v>
      </c>
      <c r="D47" s="5">
        <v>45124</v>
      </c>
      <c r="E47" s="3" t="s">
        <v>84</v>
      </c>
      <c r="F47" s="4" t="s">
        <v>213</v>
      </c>
      <c r="G47" s="4" t="s">
        <v>85</v>
      </c>
      <c r="H47" s="4">
        <v>22.64</v>
      </c>
      <c r="I47" s="4">
        <v>16940</v>
      </c>
      <c r="J47" s="4" t="s">
        <v>86</v>
      </c>
      <c r="K47" s="4">
        <v>1</v>
      </c>
      <c r="L47" s="4">
        <v>59.44</v>
      </c>
      <c r="M47" s="4">
        <v>1450500</v>
      </c>
      <c r="N47" s="4">
        <v>192213.6</v>
      </c>
      <c r="O47" s="4">
        <v>73816.150740242258</v>
      </c>
      <c r="P47" s="4">
        <v>19044.414535666219</v>
      </c>
      <c r="Q47" s="4">
        <v>70616.689098250339</v>
      </c>
      <c r="R47" s="4">
        <v>3466.0834454912515</v>
      </c>
      <c r="S47" s="4">
        <v>0</v>
      </c>
      <c r="T47" s="4">
        <v>106839.16554508748</v>
      </c>
      <c r="U47" s="4">
        <v>0</v>
      </c>
      <c r="V47" s="4">
        <v>1916496.1033647377</v>
      </c>
      <c r="W47" s="4">
        <v>1489.93</v>
      </c>
      <c r="X47" s="4">
        <v>3155.1400000000003</v>
      </c>
      <c r="Y47" s="4">
        <v>1</v>
      </c>
      <c r="Z47" s="4">
        <v>3155.1400000000003</v>
      </c>
      <c r="AA47" s="3"/>
      <c r="AB47" s="3"/>
      <c r="AC47" s="3">
        <v>61798</v>
      </c>
      <c r="AD47" s="3"/>
      <c r="AE47" s="3"/>
    </row>
    <row r="48" spans="1:31" ht="15">
      <c r="A48" s="4">
        <v>47</v>
      </c>
      <c r="B48" s="4" t="s">
        <v>212</v>
      </c>
      <c r="C48" s="7" t="s">
        <v>21</v>
      </c>
      <c r="D48" s="5">
        <v>45124</v>
      </c>
      <c r="E48" s="3" t="s">
        <v>84</v>
      </c>
      <c r="F48" s="4" t="s">
        <v>214</v>
      </c>
      <c r="G48" s="4" t="s">
        <v>95</v>
      </c>
      <c r="H48" s="4">
        <v>27.895</v>
      </c>
      <c r="I48" s="4">
        <v>2555.09</v>
      </c>
      <c r="J48" s="4" t="s">
        <v>86</v>
      </c>
      <c r="K48" s="4">
        <v>1</v>
      </c>
      <c r="L48" s="4">
        <v>59.44</v>
      </c>
      <c r="M48" s="4">
        <v>752000</v>
      </c>
      <c r="N48" s="4">
        <v>236828.55</v>
      </c>
      <c r="O48" s="4">
        <v>90949.713997308208</v>
      </c>
      <c r="P48" s="4">
        <v>23464.838492597577</v>
      </c>
      <c r="Q48" s="4">
        <v>87007.621130551823</v>
      </c>
      <c r="R48" s="4">
        <v>4270.6006056527594</v>
      </c>
      <c r="S48" s="4">
        <v>0</v>
      </c>
      <c r="T48" s="4">
        <v>131637.74394347242</v>
      </c>
      <c r="U48" s="4">
        <v>0</v>
      </c>
      <c r="V48" s="4">
        <v>1326159.0681695829</v>
      </c>
      <c r="W48" s="4">
        <v>1030.99</v>
      </c>
      <c r="X48" s="4">
        <v>3155.1400000000003</v>
      </c>
      <c r="Y48" s="4">
        <v>0</v>
      </c>
      <c r="Z48" s="4">
        <v>0</v>
      </c>
      <c r="AA48" s="3"/>
      <c r="AB48" s="3"/>
      <c r="AC48" s="3">
        <v>18344</v>
      </c>
      <c r="AD48" s="3"/>
      <c r="AE48" s="3"/>
    </row>
    <row r="49" spans="1:31" ht="15">
      <c r="A49" s="4">
        <v>48</v>
      </c>
      <c r="B49" s="4" t="s">
        <v>212</v>
      </c>
      <c r="C49" s="7" t="s">
        <v>21</v>
      </c>
      <c r="D49" s="5">
        <v>45124</v>
      </c>
      <c r="E49" s="3" t="s">
        <v>84</v>
      </c>
      <c r="F49" s="4" t="s">
        <v>215</v>
      </c>
      <c r="G49" s="4" t="s">
        <v>95</v>
      </c>
      <c r="H49" s="4">
        <v>8.9049999999999994</v>
      </c>
      <c r="I49" s="4">
        <v>684.09</v>
      </c>
      <c r="J49" s="4" t="s">
        <v>86</v>
      </c>
      <c r="K49" s="4">
        <v>1</v>
      </c>
      <c r="L49" s="4">
        <v>59.44</v>
      </c>
      <c r="M49" s="4">
        <v>632500</v>
      </c>
      <c r="N49" s="4">
        <v>75603.45</v>
      </c>
      <c r="O49" s="4">
        <v>29034.13526244953</v>
      </c>
      <c r="P49" s="4">
        <v>7490.7469717362046</v>
      </c>
      <c r="Q49" s="4">
        <v>27775.689771197849</v>
      </c>
      <c r="R49" s="4">
        <v>1363.3159488559893</v>
      </c>
      <c r="S49" s="4">
        <v>0</v>
      </c>
      <c r="T49" s="4">
        <v>42023.09051144011</v>
      </c>
      <c r="U49" s="4">
        <v>0</v>
      </c>
      <c r="V49" s="4">
        <v>815790.42846567952</v>
      </c>
      <c r="W49" s="4">
        <v>634.22</v>
      </c>
      <c r="X49" s="4">
        <v>3155.1400000000003</v>
      </c>
      <c r="Y49" s="4">
        <v>0</v>
      </c>
      <c r="Z49" s="4">
        <v>0</v>
      </c>
      <c r="AA49" s="3"/>
      <c r="AB49" s="3"/>
      <c r="AC49" s="3">
        <v>3648</v>
      </c>
      <c r="AD49" s="3"/>
      <c r="AE49" s="3"/>
    </row>
    <row r="50" spans="1:31" ht="15">
      <c r="A50" s="4">
        <v>49</v>
      </c>
      <c r="B50" s="4" t="s">
        <v>216</v>
      </c>
      <c r="C50" s="7" t="s">
        <v>21</v>
      </c>
      <c r="D50" s="5">
        <v>45124</v>
      </c>
      <c r="E50" s="3" t="s">
        <v>84</v>
      </c>
      <c r="F50" s="4" t="s">
        <v>217</v>
      </c>
      <c r="G50" s="4" t="s">
        <v>85</v>
      </c>
      <c r="H50" s="4">
        <v>7.26</v>
      </c>
      <c r="I50" s="4">
        <v>3272</v>
      </c>
      <c r="J50" s="4" t="s">
        <v>86</v>
      </c>
      <c r="K50" s="4">
        <v>1</v>
      </c>
      <c r="L50" s="4">
        <v>60.059999999999995</v>
      </c>
      <c r="M50" s="4">
        <v>632500</v>
      </c>
      <c r="N50" s="4">
        <v>61637.4</v>
      </c>
      <c r="O50" s="4">
        <v>23426.373626373628</v>
      </c>
      <c r="P50" s="4">
        <v>6043.9560439560437</v>
      </c>
      <c r="Q50" s="4">
        <v>22410.989010989011</v>
      </c>
      <c r="R50" s="4">
        <v>1100</v>
      </c>
      <c r="S50" s="4">
        <v>0</v>
      </c>
      <c r="T50" s="4">
        <v>33906.593406593405</v>
      </c>
      <c r="U50" s="4">
        <v>0</v>
      </c>
      <c r="V50" s="4">
        <v>781025.312087912</v>
      </c>
      <c r="W50" s="4">
        <v>607.19000000000005</v>
      </c>
      <c r="X50" s="4">
        <v>2339.4300000000003</v>
      </c>
      <c r="Y50" s="4">
        <v>1</v>
      </c>
      <c r="Z50" s="4">
        <v>2339.4300000000003</v>
      </c>
      <c r="AA50" s="3"/>
      <c r="AB50" s="3"/>
      <c r="AC50" s="3">
        <v>13824</v>
      </c>
      <c r="AD50" s="3"/>
      <c r="AE50" s="3"/>
    </row>
    <row r="51" spans="1:31" ht="15">
      <c r="A51" s="4">
        <v>50</v>
      </c>
      <c r="B51" s="4" t="s">
        <v>216</v>
      </c>
      <c r="C51" s="7" t="s">
        <v>21</v>
      </c>
      <c r="D51" s="5">
        <v>45124</v>
      </c>
      <c r="E51" s="3" t="s">
        <v>84</v>
      </c>
      <c r="F51" s="4" t="s">
        <v>218</v>
      </c>
      <c r="G51" s="4" t="s">
        <v>91</v>
      </c>
      <c r="H51" s="4">
        <v>52.8</v>
      </c>
      <c r="I51" s="4">
        <v>10950</v>
      </c>
      <c r="J51" s="4" t="s">
        <v>86</v>
      </c>
      <c r="K51" s="4">
        <v>1</v>
      </c>
      <c r="L51" s="4">
        <v>60.059999999999995</v>
      </c>
      <c r="M51" s="4">
        <v>1148000</v>
      </c>
      <c r="N51" s="4">
        <v>448272</v>
      </c>
      <c r="O51" s="4">
        <v>170373.62637362638</v>
      </c>
      <c r="P51" s="4">
        <v>43956.043956043955</v>
      </c>
      <c r="Q51" s="4">
        <v>162989.01098901097</v>
      </c>
      <c r="R51" s="4">
        <v>8000</v>
      </c>
      <c r="S51" s="4">
        <v>0</v>
      </c>
      <c r="T51" s="4">
        <v>246593.4065934066</v>
      </c>
      <c r="U51" s="4">
        <v>0</v>
      </c>
      <c r="V51" s="4">
        <v>2228184.0879120878</v>
      </c>
      <c r="W51" s="4">
        <v>1732.24</v>
      </c>
      <c r="X51" s="4">
        <v>2339.4300000000003</v>
      </c>
      <c r="Y51" s="4">
        <v>0</v>
      </c>
      <c r="Z51" s="4">
        <v>0</v>
      </c>
      <c r="AA51" s="3"/>
      <c r="AB51" s="3"/>
      <c r="AC51" s="3">
        <v>94256.760000000009</v>
      </c>
      <c r="AD51" s="3"/>
      <c r="AE51" s="3"/>
    </row>
    <row r="52" spans="1:31" ht="15">
      <c r="A52" s="4">
        <v>51</v>
      </c>
      <c r="B52" s="4" t="s">
        <v>219</v>
      </c>
      <c r="C52" s="7" t="s">
        <v>21</v>
      </c>
      <c r="D52" s="5">
        <v>45124</v>
      </c>
      <c r="E52" s="3" t="s">
        <v>84</v>
      </c>
      <c r="F52" s="4" t="s">
        <v>220</v>
      </c>
      <c r="G52" s="4" t="s">
        <v>143</v>
      </c>
      <c r="H52" s="4">
        <v>26.361000000000001</v>
      </c>
      <c r="I52" s="4">
        <v>14840</v>
      </c>
      <c r="J52" s="4" t="s">
        <v>86</v>
      </c>
      <c r="K52" s="4">
        <v>1</v>
      </c>
      <c r="L52" s="4">
        <v>38.360999999999997</v>
      </c>
      <c r="M52" s="4">
        <v>1101000</v>
      </c>
      <c r="N52" s="4">
        <v>223804.89</v>
      </c>
      <c r="O52" s="4">
        <v>133175.92867756312</v>
      </c>
      <c r="P52" s="4">
        <v>34359.11472589348</v>
      </c>
      <c r="Q52" s="4">
        <v>127403.59740361302</v>
      </c>
      <c r="R52" s="4">
        <v>6253.3588801126134</v>
      </c>
      <c r="S52" s="4">
        <v>0</v>
      </c>
      <c r="T52" s="4">
        <v>192754.63361226243</v>
      </c>
      <c r="U52" s="4">
        <v>0</v>
      </c>
      <c r="V52" s="4">
        <v>1818751.5232994445</v>
      </c>
      <c r="W52" s="4">
        <v>1413.94</v>
      </c>
      <c r="X52" s="4">
        <v>1413.94</v>
      </c>
      <c r="Y52" s="4">
        <v>1</v>
      </c>
      <c r="Z52" s="4">
        <v>1413.94</v>
      </c>
      <c r="AA52" s="3"/>
      <c r="AB52" s="3"/>
      <c r="AC52" s="3">
        <v>43452.800000000003</v>
      </c>
      <c r="AD52" s="3"/>
      <c r="AE52" s="3"/>
    </row>
    <row r="53" spans="1:31" ht="15">
      <c r="A53" s="4">
        <v>52</v>
      </c>
      <c r="B53" s="4" t="s">
        <v>219</v>
      </c>
      <c r="C53" s="7" t="s">
        <v>21</v>
      </c>
      <c r="D53" s="5">
        <v>45124</v>
      </c>
      <c r="E53" s="3" t="s">
        <v>84</v>
      </c>
      <c r="F53" s="4" t="s">
        <v>221</v>
      </c>
      <c r="G53" s="4" t="s">
        <v>222</v>
      </c>
      <c r="H53" s="4">
        <v>12</v>
      </c>
      <c r="I53" s="4">
        <v>6030</v>
      </c>
      <c r="J53" s="4" t="s">
        <v>93</v>
      </c>
      <c r="K53" s="4">
        <v>0</v>
      </c>
      <c r="L53" s="4">
        <v>38.360999999999997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1413.94</v>
      </c>
      <c r="Y53" s="4">
        <v>0</v>
      </c>
      <c r="Z53" s="4">
        <v>0</v>
      </c>
      <c r="AA53" s="3"/>
      <c r="AB53" s="3"/>
      <c r="AC53" s="3">
        <v>10080</v>
      </c>
      <c r="AD53" s="3"/>
      <c r="AE53" s="3"/>
    </row>
    <row r="54" spans="1:31" ht="15">
      <c r="A54" s="4">
        <v>53</v>
      </c>
      <c r="B54" s="4" t="s">
        <v>223</v>
      </c>
      <c r="C54" s="7" t="s">
        <v>21</v>
      </c>
      <c r="D54" s="5">
        <v>45124</v>
      </c>
      <c r="E54" s="3" t="s">
        <v>84</v>
      </c>
      <c r="F54" s="4" t="s">
        <v>224</v>
      </c>
      <c r="G54" s="4" t="s">
        <v>100</v>
      </c>
      <c r="H54" s="4">
        <v>22.79</v>
      </c>
      <c r="I54" s="4">
        <v>1864.8</v>
      </c>
      <c r="J54" s="4" t="s">
        <v>86</v>
      </c>
      <c r="K54" s="4">
        <v>1</v>
      </c>
      <c r="L54" s="4">
        <v>42.854999999999997</v>
      </c>
      <c r="M54" s="4">
        <v>291000</v>
      </c>
      <c r="N54" s="4">
        <v>193487.1</v>
      </c>
      <c r="O54" s="4">
        <v>103061.53307665384</v>
      </c>
      <c r="P54" s="4">
        <v>26589.662816474156</v>
      </c>
      <c r="Q54" s="4">
        <v>98594.469723486181</v>
      </c>
      <c r="R54" s="4">
        <v>4839.318632598297</v>
      </c>
      <c r="S54" s="4">
        <v>0</v>
      </c>
      <c r="T54" s="4">
        <v>149168.00840042002</v>
      </c>
      <c r="U54" s="4">
        <v>0</v>
      </c>
      <c r="V54" s="4">
        <v>866740.0926496326</v>
      </c>
      <c r="W54" s="4">
        <v>673.82</v>
      </c>
      <c r="X54" s="4">
        <v>3020.77</v>
      </c>
      <c r="Y54" s="4">
        <v>1</v>
      </c>
      <c r="Z54" s="4">
        <v>3020.77</v>
      </c>
      <c r="AA54" s="3"/>
      <c r="AB54" s="3"/>
      <c r="AC54" s="3">
        <v>81385.919999999998</v>
      </c>
      <c r="AD54" s="3"/>
      <c r="AE54" s="3"/>
    </row>
    <row r="55" spans="1:31" ht="15">
      <c r="A55" s="4">
        <v>54</v>
      </c>
      <c r="B55" s="4" t="s">
        <v>223</v>
      </c>
      <c r="C55" s="7" t="s">
        <v>21</v>
      </c>
      <c r="D55" s="5">
        <v>45124</v>
      </c>
      <c r="E55" s="3" t="s">
        <v>84</v>
      </c>
      <c r="F55" s="4" t="s">
        <v>225</v>
      </c>
      <c r="G55" s="4" t="s">
        <v>226</v>
      </c>
      <c r="H55" s="4">
        <v>0.04</v>
      </c>
      <c r="I55" s="4">
        <v>272.2</v>
      </c>
      <c r="J55" s="4" t="s">
        <v>93</v>
      </c>
      <c r="K55" s="4">
        <v>0</v>
      </c>
      <c r="L55" s="4">
        <v>42.854999999999997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3020.77</v>
      </c>
      <c r="Y55" s="4">
        <v>0</v>
      </c>
      <c r="Z55" s="4">
        <v>0</v>
      </c>
      <c r="AA55" s="3"/>
      <c r="AB55" s="3"/>
      <c r="AC55" s="3">
        <v>7899.02</v>
      </c>
      <c r="AD55" s="3"/>
      <c r="AE55" s="3"/>
    </row>
    <row r="56" spans="1:31" ht="15">
      <c r="A56" s="4">
        <v>55</v>
      </c>
      <c r="B56" s="4" t="s">
        <v>223</v>
      </c>
      <c r="C56" s="7" t="s">
        <v>21</v>
      </c>
      <c r="D56" s="5">
        <v>45124</v>
      </c>
      <c r="E56" s="3" t="s">
        <v>84</v>
      </c>
      <c r="F56" s="4" t="s">
        <v>227</v>
      </c>
      <c r="G56" s="4" t="s">
        <v>228</v>
      </c>
      <c r="H56" s="4">
        <v>12.29</v>
      </c>
      <c r="I56" s="4">
        <v>13005</v>
      </c>
      <c r="J56" s="4" t="s">
        <v>86</v>
      </c>
      <c r="K56" s="4">
        <v>1</v>
      </c>
      <c r="L56" s="4">
        <v>42.854999999999997</v>
      </c>
      <c r="M56" s="4">
        <v>1230000</v>
      </c>
      <c r="N56" s="4">
        <v>104342.1</v>
      </c>
      <c r="O56" s="4">
        <v>55578.158907945399</v>
      </c>
      <c r="P56" s="4">
        <v>14339.050285847628</v>
      </c>
      <c r="Q56" s="4">
        <v>53169.198459922998</v>
      </c>
      <c r="R56" s="4">
        <v>2609.707152024268</v>
      </c>
      <c r="S56" s="4">
        <v>0</v>
      </c>
      <c r="T56" s="4">
        <v>80442.072103605184</v>
      </c>
      <c r="U56" s="4">
        <v>0</v>
      </c>
      <c r="V56" s="4">
        <v>1540480.2869093458</v>
      </c>
      <c r="W56" s="4">
        <v>1197.6099999999999</v>
      </c>
      <c r="X56" s="4">
        <v>3020.77</v>
      </c>
      <c r="Y56" s="4">
        <v>0</v>
      </c>
      <c r="Z56" s="4">
        <v>0</v>
      </c>
      <c r="AA56" s="3"/>
      <c r="AB56" s="3"/>
      <c r="AC56" s="3">
        <v>71289.600000000006</v>
      </c>
      <c r="AD56" s="3"/>
      <c r="AE56" s="3"/>
    </row>
    <row r="57" spans="1:31" ht="15">
      <c r="A57" s="4">
        <v>56</v>
      </c>
      <c r="B57" s="4" t="s">
        <v>223</v>
      </c>
      <c r="C57" s="7" t="s">
        <v>21</v>
      </c>
      <c r="D57" s="5">
        <v>45124</v>
      </c>
      <c r="E57" s="3" t="s">
        <v>84</v>
      </c>
      <c r="F57" s="4" t="s">
        <v>229</v>
      </c>
      <c r="G57" s="4" t="s">
        <v>145</v>
      </c>
      <c r="H57" s="4">
        <v>4.0289999999999999</v>
      </c>
      <c r="I57" s="4">
        <v>633</v>
      </c>
      <c r="J57" s="4" t="s">
        <v>86</v>
      </c>
      <c r="K57" s="4">
        <v>1</v>
      </c>
      <c r="L57" s="4">
        <v>42.854999999999997</v>
      </c>
      <c r="M57" s="4">
        <v>241000</v>
      </c>
      <c r="N57" s="4">
        <v>34206.21</v>
      </c>
      <c r="O57" s="4">
        <v>18220.049002450123</v>
      </c>
      <c r="P57" s="4">
        <v>4700.7350367518384</v>
      </c>
      <c r="Q57" s="4">
        <v>17430.325516275814</v>
      </c>
      <c r="R57" s="4">
        <v>855.53377668883456</v>
      </c>
      <c r="S57" s="4">
        <v>0</v>
      </c>
      <c r="T57" s="4">
        <v>26371.123556177812</v>
      </c>
      <c r="U57" s="4">
        <v>0</v>
      </c>
      <c r="V57" s="4">
        <v>342783.97688834451</v>
      </c>
      <c r="W57" s="4">
        <v>266.49</v>
      </c>
      <c r="X57" s="4">
        <v>3020.77</v>
      </c>
      <c r="Y57" s="4">
        <v>0</v>
      </c>
      <c r="Z57" s="4">
        <v>0</v>
      </c>
      <c r="AA57" s="3"/>
      <c r="AB57" s="3"/>
      <c r="AC57" s="3"/>
      <c r="AD57" s="3"/>
      <c r="AE57" s="3"/>
    </row>
    <row r="58" spans="1:31" ht="15">
      <c r="A58" s="4">
        <v>57</v>
      </c>
      <c r="B58" s="4" t="s">
        <v>223</v>
      </c>
      <c r="C58" s="7" t="s">
        <v>21</v>
      </c>
      <c r="D58" s="5">
        <v>45124</v>
      </c>
      <c r="E58" s="3" t="s">
        <v>84</v>
      </c>
      <c r="F58" s="4" t="s">
        <v>230</v>
      </c>
      <c r="G58" s="4" t="s">
        <v>144</v>
      </c>
      <c r="H58" s="4">
        <v>2.7450000000000001</v>
      </c>
      <c r="I58" s="4">
        <v>2942.01</v>
      </c>
      <c r="J58" s="4" t="s">
        <v>86</v>
      </c>
      <c r="K58" s="4">
        <v>1</v>
      </c>
      <c r="L58" s="4">
        <v>42.854999999999997</v>
      </c>
      <c r="M58" s="4">
        <v>465000</v>
      </c>
      <c r="N58" s="4">
        <v>23305.05</v>
      </c>
      <c r="O58" s="4">
        <v>12413.510675533777</v>
      </c>
      <c r="P58" s="4">
        <v>3202.6601330066505</v>
      </c>
      <c r="Q58" s="4">
        <v>11875.46377318866</v>
      </c>
      <c r="R58" s="4">
        <v>582.8841442072104</v>
      </c>
      <c r="S58" s="4">
        <v>0</v>
      </c>
      <c r="T58" s="4">
        <v>17966.92334616731</v>
      </c>
      <c r="U58" s="4">
        <v>0</v>
      </c>
      <c r="V58" s="4">
        <v>534346.49207210355</v>
      </c>
      <c r="W58" s="4">
        <v>415.41</v>
      </c>
      <c r="X58" s="4">
        <v>3020.77</v>
      </c>
      <c r="Y58" s="4">
        <v>0</v>
      </c>
      <c r="Z58" s="4">
        <v>0</v>
      </c>
      <c r="AA58" s="3"/>
      <c r="AB58" s="3"/>
      <c r="AC58" s="3"/>
      <c r="AD58" s="3"/>
      <c r="AE58" s="3"/>
    </row>
    <row r="59" spans="1:31" ht="15">
      <c r="A59" s="4">
        <v>58</v>
      </c>
      <c r="B59" s="4" t="s">
        <v>223</v>
      </c>
      <c r="C59" s="7" t="s">
        <v>21</v>
      </c>
      <c r="D59" s="5">
        <v>45124</v>
      </c>
      <c r="E59" s="3" t="s">
        <v>84</v>
      </c>
      <c r="F59" s="4" t="s">
        <v>231</v>
      </c>
      <c r="G59" s="4" t="s">
        <v>144</v>
      </c>
      <c r="H59" s="4">
        <v>0.75600000000000001</v>
      </c>
      <c r="I59" s="4">
        <v>374.7</v>
      </c>
      <c r="J59" s="4" t="s">
        <v>86</v>
      </c>
      <c r="K59" s="4">
        <v>1</v>
      </c>
      <c r="L59" s="4">
        <v>42.854999999999997</v>
      </c>
      <c r="M59" s="4">
        <v>289000</v>
      </c>
      <c r="N59" s="4">
        <v>6418.44</v>
      </c>
      <c r="O59" s="4">
        <v>3418.802940147008</v>
      </c>
      <c r="P59" s="4">
        <v>882.04410220511045</v>
      </c>
      <c r="Q59" s="4">
        <v>3270.6195309765494</v>
      </c>
      <c r="R59" s="4">
        <v>160.5320266013301</v>
      </c>
      <c r="S59" s="4">
        <v>0</v>
      </c>
      <c r="T59" s="4">
        <v>4948.2674133706696</v>
      </c>
      <c r="U59" s="4">
        <v>0</v>
      </c>
      <c r="V59" s="4">
        <v>308098.70601330069</v>
      </c>
      <c r="W59" s="4">
        <v>239.52</v>
      </c>
      <c r="X59" s="4">
        <v>3020.77</v>
      </c>
      <c r="Y59" s="4">
        <v>0</v>
      </c>
      <c r="Z59" s="4">
        <v>0</v>
      </c>
      <c r="AA59" s="3"/>
      <c r="AB59" s="3"/>
      <c r="AC59" s="3"/>
      <c r="AD59" s="3"/>
      <c r="AE59" s="3"/>
    </row>
    <row r="60" spans="1:31" ht="15">
      <c r="A60" s="4">
        <v>59</v>
      </c>
      <c r="B60" s="4" t="s">
        <v>223</v>
      </c>
      <c r="C60" s="7" t="s">
        <v>21</v>
      </c>
      <c r="D60" s="5">
        <v>45124</v>
      </c>
      <c r="E60" s="3" t="s">
        <v>84</v>
      </c>
      <c r="F60" s="4" t="s">
        <v>232</v>
      </c>
      <c r="G60" s="4" t="s">
        <v>99</v>
      </c>
      <c r="H60" s="4">
        <v>0.20499999999999999</v>
      </c>
      <c r="I60" s="4">
        <v>21</v>
      </c>
      <c r="J60" s="4" t="s">
        <v>86</v>
      </c>
      <c r="K60" s="4">
        <v>1</v>
      </c>
      <c r="L60" s="4">
        <v>42.854999999999997</v>
      </c>
      <c r="M60" s="4">
        <v>288000</v>
      </c>
      <c r="N60" s="4">
        <v>1740.4499999999998</v>
      </c>
      <c r="O60" s="4">
        <v>927.05635281764091</v>
      </c>
      <c r="P60" s="4">
        <v>239.17862559794659</v>
      </c>
      <c r="Q60" s="4">
        <v>886.87434371718587</v>
      </c>
      <c r="R60" s="4">
        <v>43.530509858826278</v>
      </c>
      <c r="S60" s="4">
        <v>0</v>
      </c>
      <c r="T60" s="4">
        <v>1341.7920896044802</v>
      </c>
      <c r="U60" s="4">
        <v>0</v>
      </c>
      <c r="V60" s="4">
        <v>293178.88192159607</v>
      </c>
      <c r="W60" s="4">
        <v>227.92</v>
      </c>
      <c r="X60" s="4">
        <v>3020.77</v>
      </c>
      <c r="Y60" s="4">
        <v>0</v>
      </c>
      <c r="Z60" s="4">
        <v>0</v>
      </c>
      <c r="AA60" s="3"/>
      <c r="AB60" s="3"/>
      <c r="AC60" s="3"/>
      <c r="AD60" s="3"/>
      <c r="AE60" s="3"/>
    </row>
    <row r="61" spans="1:31" ht="15">
      <c r="A61" s="4">
        <v>60</v>
      </c>
      <c r="B61" s="4" t="s">
        <v>233</v>
      </c>
      <c r="C61" s="7" t="s">
        <v>21</v>
      </c>
      <c r="D61" s="5">
        <v>45130</v>
      </c>
      <c r="E61" s="3" t="s">
        <v>84</v>
      </c>
      <c r="F61" s="4" t="s">
        <v>234</v>
      </c>
      <c r="G61" s="4" t="s">
        <v>152</v>
      </c>
      <c r="H61" s="4">
        <v>26.97</v>
      </c>
      <c r="I61" s="4">
        <v>17900</v>
      </c>
      <c r="J61" s="4" t="s">
        <v>86</v>
      </c>
      <c r="K61" s="4">
        <v>1</v>
      </c>
      <c r="L61" s="4">
        <v>52.369</v>
      </c>
      <c r="M61" s="4">
        <v>768000</v>
      </c>
      <c r="N61" s="4">
        <v>228975.3</v>
      </c>
      <c r="O61" s="4">
        <v>99806.870476808806</v>
      </c>
      <c r="P61" s="4">
        <v>25749.966583284</v>
      </c>
      <c r="Q61" s="4">
        <v>95480.876090817095</v>
      </c>
      <c r="R61" s="4">
        <v>4686.4939181576883</v>
      </c>
      <c r="S61" s="4">
        <v>0</v>
      </c>
      <c r="T61" s="4">
        <v>144457.31253222324</v>
      </c>
      <c r="U61" s="4">
        <v>0</v>
      </c>
      <c r="V61" s="4">
        <v>1367156.8196012911</v>
      </c>
      <c r="W61" s="4">
        <v>1062.8599999999999</v>
      </c>
      <c r="X61" s="4">
        <v>2357.5499999999997</v>
      </c>
      <c r="Y61" s="4">
        <v>1</v>
      </c>
      <c r="Z61" s="4">
        <v>2357.5499999999997</v>
      </c>
      <c r="AA61" s="3"/>
      <c r="AB61" s="3"/>
      <c r="AC61" s="3">
        <v>40080</v>
      </c>
      <c r="AD61" s="3">
        <v>1062.8599999999999</v>
      </c>
      <c r="AE61" s="3">
        <v>0</v>
      </c>
    </row>
    <row r="62" spans="1:31" ht="15">
      <c r="A62" s="4">
        <v>61</v>
      </c>
      <c r="B62" s="4" t="s">
        <v>233</v>
      </c>
      <c r="C62" s="7" t="s">
        <v>21</v>
      </c>
      <c r="D62" s="5">
        <v>45130</v>
      </c>
      <c r="E62" s="3" t="s">
        <v>84</v>
      </c>
      <c r="F62" s="4" t="s">
        <v>235</v>
      </c>
      <c r="G62" s="4" t="s">
        <v>152</v>
      </c>
      <c r="H62" s="4">
        <v>14.023999999999999</v>
      </c>
      <c r="I62" s="4">
        <v>1746.42</v>
      </c>
      <c r="J62" s="4" t="s">
        <v>86</v>
      </c>
      <c r="K62" s="4">
        <v>1</v>
      </c>
      <c r="L62" s="4">
        <v>52.369</v>
      </c>
      <c r="M62" s="4">
        <v>332000</v>
      </c>
      <c r="N62" s="4">
        <v>119063.76</v>
      </c>
      <c r="O62" s="4">
        <v>51898.092382898278</v>
      </c>
      <c r="P62" s="4">
        <v>13389.600717982012</v>
      </c>
      <c r="Q62" s="4">
        <v>49648.6394622773</v>
      </c>
      <c r="R62" s="4">
        <v>2436.9073306727259</v>
      </c>
      <c r="S62" s="4">
        <v>0</v>
      </c>
      <c r="T62" s="4">
        <v>75115.660027879087</v>
      </c>
      <c r="U62" s="4">
        <v>0</v>
      </c>
      <c r="V62" s="4">
        <v>643552.65992170933</v>
      </c>
      <c r="W62" s="4">
        <v>500.31</v>
      </c>
      <c r="X62" s="4">
        <v>2357.5499999999997</v>
      </c>
      <c r="Y62" s="4">
        <v>0</v>
      </c>
      <c r="Z62" s="4">
        <v>0</v>
      </c>
      <c r="AA62" s="3"/>
      <c r="AB62" s="3"/>
      <c r="AC62" s="3">
        <v>14523.6</v>
      </c>
      <c r="AD62" s="3">
        <v>500.31</v>
      </c>
      <c r="AE62" s="3">
        <v>0</v>
      </c>
    </row>
    <row r="63" spans="1:31" ht="15">
      <c r="A63" s="4">
        <v>62</v>
      </c>
      <c r="B63" s="4" t="s">
        <v>233</v>
      </c>
      <c r="C63" s="7" t="s">
        <v>21</v>
      </c>
      <c r="D63" s="5">
        <v>45130</v>
      </c>
      <c r="E63" s="3" t="s">
        <v>84</v>
      </c>
      <c r="F63" s="4" t="s">
        <v>236</v>
      </c>
      <c r="G63" s="4" t="s">
        <v>152</v>
      </c>
      <c r="H63" s="4">
        <v>5.3949999999999996</v>
      </c>
      <c r="I63" s="4">
        <v>424.4</v>
      </c>
      <c r="J63" s="4" t="s">
        <v>86</v>
      </c>
      <c r="K63" s="4">
        <v>1</v>
      </c>
      <c r="L63" s="4">
        <v>52.369</v>
      </c>
      <c r="M63" s="4">
        <v>291100</v>
      </c>
      <c r="N63" s="4">
        <v>45803.55</v>
      </c>
      <c r="O63" s="4">
        <v>19965.074757967497</v>
      </c>
      <c r="P63" s="4">
        <v>5150.9480799709745</v>
      </c>
      <c r="Q63" s="4">
        <v>19099.715480532373</v>
      </c>
      <c r="R63" s="4">
        <v>937.47255055471749</v>
      </c>
      <c r="S63" s="4">
        <v>0</v>
      </c>
      <c r="T63" s="4">
        <v>28896.818728637169</v>
      </c>
      <c r="U63" s="4">
        <v>0</v>
      </c>
      <c r="V63" s="4">
        <v>410953.57959766273</v>
      </c>
      <c r="W63" s="4">
        <v>319.49</v>
      </c>
      <c r="X63" s="4">
        <v>2357.5499999999997</v>
      </c>
      <c r="Y63" s="4">
        <v>0</v>
      </c>
      <c r="Z63" s="4">
        <v>0</v>
      </c>
      <c r="AA63" s="3"/>
      <c r="AB63" s="3"/>
      <c r="AC63" s="3">
        <v>5919.2</v>
      </c>
      <c r="AD63" s="3">
        <v>319.49</v>
      </c>
      <c r="AE63" s="3">
        <v>0</v>
      </c>
    </row>
    <row r="64" spans="1:31" ht="15">
      <c r="A64" s="4">
        <v>63</v>
      </c>
      <c r="B64" s="4" t="s">
        <v>233</v>
      </c>
      <c r="C64" s="7" t="s">
        <v>21</v>
      </c>
      <c r="D64" s="5">
        <v>45130</v>
      </c>
      <c r="E64" s="3" t="s">
        <v>84</v>
      </c>
      <c r="F64" s="4" t="s">
        <v>237</v>
      </c>
      <c r="G64" s="4" t="s">
        <v>85</v>
      </c>
      <c r="H64" s="4">
        <v>5.98</v>
      </c>
      <c r="I64" s="4">
        <v>2568</v>
      </c>
      <c r="J64" s="4" t="s">
        <v>86</v>
      </c>
      <c r="K64" s="4">
        <v>1</v>
      </c>
      <c r="L64" s="4">
        <v>52.369</v>
      </c>
      <c r="M64" s="4">
        <v>478000</v>
      </c>
      <c r="N64" s="4">
        <v>50770.2</v>
      </c>
      <c r="O64" s="4">
        <v>22129.962382325422</v>
      </c>
      <c r="P64" s="4">
        <v>5709.4846187630092</v>
      </c>
      <c r="Q64" s="4">
        <v>21170.768966373242</v>
      </c>
      <c r="R64" s="4">
        <v>1039.1262006148677</v>
      </c>
      <c r="S64" s="4">
        <v>0</v>
      </c>
      <c r="T64" s="4">
        <v>32030.208711260479</v>
      </c>
      <c r="U64" s="4">
        <v>0</v>
      </c>
      <c r="V64" s="4">
        <v>610849.75087933696</v>
      </c>
      <c r="W64" s="4">
        <v>474.89</v>
      </c>
      <c r="X64" s="4">
        <v>2357.5499999999997</v>
      </c>
      <c r="Y64" s="4">
        <v>0</v>
      </c>
      <c r="Z64" s="4">
        <v>0</v>
      </c>
      <c r="AA64" s="3"/>
      <c r="AB64" s="3"/>
      <c r="AC64" s="3">
        <v>8444.7999999999993</v>
      </c>
      <c r="AD64" s="3">
        <v>474.89</v>
      </c>
      <c r="AE64" s="3">
        <v>0</v>
      </c>
    </row>
    <row r="65" spans="1:31" ht="15">
      <c r="A65" s="4">
        <v>64</v>
      </c>
      <c r="B65" s="4" t="s">
        <v>238</v>
      </c>
      <c r="C65" s="7" t="s">
        <v>21</v>
      </c>
      <c r="D65" s="5">
        <v>45130</v>
      </c>
      <c r="E65" s="3" t="s">
        <v>84</v>
      </c>
      <c r="F65" s="4" t="s">
        <v>239</v>
      </c>
      <c r="G65" s="4" t="s">
        <v>152</v>
      </c>
      <c r="H65" s="4">
        <v>22.654</v>
      </c>
      <c r="I65" s="4">
        <v>3330.18</v>
      </c>
      <c r="J65" s="4" t="s">
        <v>86</v>
      </c>
      <c r="K65" s="4">
        <v>1</v>
      </c>
      <c r="L65" s="4">
        <v>64.730999999999995</v>
      </c>
      <c r="M65" s="4">
        <v>392000</v>
      </c>
      <c r="N65" s="4">
        <v>192332.46</v>
      </c>
      <c r="O65" s="4">
        <v>67824.461231867273</v>
      </c>
      <c r="P65" s="4">
        <v>17498.571009253683</v>
      </c>
      <c r="Q65" s="4">
        <v>64884.701302312656</v>
      </c>
      <c r="R65" s="4">
        <v>3184.7399236841702</v>
      </c>
      <c r="S65" s="4">
        <v>0</v>
      </c>
      <c r="T65" s="4">
        <v>98166.983361913168</v>
      </c>
      <c r="U65" s="4">
        <v>0</v>
      </c>
      <c r="V65" s="4">
        <v>835891.91682903108</v>
      </c>
      <c r="W65" s="4">
        <v>649.84</v>
      </c>
      <c r="X65" s="4">
        <v>2326.34</v>
      </c>
      <c r="Y65" s="4">
        <v>1</v>
      </c>
      <c r="Z65" s="4">
        <v>2326.34</v>
      </c>
      <c r="AA65" s="3"/>
      <c r="AB65" s="3"/>
      <c r="AC65" s="3">
        <v>34142.22</v>
      </c>
      <c r="AD65" s="3">
        <v>649.84</v>
      </c>
      <c r="AE65" s="3">
        <v>0</v>
      </c>
    </row>
    <row r="66" spans="1:31" ht="15">
      <c r="A66" s="4">
        <v>65</v>
      </c>
      <c r="B66" s="4" t="s">
        <v>238</v>
      </c>
      <c r="C66" s="7" t="s">
        <v>21</v>
      </c>
      <c r="D66" s="5">
        <v>45130</v>
      </c>
      <c r="E66" s="3" t="s">
        <v>84</v>
      </c>
      <c r="F66" s="4" t="s">
        <v>240</v>
      </c>
      <c r="G66" s="4" t="s">
        <v>152</v>
      </c>
      <c r="H66" s="4">
        <v>14.026999999999999</v>
      </c>
      <c r="I66" s="4">
        <v>12019.8</v>
      </c>
      <c r="J66" s="4" t="s">
        <v>86</v>
      </c>
      <c r="K66" s="4">
        <v>1</v>
      </c>
      <c r="L66" s="4">
        <v>64.730999999999995</v>
      </c>
      <c r="M66" s="4">
        <v>624000</v>
      </c>
      <c r="N66" s="4">
        <v>119089.23</v>
      </c>
      <c r="O66" s="4">
        <v>41995.838161004773</v>
      </c>
      <c r="P66" s="4">
        <v>10834.839566822697</v>
      </c>
      <c r="Q66" s="4">
        <v>40175.585113778565</v>
      </c>
      <c r="R66" s="4">
        <v>1971.9408011617309</v>
      </c>
      <c r="S66" s="4">
        <v>0</v>
      </c>
      <c r="T66" s="4">
        <v>60783.449969875335</v>
      </c>
      <c r="U66" s="4">
        <v>0</v>
      </c>
      <c r="V66" s="4">
        <v>898850.88361264323</v>
      </c>
      <c r="W66" s="4">
        <v>698.79</v>
      </c>
      <c r="X66" s="4">
        <v>2326.34</v>
      </c>
      <c r="Y66" s="4">
        <v>0</v>
      </c>
      <c r="Z66" s="4">
        <v>0</v>
      </c>
      <c r="AA66" s="3"/>
      <c r="AB66" s="3"/>
      <c r="AC66" s="3">
        <v>52884</v>
      </c>
      <c r="AD66" s="3">
        <v>698.79</v>
      </c>
      <c r="AE66" s="3">
        <v>0</v>
      </c>
    </row>
    <row r="67" spans="1:31" ht="15">
      <c r="A67" s="4">
        <v>66</v>
      </c>
      <c r="B67" s="4" t="s">
        <v>238</v>
      </c>
      <c r="C67" s="7" t="s">
        <v>21</v>
      </c>
      <c r="D67" s="5">
        <v>45130</v>
      </c>
      <c r="E67" s="3" t="s">
        <v>84</v>
      </c>
      <c r="F67" s="4" t="s">
        <v>241</v>
      </c>
      <c r="G67" s="4" t="s">
        <v>152</v>
      </c>
      <c r="H67" s="4">
        <v>8.6319999999999997</v>
      </c>
      <c r="I67" s="4">
        <v>4832</v>
      </c>
      <c r="J67" s="4" t="s">
        <v>86</v>
      </c>
      <c r="K67" s="4">
        <v>1</v>
      </c>
      <c r="L67" s="4">
        <v>64.730999999999995</v>
      </c>
      <c r="M67" s="4">
        <v>332000</v>
      </c>
      <c r="N67" s="4">
        <v>73285.679999999993</v>
      </c>
      <c r="O67" s="4">
        <v>25843.592714464477</v>
      </c>
      <c r="P67" s="4">
        <v>6667.5935795831992</v>
      </c>
      <c r="Q67" s="4">
        <v>24723.436993094503</v>
      </c>
      <c r="R67" s="4">
        <v>1213.5020314841422</v>
      </c>
      <c r="S67" s="4">
        <v>0</v>
      </c>
      <c r="T67" s="4">
        <v>37405.199981461745</v>
      </c>
      <c r="U67" s="4">
        <v>0</v>
      </c>
      <c r="V67" s="4">
        <v>501139.00530008809</v>
      </c>
      <c r="W67" s="4">
        <v>389.6</v>
      </c>
      <c r="X67" s="4">
        <v>2326.34</v>
      </c>
      <c r="Y67" s="4">
        <v>0</v>
      </c>
      <c r="Z67" s="4">
        <v>0</v>
      </c>
      <c r="AA67" s="3"/>
      <c r="AB67" s="3"/>
      <c r="AC67" s="3">
        <v>32281.199999999997</v>
      </c>
      <c r="AD67" s="3">
        <v>389.6</v>
      </c>
      <c r="AE67" s="3">
        <v>0</v>
      </c>
    </row>
    <row r="68" spans="1:31" ht="15">
      <c r="A68" s="4">
        <v>67</v>
      </c>
      <c r="B68" s="4" t="s">
        <v>238</v>
      </c>
      <c r="C68" s="7" t="s">
        <v>21</v>
      </c>
      <c r="D68" s="5">
        <v>45130</v>
      </c>
      <c r="E68" s="3" t="s">
        <v>84</v>
      </c>
      <c r="F68" s="4" t="s">
        <v>242</v>
      </c>
      <c r="G68" s="4" t="s">
        <v>152</v>
      </c>
      <c r="H68" s="4">
        <v>19.417999999999999</v>
      </c>
      <c r="I68" s="4">
        <v>2418.12</v>
      </c>
      <c r="J68" s="4" t="s">
        <v>86</v>
      </c>
      <c r="K68" s="4">
        <v>1</v>
      </c>
      <c r="L68" s="4">
        <v>64.730999999999995</v>
      </c>
      <c r="M68" s="4">
        <v>376000</v>
      </c>
      <c r="N68" s="4">
        <v>164858.82</v>
      </c>
      <c r="O68" s="4">
        <v>58136.10789266348</v>
      </c>
      <c r="P68" s="4">
        <v>14998.995844340425</v>
      </c>
      <c r="Q68" s="4">
        <v>55616.27659081429</v>
      </c>
      <c r="R68" s="4">
        <v>2729.817243669957</v>
      </c>
      <c r="S68" s="4">
        <v>0</v>
      </c>
      <c r="T68" s="4">
        <v>84144.366686749781</v>
      </c>
      <c r="U68" s="4">
        <v>0</v>
      </c>
      <c r="V68" s="4">
        <v>756484.38425823813</v>
      </c>
      <c r="W68" s="4">
        <v>588.11</v>
      </c>
      <c r="X68" s="4">
        <v>2326.34</v>
      </c>
      <c r="Y68" s="4">
        <v>0</v>
      </c>
      <c r="Z68" s="4">
        <v>0</v>
      </c>
      <c r="AA68" s="3"/>
      <c r="AB68" s="3"/>
      <c r="AC68" s="3">
        <v>20109.600000000002</v>
      </c>
      <c r="AD68" s="3">
        <v>588.11</v>
      </c>
      <c r="AE68" s="3">
        <v>0</v>
      </c>
    </row>
    <row r="69" spans="1:31" ht="15">
      <c r="A69" s="4">
        <v>68</v>
      </c>
      <c r="B69" s="4" t="s">
        <v>243</v>
      </c>
      <c r="C69" s="7" t="s">
        <v>21</v>
      </c>
      <c r="D69" s="5">
        <v>45130</v>
      </c>
      <c r="E69" s="3" t="s">
        <v>84</v>
      </c>
      <c r="F69" s="4" t="s">
        <v>244</v>
      </c>
      <c r="G69" s="4" t="s">
        <v>152</v>
      </c>
      <c r="H69" s="4">
        <v>10.788</v>
      </c>
      <c r="I69" s="4">
        <v>1343.4</v>
      </c>
      <c r="J69" s="4" t="s">
        <v>86</v>
      </c>
      <c r="K69" s="4">
        <v>1</v>
      </c>
      <c r="L69" s="4">
        <v>62.758000000000003</v>
      </c>
      <c r="M69" s="4">
        <v>332000</v>
      </c>
      <c r="N69" s="4">
        <v>91590.12</v>
      </c>
      <c r="O69" s="4">
        <v>33313.910577137576</v>
      </c>
      <c r="P69" s="4">
        <v>8594.9201695401389</v>
      </c>
      <c r="Q69" s="4">
        <v>31869.963988654836</v>
      </c>
      <c r="R69" s="4">
        <v>1564.2754708563054</v>
      </c>
      <c r="S69" s="4">
        <v>0</v>
      </c>
      <c r="T69" s="4">
        <v>48217.502151120178</v>
      </c>
      <c r="U69" s="4">
        <v>0</v>
      </c>
      <c r="V69" s="4">
        <v>547150.69235730905</v>
      </c>
      <c r="W69" s="4">
        <v>425.37</v>
      </c>
      <c r="X69" s="4">
        <v>2066.86</v>
      </c>
      <c r="Y69" s="4">
        <v>1</v>
      </c>
      <c r="Z69" s="4">
        <v>2066.86</v>
      </c>
      <c r="AA69" s="3"/>
      <c r="AB69" s="3"/>
      <c r="AC69" s="3">
        <v>11172</v>
      </c>
      <c r="AD69" s="3">
        <v>425.37</v>
      </c>
      <c r="AE69" s="3">
        <v>0</v>
      </c>
    </row>
    <row r="70" spans="1:31" ht="15">
      <c r="A70" s="4">
        <v>69</v>
      </c>
      <c r="B70" s="4" t="s">
        <v>243</v>
      </c>
      <c r="C70" s="7" t="s">
        <v>21</v>
      </c>
      <c r="D70" s="5">
        <v>45130</v>
      </c>
      <c r="E70" s="3" t="s">
        <v>84</v>
      </c>
      <c r="F70" s="4" t="s">
        <v>245</v>
      </c>
      <c r="G70" s="4" t="s">
        <v>152</v>
      </c>
      <c r="H70" s="4">
        <v>10.79</v>
      </c>
      <c r="I70" s="4">
        <v>8614</v>
      </c>
      <c r="J70" s="4" t="s">
        <v>86</v>
      </c>
      <c r="K70" s="4">
        <v>1</v>
      </c>
      <c r="L70" s="4">
        <v>62.758000000000003</v>
      </c>
      <c r="M70" s="4">
        <v>392000</v>
      </c>
      <c r="N70" s="4">
        <v>91607.099999999991</v>
      </c>
      <c r="O70" s="4">
        <v>33320.086682175977</v>
      </c>
      <c r="P70" s="4">
        <v>8596.5135918926662</v>
      </c>
      <c r="Q70" s="4">
        <v>31875.872398738007</v>
      </c>
      <c r="R70" s="4">
        <v>1564.5654737244654</v>
      </c>
      <c r="S70" s="4">
        <v>0</v>
      </c>
      <c r="T70" s="4">
        <v>48226.441250517862</v>
      </c>
      <c r="U70" s="4">
        <v>0</v>
      </c>
      <c r="V70" s="4">
        <v>607190.57939704903</v>
      </c>
      <c r="W70" s="4">
        <v>472.04</v>
      </c>
      <c r="X70" s="4">
        <v>2066.86</v>
      </c>
      <c r="Y70" s="4">
        <v>0</v>
      </c>
      <c r="Z70" s="4">
        <v>0</v>
      </c>
      <c r="AA70" s="3"/>
      <c r="AB70" s="3"/>
      <c r="AC70" s="3">
        <v>43092</v>
      </c>
      <c r="AD70" s="3">
        <v>472.04</v>
      </c>
      <c r="AE70" s="3">
        <v>0</v>
      </c>
    </row>
    <row r="71" spans="1:31" ht="15">
      <c r="A71" s="4">
        <v>70</v>
      </c>
      <c r="B71" s="4" t="s">
        <v>243</v>
      </c>
      <c r="C71" s="7" t="s">
        <v>21</v>
      </c>
      <c r="D71" s="5">
        <v>45130</v>
      </c>
      <c r="E71" s="3" t="s">
        <v>84</v>
      </c>
      <c r="F71" s="4" t="s">
        <v>246</v>
      </c>
      <c r="G71" s="4" t="s">
        <v>152</v>
      </c>
      <c r="H71" s="4">
        <v>10.79</v>
      </c>
      <c r="I71" s="4">
        <v>8614</v>
      </c>
      <c r="J71" s="4" t="s">
        <v>86</v>
      </c>
      <c r="K71" s="4">
        <v>1</v>
      </c>
      <c r="L71" s="4">
        <v>62.758000000000003</v>
      </c>
      <c r="M71" s="4">
        <v>392000</v>
      </c>
      <c r="N71" s="4">
        <v>91607.099999999991</v>
      </c>
      <c r="O71" s="4">
        <v>33320.086682175977</v>
      </c>
      <c r="P71" s="4">
        <v>8596.5135918926662</v>
      </c>
      <c r="Q71" s="4">
        <v>31875.872398738007</v>
      </c>
      <c r="R71" s="4">
        <v>1564.5654737244654</v>
      </c>
      <c r="S71" s="4">
        <v>0</v>
      </c>
      <c r="T71" s="4">
        <v>48226.441250517862</v>
      </c>
      <c r="U71" s="4">
        <v>0</v>
      </c>
      <c r="V71" s="4">
        <v>607190.57939704903</v>
      </c>
      <c r="W71" s="4">
        <v>472.04</v>
      </c>
      <c r="X71" s="4">
        <v>2066.86</v>
      </c>
      <c r="Y71" s="4">
        <v>0</v>
      </c>
      <c r="Z71" s="4">
        <v>0</v>
      </c>
      <c r="AA71" s="3"/>
      <c r="AB71" s="3"/>
      <c r="AC71" s="3">
        <v>43092</v>
      </c>
      <c r="AD71" s="3">
        <v>472.04</v>
      </c>
      <c r="AE71" s="3">
        <v>0</v>
      </c>
    </row>
    <row r="72" spans="1:31" ht="15">
      <c r="A72" s="4">
        <v>71</v>
      </c>
      <c r="B72" s="4" t="s">
        <v>243</v>
      </c>
      <c r="C72" s="7" t="s">
        <v>21</v>
      </c>
      <c r="D72" s="5">
        <v>45130</v>
      </c>
      <c r="E72" s="3" t="s">
        <v>84</v>
      </c>
      <c r="F72" s="4" t="s">
        <v>247</v>
      </c>
      <c r="G72" s="4" t="s">
        <v>100</v>
      </c>
      <c r="H72" s="4">
        <v>30.39</v>
      </c>
      <c r="I72" s="4">
        <v>2486.4</v>
      </c>
      <c r="J72" s="4" t="s">
        <v>86</v>
      </c>
      <c r="K72" s="4">
        <v>1</v>
      </c>
      <c r="L72" s="4">
        <v>62.758000000000003</v>
      </c>
      <c r="M72" s="4">
        <v>291000</v>
      </c>
      <c r="N72" s="4">
        <v>258011.1</v>
      </c>
      <c r="O72" s="4">
        <v>93845.916058510469</v>
      </c>
      <c r="P72" s="4">
        <v>24212.052646674529</v>
      </c>
      <c r="Q72" s="4">
        <v>89778.291213869146</v>
      </c>
      <c r="R72" s="4">
        <v>4406.593581694764</v>
      </c>
      <c r="S72" s="4">
        <v>0</v>
      </c>
      <c r="T72" s="4">
        <v>135829.61534784411</v>
      </c>
      <c r="U72" s="4">
        <v>0</v>
      </c>
      <c r="V72" s="4">
        <v>897083.56884859293</v>
      </c>
      <c r="W72" s="4">
        <v>697.41</v>
      </c>
      <c r="X72" s="4">
        <v>2066.86</v>
      </c>
      <c r="Y72" s="4">
        <v>0</v>
      </c>
      <c r="Z72" s="4">
        <v>0</v>
      </c>
      <c r="AA72" s="3"/>
      <c r="AB72" s="3"/>
      <c r="AC72" s="3">
        <v>108514.56</v>
      </c>
      <c r="AD72" s="3">
        <v>697.41</v>
      </c>
      <c r="AE72" s="3">
        <v>0</v>
      </c>
    </row>
    <row r="73" spans="1:31" ht="15">
      <c r="A73" s="4">
        <v>72</v>
      </c>
      <c r="B73" s="4" t="s">
        <v>248</v>
      </c>
      <c r="C73" s="7" t="s">
        <v>21</v>
      </c>
      <c r="D73" s="5">
        <v>45130</v>
      </c>
      <c r="E73" s="3" t="s">
        <v>84</v>
      </c>
      <c r="F73" s="4" t="s">
        <v>249</v>
      </c>
      <c r="G73" s="4" t="s">
        <v>152</v>
      </c>
      <c r="H73" s="4">
        <v>31.327999999999999</v>
      </c>
      <c r="I73" s="4">
        <v>5218.3999999999996</v>
      </c>
      <c r="J73" s="4" t="s">
        <v>86</v>
      </c>
      <c r="K73" s="4">
        <v>1</v>
      </c>
      <c r="L73" s="4">
        <v>64.341999999999999</v>
      </c>
      <c r="M73" s="4">
        <v>392000</v>
      </c>
      <c r="N73" s="4">
        <v>265974.71999999997</v>
      </c>
      <c r="O73" s="4">
        <v>94360.859158869789</v>
      </c>
      <c r="P73" s="4">
        <v>24344.906903733176</v>
      </c>
      <c r="Q73" s="4">
        <v>90270.914799042614</v>
      </c>
      <c r="R73" s="4">
        <v>4430.7730564794383</v>
      </c>
      <c r="S73" s="4">
        <v>0</v>
      </c>
      <c r="T73" s="4">
        <v>136574.92772994313</v>
      </c>
      <c r="U73" s="4">
        <v>0</v>
      </c>
      <c r="V73" s="4">
        <v>1007957.1016480681</v>
      </c>
      <c r="W73" s="4">
        <v>783.61</v>
      </c>
      <c r="X73" s="4">
        <v>2211.8199999999997</v>
      </c>
      <c r="Y73" s="4">
        <v>1</v>
      </c>
      <c r="Z73" s="4">
        <v>2211.8199999999997</v>
      </c>
      <c r="AA73" s="3"/>
      <c r="AB73" s="3"/>
      <c r="AC73" s="3">
        <v>33348.479999999996</v>
      </c>
      <c r="AD73" s="3">
        <v>783.61</v>
      </c>
      <c r="AE73" s="3">
        <v>0</v>
      </c>
    </row>
    <row r="74" spans="1:31" ht="15">
      <c r="A74" s="4">
        <v>73</v>
      </c>
      <c r="B74" s="4" t="s">
        <v>248</v>
      </c>
      <c r="C74" s="7" t="s">
        <v>21</v>
      </c>
      <c r="D74" s="5">
        <v>45130</v>
      </c>
      <c r="E74" s="3" t="s">
        <v>84</v>
      </c>
      <c r="F74" s="4" t="s">
        <v>250</v>
      </c>
      <c r="G74" s="4" t="s">
        <v>152</v>
      </c>
      <c r="H74" s="4">
        <v>21.361999999999998</v>
      </c>
      <c r="I74" s="4">
        <v>3254.16</v>
      </c>
      <c r="J74" s="4" t="s">
        <v>86</v>
      </c>
      <c r="K74" s="4">
        <v>1</v>
      </c>
      <c r="L74" s="4">
        <v>64.341999999999999</v>
      </c>
      <c r="M74" s="4">
        <v>392000</v>
      </c>
      <c r="N74" s="4">
        <v>181363.38</v>
      </c>
      <c r="O74" s="4">
        <v>64342.973485437193</v>
      </c>
      <c r="P74" s="4">
        <v>16600.354356407945</v>
      </c>
      <c r="Q74" s="4">
        <v>61554.113953560664</v>
      </c>
      <c r="R74" s="4">
        <v>3021.2644928662462</v>
      </c>
      <c r="S74" s="4">
        <v>0</v>
      </c>
      <c r="T74" s="4">
        <v>93127.987939448576</v>
      </c>
      <c r="U74" s="4">
        <v>0</v>
      </c>
      <c r="V74" s="4">
        <v>812010.07422772085</v>
      </c>
      <c r="W74" s="4">
        <v>631.28</v>
      </c>
      <c r="X74" s="4">
        <v>2211.8199999999997</v>
      </c>
      <c r="Y74" s="4">
        <v>0</v>
      </c>
      <c r="Z74" s="4">
        <v>0</v>
      </c>
      <c r="AA74" s="3"/>
      <c r="AB74" s="3"/>
      <c r="AC74" s="3">
        <v>40399.199999999997</v>
      </c>
      <c r="AD74" s="3">
        <v>631.28</v>
      </c>
      <c r="AE74" s="3">
        <v>0</v>
      </c>
    </row>
    <row r="75" spans="1:31" ht="15">
      <c r="A75" s="4">
        <v>74</v>
      </c>
      <c r="B75" s="4" t="s">
        <v>248</v>
      </c>
      <c r="C75" s="7" t="s">
        <v>21</v>
      </c>
      <c r="D75" s="5">
        <v>45130</v>
      </c>
      <c r="E75" s="3" t="s">
        <v>84</v>
      </c>
      <c r="F75" s="4" t="s">
        <v>251</v>
      </c>
      <c r="G75" s="4" t="s">
        <v>152</v>
      </c>
      <c r="H75" s="4">
        <v>7.1210000000000004</v>
      </c>
      <c r="I75" s="4">
        <v>1084.72</v>
      </c>
      <c r="J75" s="4" t="s">
        <v>86</v>
      </c>
      <c r="K75" s="4">
        <v>1</v>
      </c>
      <c r="L75" s="4">
        <v>64.341999999999999</v>
      </c>
      <c r="M75" s="4">
        <v>332000</v>
      </c>
      <c r="N75" s="4">
        <v>60457.29</v>
      </c>
      <c r="O75" s="4">
        <v>21448.661838301578</v>
      </c>
      <c r="P75" s="4">
        <v>5533.7104845979302</v>
      </c>
      <c r="Q75" s="4">
        <v>20518.998476889126</v>
      </c>
      <c r="R75" s="4">
        <v>1007.1353081968234</v>
      </c>
      <c r="S75" s="4">
        <v>0</v>
      </c>
      <c r="T75" s="4">
        <v>31044.11581859439</v>
      </c>
      <c r="U75" s="4">
        <v>0</v>
      </c>
      <c r="V75" s="4">
        <v>472009.91192657984</v>
      </c>
      <c r="W75" s="4">
        <v>366.95</v>
      </c>
      <c r="X75" s="4">
        <v>2211.8199999999997</v>
      </c>
      <c r="Y75" s="4">
        <v>0</v>
      </c>
      <c r="Z75" s="4">
        <v>0</v>
      </c>
      <c r="AA75" s="3"/>
      <c r="AB75" s="3"/>
      <c r="AC75" s="3">
        <v>13466.399999999998</v>
      </c>
      <c r="AD75" s="3">
        <v>366.95</v>
      </c>
      <c r="AE75" s="3">
        <v>0</v>
      </c>
    </row>
    <row r="76" spans="1:31" ht="15">
      <c r="A76" s="4">
        <v>75</v>
      </c>
      <c r="B76" s="4" t="s">
        <v>248</v>
      </c>
      <c r="C76" s="7" t="s">
        <v>21</v>
      </c>
      <c r="D76" s="5">
        <v>45130</v>
      </c>
      <c r="E76" s="3" t="s">
        <v>84</v>
      </c>
      <c r="F76" s="4" t="s">
        <v>252</v>
      </c>
      <c r="G76" s="4" t="s">
        <v>152</v>
      </c>
      <c r="H76" s="4">
        <v>1.8129999999999999</v>
      </c>
      <c r="I76" s="4">
        <v>324.38</v>
      </c>
      <c r="J76" s="4" t="s">
        <v>86</v>
      </c>
      <c r="K76" s="4">
        <v>1</v>
      </c>
      <c r="L76" s="4">
        <v>64.341999999999999</v>
      </c>
      <c r="M76" s="4">
        <v>232000</v>
      </c>
      <c r="N76" s="4">
        <v>15392.37</v>
      </c>
      <c r="O76" s="4">
        <v>5460.8094246370956</v>
      </c>
      <c r="P76" s="4">
        <v>1408.8775605358862</v>
      </c>
      <c r="Q76" s="4">
        <v>5224.1179944670666</v>
      </c>
      <c r="R76" s="4">
        <v>256.41571601753134</v>
      </c>
      <c r="S76" s="4">
        <v>0</v>
      </c>
      <c r="T76" s="4">
        <v>7903.8031146063213</v>
      </c>
      <c r="U76" s="4">
        <v>0</v>
      </c>
      <c r="V76" s="4">
        <v>267646.39381026389</v>
      </c>
      <c r="W76" s="4">
        <v>208.07</v>
      </c>
      <c r="X76" s="4">
        <v>2211.8199999999997</v>
      </c>
      <c r="Y76" s="4">
        <v>0</v>
      </c>
      <c r="Z76" s="4">
        <v>0</v>
      </c>
      <c r="AA76" s="3"/>
      <c r="AB76" s="3"/>
      <c r="AC76" s="3">
        <v>34485.119999999995</v>
      </c>
      <c r="AD76" s="3">
        <v>208.07</v>
      </c>
      <c r="AE76" s="3">
        <v>0</v>
      </c>
    </row>
    <row r="77" spans="1:31" ht="15">
      <c r="A77" s="4">
        <v>76</v>
      </c>
      <c r="B77" s="4" t="s">
        <v>248</v>
      </c>
      <c r="C77" s="7" t="s">
        <v>21</v>
      </c>
      <c r="D77" s="5">
        <v>45130</v>
      </c>
      <c r="E77" s="3" t="s">
        <v>84</v>
      </c>
      <c r="F77" s="4" t="s">
        <v>253</v>
      </c>
      <c r="G77" s="4" t="s">
        <v>152</v>
      </c>
      <c r="H77" s="4">
        <v>2.718</v>
      </c>
      <c r="I77" s="4">
        <v>486.57</v>
      </c>
      <c r="J77" s="4" t="s">
        <v>86</v>
      </c>
      <c r="K77" s="4">
        <v>1</v>
      </c>
      <c r="L77" s="4">
        <v>64.341999999999999</v>
      </c>
      <c r="M77" s="4">
        <v>232000</v>
      </c>
      <c r="N77" s="4">
        <v>23075.82</v>
      </c>
      <c r="O77" s="4">
        <v>8186.6960927543441</v>
      </c>
      <c r="P77" s="4">
        <v>2112.1506947250632</v>
      </c>
      <c r="Q77" s="4">
        <v>7831.8547760405345</v>
      </c>
      <c r="R77" s="4">
        <v>384.41142643996142</v>
      </c>
      <c r="S77" s="4">
        <v>0</v>
      </c>
      <c r="T77" s="4">
        <v>11849.165397407603</v>
      </c>
      <c r="U77" s="4">
        <v>0</v>
      </c>
      <c r="V77" s="4">
        <v>285440.0983873675</v>
      </c>
      <c r="W77" s="4">
        <v>221.91</v>
      </c>
      <c r="X77" s="4">
        <v>2211.8199999999997</v>
      </c>
      <c r="Y77" s="4">
        <v>0</v>
      </c>
      <c r="Z77" s="4">
        <v>0</v>
      </c>
      <c r="AA77" s="3"/>
      <c r="AB77" s="3"/>
      <c r="AC77" s="3">
        <v>51727.680000000008</v>
      </c>
      <c r="AD77" s="3">
        <v>221.91</v>
      </c>
      <c r="AE77" s="3">
        <v>0</v>
      </c>
    </row>
    <row r="78" spans="1:31" ht="15">
      <c r="A78" s="4">
        <v>77</v>
      </c>
      <c r="B78" s="4" t="s">
        <v>254</v>
      </c>
      <c r="C78" s="7" t="s">
        <v>21</v>
      </c>
      <c r="D78" s="5">
        <v>45130</v>
      </c>
      <c r="E78" s="3" t="s">
        <v>84</v>
      </c>
      <c r="F78" s="4" t="s">
        <v>255</v>
      </c>
      <c r="G78" s="4" t="s">
        <v>152</v>
      </c>
      <c r="H78" s="4">
        <v>54.834000000000003</v>
      </c>
      <c r="I78" s="4">
        <v>7091.1</v>
      </c>
      <c r="J78" s="4" t="s">
        <v>86</v>
      </c>
      <c r="K78" s="4">
        <v>1</v>
      </c>
      <c r="L78" s="4">
        <v>55.917000000000009</v>
      </c>
      <c r="M78" s="4">
        <v>784000</v>
      </c>
      <c r="N78" s="4">
        <v>465540.66</v>
      </c>
      <c r="O78" s="4">
        <v>190046.48318042813</v>
      </c>
      <c r="P78" s="4">
        <v>49031.600407747195</v>
      </c>
      <c r="Q78" s="4">
        <v>181809.17431192659</v>
      </c>
      <c r="R78" s="4">
        <v>8923.7512742099898</v>
      </c>
      <c r="S78" s="4">
        <v>0</v>
      </c>
      <c r="T78" s="4">
        <v>275067.27828746178</v>
      </c>
      <c r="U78" s="4">
        <v>0</v>
      </c>
      <c r="V78" s="4">
        <v>1954418.9474617736</v>
      </c>
      <c r="W78" s="4">
        <v>1519.41</v>
      </c>
      <c r="X78" s="4">
        <v>1923.76</v>
      </c>
      <c r="Y78" s="4">
        <v>1</v>
      </c>
      <c r="Z78" s="4">
        <v>1923.76</v>
      </c>
      <c r="AA78" s="3"/>
      <c r="AB78" s="3"/>
      <c r="AC78" s="3">
        <v>59243.519999999997</v>
      </c>
      <c r="AD78" s="3">
        <v>1519.41</v>
      </c>
      <c r="AE78" s="3">
        <v>0</v>
      </c>
    </row>
    <row r="79" spans="1:31" ht="15">
      <c r="A79" s="4">
        <v>78</v>
      </c>
      <c r="B79" s="4" t="s">
        <v>254</v>
      </c>
      <c r="C79" s="7" t="s">
        <v>21</v>
      </c>
      <c r="D79" s="5">
        <v>45130</v>
      </c>
      <c r="E79" s="3" t="s">
        <v>84</v>
      </c>
      <c r="F79" s="4" t="s">
        <v>256</v>
      </c>
      <c r="G79" s="4" t="s">
        <v>152</v>
      </c>
      <c r="H79" s="4">
        <v>0.627</v>
      </c>
      <c r="I79" s="4">
        <v>46.5</v>
      </c>
      <c r="J79" s="4" t="s">
        <v>86</v>
      </c>
      <c r="K79" s="4">
        <v>1</v>
      </c>
      <c r="L79" s="4">
        <v>55.917000000000009</v>
      </c>
      <c r="M79" s="4">
        <v>232000</v>
      </c>
      <c r="N79" s="4">
        <v>5323.23</v>
      </c>
      <c r="O79" s="4">
        <v>2173.0886850152901</v>
      </c>
      <c r="P79" s="4">
        <v>560.65239551478078</v>
      </c>
      <c r="Q79" s="4">
        <v>2078.899082568807</v>
      </c>
      <c r="R79" s="4">
        <v>102.0387359836901</v>
      </c>
      <c r="S79" s="4">
        <v>0</v>
      </c>
      <c r="T79" s="4">
        <v>3145.2599388379199</v>
      </c>
      <c r="U79" s="4">
        <v>0</v>
      </c>
      <c r="V79" s="4">
        <v>245383.1688379205</v>
      </c>
      <c r="W79" s="4">
        <v>190.77</v>
      </c>
      <c r="X79" s="4">
        <v>1923.76</v>
      </c>
      <c r="Y79" s="4">
        <v>0</v>
      </c>
      <c r="Z79" s="4">
        <v>0</v>
      </c>
      <c r="AA79" s="3"/>
      <c r="AB79" s="3"/>
      <c r="AC79" s="3">
        <v>960</v>
      </c>
      <c r="AD79" s="3">
        <v>190.77</v>
      </c>
      <c r="AE79" s="3">
        <v>0</v>
      </c>
    </row>
    <row r="80" spans="1:31" ht="15">
      <c r="A80" s="4">
        <v>79</v>
      </c>
      <c r="B80" s="4" t="s">
        <v>254</v>
      </c>
      <c r="C80" s="7" t="s">
        <v>21</v>
      </c>
      <c r="D80" s="5">
        <v>45130</v>
      </c>
      <c r="E80" s="3" t="s">
        <v>84</v>
      </c>
      <c r="F80" s="4" t="s">
        <v>257</v>
      </c>
      <c r="G80" s="4" t="s">
        <v>89</v>
      </c>
      <c r="H80" s="4">
        <v>0.45600000000000002</v>
      </c>
      <c r="I80" s="4">
        <v>85</v>
      </c>
      <c r="J80" s="4" t="s">
        <v>86</v>
      </c>
      <c r="K80" s="4">
        <v>1</v>
      </c>
      <c r="L80" s="4">
        <v>55.917000000000009</v>
      </c>
      <c r="M80" s="4">
        <v>265000</v>
      </c>
      <c r="N80" s="4">
        <v>3871.44</v>
      </c>
      <c r="O80" s="4">
        <v>1580.4281345565746</v>
      </c>
      <c r="P80" s="4">
        <v>407.7471967380223</v>
      </c>
      <c r="Q80" s="4">
        <v>1511.9266055045869</v>
      </c>
      <c r="R80" s="4">
        <v>74.209989806320067</v>
      </c>
      <c r="S80" s="4">
        <v>0</v>
      </c>
      <c r="T80" s="4">
        <v>2287.4617737003055</v>
      </c>
      <c r="U80" s="4">
        <v>0</v>
      </c>
      <c r="V80" s="4">
        <v>274733.21370030585</v>
      </c>
      <c r="W80" s="4">
        <v>213.58</v>
      </c>
      <c r="X80" s="4">
        <v>1923.76</v>
      </c>
      <c r="Y80" s="4">
        <v>0</v>
      </c>
      <c r="Z80" s="4">
        <v>0</v>
      </c>
      <c r="AA80" s="3"/>
      <c r="AB80" s="3"/>
      <c r="AC80" s="3">
        <v>10291.200000000001</v>
      </c>
      <c r="AD80" s="3">
        <v>213.58</v>
      </c>
      <c r="AE80" s="3">
        <v>0</v>
      </c>
    </row>
    <row r="81" spans="1:31" ht="15">
      <c r="A81" s="4">
        <v>80</v>
      </c>
      <c r="B81" s="4" t="s">
        <v>258</v>
      </c>
      <c r="C81" s="7" t="s">
        <v>21</v>
      </c>
      <c r="D81" s="5">
        <v>45130</v>
      </c>
      <c r="E81" s="3" t="s">
        <v>84</v>
      </c>
      <c r="F81" s="4" t="s">
        <v>259</v>
      </c>
      <c r="G81" s="4" t="s">
        <v>152</v>
      </c>
      <c r="H81" s="4">
        <v>24.812000000000001</v>
      </c>
      <c r="I81" s="4">
        <v>3089.82</v>
      </c>
      <c r="J81" s="4" t="s">
        <v>86</v>
      </c>
      <c r="K81" s="4">
        <v>1</v>
      </c>
      <c r="L81" s="4">
        <v>60.662999999999997</v>
      </c>
      <c r="M81" s="4">
        <v>392000</v>
      </c>
      <c r="N81" s="4">
        <v>210653.88</v>
      </c>
      <c r="O81" s="4">
        <v>79266.861183917717</v>
      </c>
      <c r="P81" s="4">
        <v>20450.686579958132</v>
      </c>
      <c r="Q81" s="4">
        <v>75831.14583848475</v>
      </c>
      <c r="R81" s="4">
        <v>3722.0249575523799</v>
      </c>
      <c r="S81" s="4">
        <v>0</v>
      </c>
      <c r="T81" s="4">
        <v>114728.35171356512</v>
      </c>
      <c r="U81" s="4">
        <v>0</v>
      </c>
      <c r="V81" s="4">
        <v>896652.95027347829</v>
      </c>
      <c r="W81" s="4">
        <v>697.08</v>
      </c>
      <c r="X81" s="4">
        <v>2053.8200000000002</v>
      </c>
      <c r="Y81" s="4">
        <v>1</v>
      </c>
      <c r="Z81" s="4">
        <v>2053.8200000000002</v>
      </c>
      <c r="AA81" s="3"/>
      <c r="AB81" s="3"/>
      <c r="AC81" s="3">
        <v>24619.200000000001</v>
      </c>
      <c r="AD81" s="3">
        <v>697.08</v>
      </c>
      <c r="AE81" s="3">
        <v>0</v>
      </c>
    </row>
    <row r="82" spans="1:31" ht="15">
      <c r="A82" s="4">
        <v>81</v>
      </c>
      <c r="B82" s="4" t="s">
        <v>258</v>
      </c>
      <c r="C82" s="7" t="s">
        <v>21</v>
      </c>
      <c r="D82" s="5">
        <v>45130</v>
      </c>
      <c r="E82" s="3" t="s">
        <v>84</v>
      </c>
      <c r="F82" s="4" t="s">
        <v>260</v>
      </c>
      <c r="G82" s="4" t="s">
        <v>152</v>
      </c>
      <c r="H82" s="4">
        <v>14.026999999999999</v>
      </c>
      <c r="I82" s="4">
        <v>12019.8</v>
      </c>
      <c r="J82" s="4" t="s">
        <v>86</v>
      </c>
      <c r="K82" s="4">
        <v>1</v>
      </c>
      <c r="L82" s="4">
        <v>60.662999999999997</v>
      </c>
      <c r="M82" s="4">
        <v>624000</v>
      </c>
      <c r="N82" s="4">
        <v>119089.23</v>
      </c>
      <c r="O82" s="4">
        <v>44812.036991246721</v>
      </c>
      <c r="P82" s="4">
        <v>11561.413052437234</v>
      </c>
      <c r="Q82" s="4">
        <v>42869.719598437267</v>
      </c>
      <c r="R82" s="4">
        <v>2104.1771755435766</v>
      </c>
      <c r="S82" s="4">
        <v>0</v>
      </c>
      <c r="T82" s="4">
        <v>64859.527224172889</v>
      </c>
      <c r="U82" s="4">
        <v>0</v>
      </c>
      <c r="V82" s="4">
        <v>909296.10404183774</v>
      </c>
      <c r="W82" s="4">
        <v>706.91</v>
      </c>
      <c r="X82" s="4">
        <v>2053.8200000000002</v>
      </c>
      <c r="Y82" s="4">
        <v>0</v>
      </c>
      <c r="Z82" s="4">
        <v>0</v>
      </c>
      <c r="AA82" s="3"/>
      <c r="AB82" s="3"/>
      <c r="AC82" s="3">
        <v>52884</v>
      </c>
      <c r="AD82" s="3">
        <v>706.91</v>
      </c>
      <c r="AE82" s="3">
        <v>0</v>
      </c>
    </row>
    <row r="83" spans="1:31" ht="15">
      <c r="A83" s="4">
        <v>82</v>
      </c>
      <c r="B83" s="4" t="s">
        <v>258</v>
      </c>
      <c r="C83" s="7" t="s">
        <v>21</v>
      </c>
      <c r="D83" s="5">
        <v>45130</v>
      </c>
      <c r="E83" s="3" t="s">
        <v>84</v>
      </c>
      <c r="F83" s="4" t="s">
        <v>261</v>
      </c>
      <c r="G83" s="4" t="s">
        <v>152</v>
      </c>
      <c r="H83" s="4">
        <v>21.824000000000002</v>
      </c>
      <c r="I83" s="4">
        <v>7810</v>
      </c>
      <c r="J83" s="4" t="s">
        <v>86</v>
      </c>
      <c r="K83" s="4">
        <v>1</v>
      </c>
      <c r="L83" s="4">
        <v>60.662999999999997</v>
      </c>
      <c r="M83" s="4">
        <v>392000</v>
      </c>
      <c r="N83" s="4">
        <v>185285.76000000001</v>
      </c>
      <c r="O83" s="4">
        <v>69721.101824835569</v>
      </c>
      <c r="P83" s="4">
        <v>17987.900367604638</v>
      </c>
      <c r="Q83" s="4">
        <v>66699.134563077998</v>
      </c>
      <c r="R83" s="4">
        <v>3273.797866904044</v>
      </c>
      <c r="S83" s="4">
        <v>0</v>
      </c>
      <c r="T83" s="4">
        <v>100912.121062262</v>
      </c>
      <c r="U83" s="4">
        <v>0</v>
      </c>
      <c r="V83" s="4">
        <v>835879.8156846842</v>
      </c>
      <c r="W83" s="4">
        <v>649.83000000000004</v>
      </c>
      <c r="X83" s="4">
        <v>2053.8200000000002</v>
      </c>
      <c r="Y83" s="4">
        <v>0</v>
      </c>
      <c r="Z83" s="4">
        <v>0</v>
      </c>
      <c r="AA83" s="3"/>
      <c r="AB83" s="3"/>
      <c r="AC83" s="3">
        <v>47055.360000000001</v>
      </c>
      <c r="AD83" s="3">
        <v>649.83000000000004</v>
      </c>
      <c r="AE83" s="3">
        <v>0</v>
      </c>
    </row>
    <row r="84" spans="1:31" ht="15">
      <c r="A84" s="4">
        <v>83</v>
      </c>
      <c r="B84" s="4" t="s">
        <v>262</v>
      </c>
      <c r="C84" s="7" t="s">
        <v>21</v>
      </c>
      <c r="D84" s="5">
        <v>45130</v>
      </c>
      <c r="E84" s="3" t="s">
        <v>84</v>
      </c>
      <c r="F84" s="4" t="s">
        <v>263</v>
      </c>
      <c r="G84" s="4" t="s">
        <v>152</v>
      </c>
      <c r="H84" s="4">
        <v>20.010000000000002</v>
      </c>
      <c r="I84" s="4">
        <v>8250</v>
      </c>
      <c r="J84" s="4" t="s">
        <v>86</v>
      </c>
      <c r="K84" s="4">
        <v>1</v>
      </c>
      <c r="L84" s="4">
        <v>61.136000000000003</v>
      </c>
      <c r="M84" s="4">
        <v>392000</v>
      </c>
      <c r="N84" s="4">
        <v>169884.90000000002</v>
      </c>
      <c r="O84" s="4">
        <v>63431.333420570525</v>
      </c>
      <c r="P84" s="4">
        <v>16365.153101282389</v>
      </c>
      <c r="Q84" s="4">
        <v>60681.987699555088</v>
      </c>
      <c r="R84" s="4">
        <v>2978.4578644333942</v>
      </c>
      <c r="S84" s="4">
        <v>0</v>
      </c>
      <c r="T84" s="4">
        <v>91808.508898194195</v>
      </c>
      <c r="U84" s="4">
        <v>0</v>
      </c>
      <c r="V84" s="4">
        <v>797150.34098403563</v>
      </c>
      <c r="W84" s="4">
        <v>619.72</v>
      </c>
      <c r="X84" s="4">
        <v>2109.7999999999997</v>
      </c>
      <c r="Y84" s="4">
        <v>1</v>
      </c>
      <c r="Z84" s="4">
        <v>2109.7999999999997</v>
      </c>
      <c r="AA84" s="3"/>
      <c r="AB84" s="3"/>
      <c r="AC84" s="3">
        <v>58291.199999999997</v>
      </c>
      <c r="AD84" s="3">
        <v>619.72</v>
      </c>
      <c r="AE84" s="3">
        <v>0</v>
      </c>
    </row>
    <row r="85" spans="1:31" ht="15">
      <c r="A85" s="4">
        <v>84</v>
      </c>
      <c r="B85" s="4" t="s">
        <v>262</v>
      </c>
      <c r="C85" s="7" t="s">
        <v>21</v>
      </c>
      <c r="D85" s="5">
        <v>45130</v>
      </c>
      <c r="E85" s="3" t="s">
        <v>84</v>
      </c>
      <c r="F85" s="4" t="s">
        <v>264</v>
      </c>
      <c r="G85" s="4" t="s">
        <v>152</v>
      </c>
      <c r="H85" s="4">
        <v>7.9359999999999999</v>
      </c>
      <c r="I85" s="4">
        <v>2840</v>
      </c>
      <c r="J85" s="4" t="s">
        <v>86</v>
      </c>
      <c r="K85" s="4">
        <v>1</v>
      </c>
      <c r="L85" s="4">
        <v>61.136000000000003</v>
      </c>
      <c r="M85" s="4">
        <v>332000</v>
      </c>
      <c r="N85" s="4">
        <v>67376.639999999999</v>
      </c>
      <c r="O85" s="4">
        <v>25156.974613975399</v>
      </c>
      <c r="P85" s="4">
        <v>6490.4475268254382</v>
      </c>
      <c r="Q85" s="4">
        <v>24066.579429468729</v>
      </c>
      <c r="R85" s="4">
        <v>1181.2614498822295</v>
      </c>
      <c r="S85" s="4">
        <v>0</v>
      </c>
      <c r="T85" s="4">
        <v>36411.410625490709</v>
      </c>
      <c r="U85" s="4">
        <v>0</v>
      </c>
      <c r="V85" s="4">
        <v>492683.31364564248</v>
      </c>
      <c r="W85" s="4">
        <v>383.02</v>
      </c>
      <c r="X85" s="4">
        <v>2109.7999999999997</v>
      </c>
      <c r="Y85" s="4">
        <v>0</v>
      </c>
      <c r="Z85" s="4">
        <v>0</v>
      </c>
      <c r="AA85" s="3"/>
      <c r="AB85" s="3"/>
      <c r="AC85" s="3">
        <v>17111.04</v>
      </c>
      <c r="AD85" s="3">
        <v>383.02</v>
      </c>
      <c r="AE85" s="3">
        <v>0</v>
      </c>
    </row>
    <row r="86" spans="1:31" ht="15">
      <c r="A86" s="4">
        <v>85</v>
      </c>
      <c r="B86" s="4" t="s">
        <v>262</v>
      </c>
      <c r="C86" s="7" t="s">
        <v>21</v>
      </c>
      <c r="D86" s="5">
        <v>45130</v>
      </c>
      <c r="E86" s="3" t="s">
        <v>84</v>
      </c>
      <c r="F86" s="4" t="s">
        <v>265</v>
      </c>
      <c r="G86" s="4" t="s">
        <v>152</v>
      </c>
      <c r="H86" s="4">
        <v>19.84</v>
      </c>
      <c r="I86" s="4">
        <v>7100</v>
      </c>
      <c r="J86" s="4" t="s">
        <v>86</v>
      </c>
      <c r="K86" s="4">
        <v>1</v>
      </c>
      <c r="L86" s="4">
        <v>61.136000000000003</v>
      </c>
      <c r="M86" s="4">
        <v>376000</v>
      </c>
      <c r="N86" s="4">
        <v>168441.60000000001</v>
      </c>
      <c r="O86" s="4">
        <v>62892.436534938497</v>
      </c>
      <c r="P86" s="4">
        <v>16226.118817063594</v>
      </c>
      <c r="Q86" s="4">
        <v>60166.448573671805</v>
      </c>
      <c r="R86" s="4">
        <v>2953.1536247055742</v>
      </c>
      <c r="S86" s="4">
        <v>0</v>
      </c>
      <c r="T86" s="4">
        <v>91028.526563726773</v>
      </c>
      <c r="U86" s="4">
        <v>0</v>
      </c>
      <c r="V86" s="4">
        <v>777708.28411410644</v>
      </c>
      <c r="W86" s="4">
        <v>604.61</v>
      </c>
      <c r="X86" s="4">
        <v>2109.7999999999997</v>
      </c>
      <c r="Y86" s="4">
        <v>0</v>
      </c>
      <c r="Z86" s="4">
        <v>0</v>
      </c>
      <c r="AA86" s="3"/>
      <c r="AB86" s="3"/>
      <c r="AC86" s="3">
        <v>36758.400000000001</v>
      </c>
      <c r="AD86" s="3">
        <v>604.61</v>
      </c>
      <c r="AE86" s="3">
        <v>0</v>
      </c>
    </row>
    <row r="87" spans="1:31" ht="15">
      <c r="A87" s="4">
        <v>86</v>
      </c>
      <c r="B87" s="4" t="s">
        <v>262</v>
      </c>
      <c r="C87" s="7" t="s">
        <v>21</v>
      </c>
      <c r="D87" s="5">
        <v>45130</v>
      </c>
      <c r="E87" s="3" t="s">
        <v>84</v>
      </c>
      <c r="F87" s="4" t="s">
        <v>266</v>
      </c>
      <c r="G87" s="4" t="s">
        <v>152</v>
      </c>
      <c r="H87" s="4">
        <v>13.35</v>
      </c>
      <c r="I87" s="4">
        <v>5480</v>
      </c>
      <c r="J87" s="4" t="s">
        <v>86</v>
      </c>
      <c r="K87" s="4">
        <v>1</v>
      </c>
      <c r="L87" s="4">
        <v>61.136000000000003</v>
      </c>
      <c r="M87" s="4">
        <v>376000</v>
      </c>
      <c r="N87" s="4">
        <v>113341.5</v>
      </c>
      <c r="O87" s="4">
        <v>42319.255430515565</v>
      </c>
      <c r="P87" s="4">
        <v>10918.280554828578</v>
      </c>
      <c r="Q87" s="4">
        <v>40484.984297304371</v>
      </c>
      <c r="R87" s="4">
        <v>1987.1270609788016</v>
      </c>
      <c r="S87" s="4">
        <v>0</v>
      </c>
      <c r="T87" s="4">
        <v>61251.553912588322</v>
      </c>
      <c r="U87" s="4">
        <v>0</v>
      </c>
      <c r="V87" s="4">
        <v>646302.70125621569</v>
      </c>
      <c r="W87" s="4">
        <v>502.45</v>
      </c>
      <c r="X87" s="4">
        <v>2109.7999999999997</v>
      </c>
      <c r="Y87" s="4">
        <v>0</v>
      </c>
      <c r="Z87" s="4">
        <v>0</v>
      </c>
      <c r="AA87" s="3"/>
      <c r="AB87" s="3"/>
      <c r="AC87" s="3">
        <v>39523.200000000004</v>
      </c>
      <c r="AD87" s="3">
        <v>502.45</v>
      </c>
      <c r="AE87" s="3">
        <v>0</v>
      </c>
    </row>
    <row r="88" spans="1:31" ht="15">
      <c r="A88" s="4">
        <v>87</v>
      </c>
      <c r="B88" s="4" t="s">
        <v>267</v>
      </c>
      <c r="C88" s="7" t="s">
        <v>21</v>
      </c>
      <c r="D88" s="5">
        <v>45130</v>
      </c>
      <c r="E88" s="3" t="s">
        <v>84</v>
      </c>
      <c r="F88" s="4" t="s">
        <v>268</v>
      </c>
      <c r="G88" s="4" t="s">
        <v>152</v>
      </c>
      <c r="H88" s="4">
        <v>66.432000000000002</v>
      </c>
      <c r="I88" s="4">
        <v>11352</v>
      </c>
      <c r="J88" s="4" t="s">
        <v>86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1787.15</v>
      </c>
      <c r="X88" s="4">
        <v>1787.15</v>
      </c>
      <c r="Y88" s="4">
        <v>1</v>
      </c>
      <c r="Z88" s="4">
        <v>1787.15</v>
      </c>
      <c r="AA88" s="3"/>
      <c r="AB88" s="3"/>
      <c r="AC88" s="3">
        <v>116730.71999999997</v>
      </c>
      <c r="AD88" s="3">
        <v>1787.15</v>
      </c>
      <c r="AE88" s="3">
        <v>0</v>
      </c>
    </row>
    <row r="89" spans="1:31" ht="15">
      <c r="A89" s="4">
        <v>88</v>
      </c>
      <c r="B89" s="4" t="s">
        <v>269</v>
      </c>
      <c r="C89" s="7" t="s">
        <v>21</v>
      </c>
      <c r="D89" s="5">
        <v>45130</v>
      </c>
      <c r="E89" s="3" t="s">
        <v>84</v>
      </c>
      <c r="F89" s="4" t="s">
        <v>270</v>
      </c>
      <c r="G89" s="4" t="s">
        <v>152</v>
      </c>
      <c r="H89" s="4">
        <v>23.527999999999999</v>
      </c>
      <c r="I89" s="4">
        <v>4020.5</v>
      </c>
      <c r="J89" s="4" t="s">
        <v>86</v>
      </c>
      <c r="K89" s="4">
        <v>1</v>
      </c>
      <c r="L89" s="4">
        <v>62.363999999999997</v>
      </c>
      <c r="M89" s="4">
        <v>392000</v>
      </c>
      <c r="N89" s="4">
        <v>199752.72</v>
      </c>
      <c r="O89" s="4">
        <v>73114.720030786993</v>
      </c>
      <c r="P89" s="4">
        <v>18863.44686036816</v>
      </c>
      <c r="Q89" s="4">
        <v>69945.660958245135</v>
      </c>
      <c r="R89" s="4">
        <v>3433.1473285870052</v>
      </c>
      <c r="S89" s="4">
        <v>0</v>
      </c>
      <c r="T89" s="4">
        <v>105823.93688666538</v>
      </c>
      <c r="U89" s="4">
        <v>0</v>
      </c>
      <c r="V89" s="4">
        <v>862933.63206465263</v>
      </c>
      <c r="W89" s="4">
        <v>670.87</v>
      </c>
      <c r="X89" s="4">
        <v>1838.04</v>
      </c>
      <c r="Y89" s="4">
        <v>1</v>
      </c>
      <c r="Z89" s="4">
        <v>1838.04</v>
      </c>
      <c r="AA89" s="3"/>
      <c r="AB89" s="3"/>
      <c r="AC89" s="3">
        <v>41342.12999999999</v>
      </c>
      <c r="AD89" s="3">
        <v>670.87</v>
      </c>
      <c r="AE89" s="3">
        <v>0</v>
      </c>
    </row>
    <row r="90" spans="1:31" ht="15">
      <c r="A90" s="4">
        <v>89</v>
      </c>
      <c r="B90" s="4" t="s">
        <v>269</v>
      </c>
      <c r="C90" s="7" t="s">
        <v>21</v>
      </c>
      <c r="D90" s="5">
        <v>45130</v>
      </c>
      <c r="E90" s="3" t="s">
        <v>84</v>
      </c>
      <c r="F90" s="4" t="s">
        <v>271</v>
      </c>
      <c r="G90" s="4" t="s">
        <v>152</v>
      </c>
      <c r="H90" s="4">
        <v>30.206</v>
      </c>
      <c r="I90" s="4">
        <v>5096</v>
      </c>
      <c r="J90" s="4" t="s">
        <v>86</v>
      </c>
      <c r="K90" s="4">
        <v>1</v>
      </c>
      <c r="L90" s="4">
        <v>62.363999999999997</v>
      </c>
      <c r="M90" s="4">
        <v>392000</v>
      </c>
      <c r="N90" s="4">
        <v>256448.94</v>
      </c>
      <c r="O90" s="4">
        <v>93867.019434289017</v>
      </c>
      <c r="P90" s="4">
        <v>24217.497274068373</v>
      </c>
      <c r="Q90" s="4">
        <v>89798.479892245523</v>
      </c>
      <c r="R90" s="4">
        <v>4407.5845038804437</v>
      </c>
      <c r="S90" s="4">
        <v>0</v>
      </c>
      <c r="T90" s="4">
        <v>135860.15970752356</v>
      </c>
      <c r="U90" s="4">
        <v>0</v>
      </c>
      <c r="V90" s="4">
        <v>996599.68081200693</v>
      </c>
      <c r="W90" s="4">
        <v>774.78</v>
      </c>
      <c r="X90" s="4">
        <v>1838.04</v>
      </c>
      <c r="Y90" s="4">
        <v>0</v>
      </c>
      <c r="Z90" s="4">
        <v>0</v>
      </c>
      <c r="AA90" s="3"/>
      <c r="AB90" s="3"/>
      <c r="AC90" s="3">
        <v>21097.440000000002</v>
      </c>
      <c r="AD90" s="3">
        <v>774.78</v>
      </c>
      <c r="AE90" s="3">
        <v>0</v>
      </c>
    </row>
    <row r="91" spans="1:31" ht="15">
      <c r="A91" s="4">
        <v>90</v>
      </c>
      <c r="B91" s="4" t="s">
        <v>269</v>
      </c>
      <c r="C91" s="7" t="s">
        <v>21</v>
      </c>
      <c r="D91" s="5">
        <v>45130</v>
      </c>
      <c r="E91" s="3" t="s">
        <v>84</v>
      </c>
      <c r="F91" s="4" t="s">
        <v>272</v>
      </c>
      <c r="G91" s="4" t="s">
        <v>152</v>
      </c>
      <c r="H91" s="4">
        <v>8.6300000000000008</v>
      </c>
      <c r="I91" s="4">
        <v>4832</v>
      </c>
      <c r="J91" s="4" t="s">
        <v>86</v>
      </c>
      <c r="K91" s="4">
        <v>1</v>
      </c>
      <c r="L91" s="4">
        <v>62.363999999999997</v>
      </c>
      <c r="M91" s="4">
        <v>332000</v>
      </c>
      <c r="N91" s="4">
        <v>73268.700000000012</v>
      </c>
      <c r="O91" s="4">
        <v>26818.260534923997</v>
      </c>
      <c r="P91" s="4">
        <v>6919.0558655634668</v>
      </c>
      <c r="Q91" s="4">
        <v>25655.859149509335</v>
      </c>
      <c r="R91" s="4">
        <v>1259.2681675325507</v>
      </c>
      <c r="S91" s="4">
        <v>0</v>
      </c>
      <c r="T91" s="4">
        <v>38815.903405811048</v>
      </c>
      <c r="U91" s="4">
        <v>0</v>
      </c>
      <c r="V91" s="4">
        <v>504737.04712334042</v>
      </c>
      <c r="W91" s="4">
        <v>392.39</v>
      </c>
      <c r="X91" s="4">
        <v>1838.04</v>
      </c>
      <c r="Y91" s="4">
        <v>0</v>
      </c>
      <c r="Z91" s="4">
        <v>0</v>
      </c>
      <c r="AA91" s="3"/>
      <c r="AB91" s="3"/>
      <c r="AC91" s="3">
        <v>32281.199999999997</v>
      </c>
      <c r="AD91" s="3">
        <v>392.39</v>
      </c>
      <c r="AE91" s="3">
        <v>0</v>
      </c>
    </row>
    <row r="92" spans="1:31" ht="15">
      <c r="A92" s="4">
        <v>91</v>
      </c>
      <c r="B92" s="4" t="s">
        <v>273</v>
      </c>
      <c r="C92" s="7" t="s">
        <v>21</v>
      </c>
      <c r="D92" s="5">
        <v>45130</v>
      </c>
      <c r="E92" s="3" t="s">
        <v>84</v>
      </c>
      <c r="F92" s="4" t="s">
        <v>274</v>
      </c>
      <c r="G92" s="4" t="s">
        <v>152</v>
      </c>
      <c r="H92" s="4">
        <v>30.206</v>
      </c>
      <c r="I92" s="4">
        <v>5096</v>
      </c>
      <c r="J92" s="4" t="s">
        <v>86</v>
      </c>
      <c r="K92" s="4">
        <v>1</v>
      </c>
      <c r="L92" s="4">
        <v>64.733999999999995</v>
      </c>
      <c r="M92" s="4">
        <v>392000</v>
      </c>
      <c r="N92" s="4">
        <v>256448.94</v>
      </c>
      <c r="O92" s="4">
        <v>90430.419872091952</v>
      </c>
      <c r="P92" s="4">
        <v>23330.861680106282</v>
      </c>
      <c r="Q92" s="4">
        <v>86510.835109834094</v>
      </c>
      <c r="R92" s="4">
        <v>4246.2168257793437</v>
      </c>
      <c r="S92" s="4">
        <v>0</v>
      </c>
      <c r="T92" s="4">
        <v>130886.13402539624</v>
      </c>
      <c r="U92" s="4">
        <v>0</v>
      </c>
      <c r="V92" s="4">
        <v>983853.40751320764</v>
      </c>
      <c r="W92" s="4">
        <v>764.87</v>
      </c>
      <c r="X92" s="4">
        <v>1875.45</v>
      </c>
      <c r="Y92" s="4">
        <v>1</v>
      </c>
      <c r="Z92" s="4">
        <v>1875.45</v>
      </c>
      <c r="AA92" s="3"/>
      <c r="AB92" s="3"/>
      <c r="AC92" s="3">
        <v>21097.440000000002</v>
      </c>
      <c r="AD92" s="3">
        <v>764.87</v>
      </c>
      <c r="AE92" s="3">
        <v>0</v>
      </c>
    </row>
    <row r="93" spans="1:31" ht="15">
      <c r="A93" s="4">
        <v>92</v>
      </c>
      <c r="B93" s="4" t="s">
        <v>273</v>
      </c>
      <c r="C93" s="7" t="s">
        <v>21</v>
      </c>
      <c r="D93" s="5">
        <v>45130</v>
      </c>
      <c r="E93" s="3" t="s">
        <v>84</v>
      </c>
      <c r="F93" s="4" t="s">
        <v>275</v>
      </c>
      <c r="G93" s="4" t="s">
        <v>152</v>
      </c>
      <c r="H93" s="4">
        <v>17.263999999999999</v>
      </c>
      <c r="I93" s="4">
        <v>5136</v>
      </c>
      <c r="J93" s="4" t="s">
        <v>86</v>
      </c>
      <c r="K93" s="4">
        <v>1</v>
      </c>
      <c r="L93" s="4">
        <v>64.733999999999995</v>
      </c>
      <c r="M93" s="4">
        <v>376000</v>
      </c>
      <c r="N93" s="4">
        <v>146571.35999999999</v>
      </c>
      <c r="O93" s="4">
        <v>51684.790063954031</v>
      </c>
      <c r="P93" s="4">
        <v>13334.569159946859</v>
      </c>
      <c r="Q93" s="4">
        <v>49444.58244508296</v>
      </c>
      <c r="R93" s="4">
        <v>2426.8915871103286</v>
      </c>
      <c r="S93" s="4">
        <v>0</v>
      </c>
      <c r="T93" s="4">
        <v>74806.932987301887</v>
      </c>
      <c r="U93" s="4">
        <v>0</v>
      </c>
      <c r="V93" s="4">
        <v>714269.12624339608</v>
      </c>
      <c r="W93" s="4">
        <v>555.29</v>
      </c>
      <c r="X93" s="4">
        <v>1875.45</v>
      </c>
      <c r="Y93" s="4">
        <v>0</v>
      </c>
      <c r="Z93" s="4">
        <v>0</v>
      </c>
      <c r="AA93" s="3"/>
      <c r="AB93" s="3"/>
      <c r="AC93" s="3">
        <v>27722.240000000002</v>
      </c>
      <c r="AD93" s="3">
        <v>555.29</v>
      </c>
      <c r="AE93" s="3">
        <v>0</v>
      </c>
    </row>
    <row r="94" spans="1:31" ht="15">
      <c r="A94" s="4">
        <v>93</v>
      </c>
      <c r="B94" s="4" t="s">
        <v>273</v>
      </c>
      <c r="C94" s="7" t="s">
        <v>21</v>
      </c>
      <c r="D94" s="5">
        <v>45130</v>
      </c>
      <c r="E94" s="3" t="s">
        <v>84</v>
      </c>
      <c r="F94" s="4" t="s">
        <v>276</v>
      </c>
      <c r="G94" s="4" t="s">
        <v>152</v>
      </c>
      <c r="H94" s="4">
        <v>17.263999999999999</v>
      </c>
      <c r="I94" s="4">
        <v>5136</v>
      </c>
      <c r="J94" s="4" t="s">
        <v>86</v>
      </c>
      <c r="K94" s="4">
        <v>1</v>
      </c>
      <c r="L94" s="4">
        <v>64.733999999999995</v>
      </c>
      <c r="M94" s="4">
        <v>376000</v>
      </c>
      <c r="N94" s="4">
        <v>146571.35999999999</v>
      </c>
      <c r="O94" s="4">
        <v>51684.790063954031</v>
      </c>
      <c r="P94" s="4">
        <v>13334.569159946859</v>
      </c>
      <c r="Q94" s="4">
        <v>49444.58244508296</v>
      </c>
      <c r="R94" s="4">
        <v>2426.8915871103286</v>
      </c>
      <c r="S94" s="4">
        <v>0</v>
      </c>
      <c r="T94" s="4">
        <v>74806.932987301887</v>
      </c>
      <c r="U94" s="4">
        <v>0</v>
      </c>
      <c r="V94" s="4">
        <v>714269.12624339608</v>
      </c>
      <c r="W94" s="4">
        <v>555.29</v>
      </c>
      <c r="X94" s="4">
        <v>1875.45</v>
      </c>
      <c r="Y94" s="4">
        <v>0</v>
      </c>
      <c r="Z94" s="4">
        <v>0</v>
      </c>
      <c r="AA94" s="3"/>
      <c r="AB94" s="3"/>
      <c r="AC94" s="3">
        <v>27722.240000000002</v>
      </c>
      <c r="AD94" s="3">
        <v>555.29</v>
      </c>
      <c r="AE94" s="3">
        <v>0</v>
      </c>
    </row>
    <row r="95" spans="1:31" ht="15">
      <c r="A95" s="4">
        <v>94</v>
      </c>
      <c r="B95" s="4" t="s">
        <v>277</v>
      </c>
      <c r="C95" s="7" t="s">
        <v>21</v>
      </c>
      <c r="D95" s="5">
        <v>45130</v>
      </c>
      <c r="E95" s="3" t="s">
        <v>84</v>
      </c>
      <c r="F95" s="4" t="s">
        <v>278</v>
      </c>
      <c r="G95" s="4" t="s">
        <v>95</v>
      </c>
      <c r="H95" s="4">
        <v>54.673999999999999</v>
      </c>
      <c r="I95" s="4">
        <v>3815.36</v>
      </c>
      <c r="J95" s="4" t="s">
        <v>86</v>
      </c>
      <c r="K95" s="4">
        <v>1</v>
      </c>
      <c r="L95" s="4">
        <v>54.673999999999999</v>
      </c>
      <c r="M95" s="4">
        <v>1504000</v>
      </c>
      <c r="N95" s="4">
        <v>464182.26</v>
      </c>
      <c r="O95" s="4">
        <v>193800</v>
      </c>
      <c r="P95" s="4">
        <v>50000</v>
      </c>
      <c r="Q95" s="4">
        <v>185400</v>
      </c>
      <c r="R95" s="4">
        <v>9100</v>
      </c>
      <c r="S95" s="4">
        <v>0</v>
      </c>
      <c r="T95" s="4">
        <v>280500</v>
      </c>
      <c r="U95" s="4">
        <v>0</v>
      </c>
      <c r="V95" s="4">
        <v>2686982.26</v>
      </c>
      <c r="W95" s="4">
        <v>2088.92</v>
      </c>
      <c r="X95" s="4">
        <v>2088.92</v>
      </c>
      <c r="Y95" s="4">
        <v>1</v>
      </c>
      <c r="Z95" s="4">
        <v>2088.92</v>
      </c>
      <c r="AA95" s="3"/>
      <c r="AB95" s="3"/>
      <c r="AC95" s="3">
        <v>16112.64</v>
      </c>
      <c r="AD95" s="3">
        <v>2088.92</v>
      </c>
      <c r="AE95" s="3">
        <v>0</v>
      </c>
    </row>
    <row r="96" spans="1:31" ht="15">
      <c r="A96" s="4">
        <v>95</v>
      </c>
      <c r="B96" s="4" t="s">
        <v>279</v>
      </c>
      <c r="C96" s="7" t="s">
        <v>21</v>
      </c>
      <c r="D96" s="5">
        <v>45130</v>
      </c>
      <c r="E96" s="3" t="s">
        <v>84</v>
      </c>
      <c r="F96" s="4" t="s">
        <v>280</v>
      </c>
      <c r="G96" s="4" t="s">
        <v>95</v>
      </c>
      <c r="H96" s="4">
        <v>34.170999999999999</v>
      </c>
      <c r="I96" s="4">
        <v>2384.6</v>
      </c>
      <c r="J96" s="4" t="s">
        <v>86</v>
      </c>
      <c r="K96" s="4">
        <v>1</v>
      </c>
      <c r="L96" s="4">
        <v>59.970999999999997</v>
      </c>
      <c r="M96" s="4">
        <v>1164000</v>
      </c>
      <c r="N96" s="4">
        <v>290111.78999999998</v>
      </c>
      <c r="O96" s="4">
        <v>110425.7024228377</v>
      </c>
      <c r="P96" s="4">
        <v>28489.603308265661</v>
      </c>
      <c r="Q96" s="4">
        <v>105639.44906704906</v>
      </c>
      <c r="R96" s="4">
        <v>5185.1078021043504</v>
      </c>
      <c r="S96" s="4">
        <v>0</v>
      </c>
      <c r="T96" s="4">
        <v>159826.67455937035</v>
      </c>
      <c r="U96" s="4">
        <v>0</v>
      </c>
      <c r="V96" s="4">
        <v>1863678.3271596271</v>
      </c>
      <c r="W96" s="4">
        <v>1448.87</v>
      </c>
      <c r="X96" s="4">
        <v>2286.37</v>
      </c>
      <c r="Y96" s="4">
        <v>1</v>
      </c>
      <c r="Z96" s="4">
        <v>2286.37</v>
      </c>
      <c r="AA96" s="3"/>
      <c r="AB96" s="3"/>
      <c r="AC96" s="3">
        <v>10070.4</v>
      </c>
      <c r="AD96" s="3">
        <v>1448.87</v>
      </c>
      <c r="AE96" s="3">
        <v>0</v>
      </c>
    </row>
    <row r="97" spans="1:31" ht="15">
      <c r="A97" s="4">
        <v>96</v>
      </c>
      <c r="B97" s="4" t="s">
        <v>279</v>
      </c>
      <c r="C97" s="7" t="s">
        <v>21</v>
      </c>
      <c r="D97" s="5">
        <v>45130</v>
      </c>
      <c r="E97" s="3" t="s">
        <v>84</v>
      </c>
      <c r="F97" s="4" t="s">
        <v>281</v>
      </c>
      <c r="G97" s="4" t="s">
        <v>97</v>
      </c>
      <c r="H97" s="4">
        <v>25.8</v>
      </c>
      <c r="I97" s="4">
        <v>4738.5600000000004</v>
      </c>
      <c r="J97" s="4" t="s">
        <v>86</v>
      </c>
      <c r="K97" s="4">
        <v>1</v>
      </c>
      <c r="L97" s="4">
        <v>59.970999999999997</v>
      </c>
      <c r="M97" s="4">
        <v>549000</v>
      </c>
      <c r="N97" s="4">
        <v>219042</v>
      </c>
      <c r="O97" s="4">
        <v>83374.297577162288</v>
      </c>
      <c r="P97" s="4">
        <v>21510.396691734339</v>
      </c>
      <c r="Q97" s="4">
        <v>79760.550932950922</v>
      </c>
      <c r="R97" s="4">
        <v>3914.8921978956496</v>
      </c>
      <c r="S97" s="4">
        <v>0</v>
      </c>
      <c r="T97" s="4">
        <v>120673.32544062963</v>
      </c>
      <c r="U97" s="4">
        <v>0</v>
      </c>
      <c r="V97" s="4">
        <v>1077275.4628403727</v>
      </c>
      <c r="W97" s="4">
        <v>837.5</v>
      </c>
      <c r="X97" s="4">
        <v>2286.37</v>
      </c>
      <c r="Y97" s="4">
        <v>0</v>
      </c>
      <c r="Z97" s="4">
        <v>0</v>
      </c>
      <c r="AA97" s="3"/>
      <c r="AB97" s="3"/>
      <c r="AC97" s="3">
        <v>57507.839999999997</v>
      </c>
      <c r="AD97" s="3">
        <v>837.5</v>
      </c>
      <c r="AE97" s="3">
        <v>0</v>
      </c>
    </row>
    <row r="98" spans="1:31" ht="15">
      <c r="A98" s="4">
        <v>97</v>
      </c>
      <c r="B98" s="4" t="s">
        <v>282</v>
      </c>
      <c r="C98" s="7" t="s">
        <v>21</v>
      </c>
      <c r="D98" s="5">
        <v>45130</v>
      </c>
      <c r="E98" s="3" t="s">
        <v>84</v>
      </c>
      <c r="F98" s="4" t="s">
        <v>283</v>
      </c>
      <c r="G98" s="4" t="s">
        <v>85</v>
      </c>
      <c r="H98" s="4">
        <v>12.349</v>
      </c>
      <c r="I98" s="4">
        <v>9240</v>
      </c>
      <c r="J98" s="4" t="s">
        <v>86</v>
      </c>
      <c r="K98" s="4">
        <v>1</v>
      </c>
      <c r="L98" s="4">
        <v>57.853999999999999</v>
      </c>
      <c r="M98" s="4">
        <v>752000</v>
      </c>
      <c r="N98" s="4">
        <v>104843.01</v>
      </c>
      <c r="O98" s="4">
        <v>41366.823382998584</v>
      </c>
      <c r="P98" s="4">
        <v>10672.555052373216</v>
      </c>
      <c r="Q98" s="4">
        <v>39573.834134199882</v>
      </c>
      <c r="R98" s="4">
        <v>1942.4050195319253</v>
      </c>
      <c r="S98" s="4">
        <v>0</v>
      </c>
      <c r="T98" s="4">
        <v>59873.033843813741</v>
      </c>
      <c r="U98" s="4">
        <v>0</v>
      </c>
      <c r="V98" s="4">
        <v>1010271.6614329172</v>
      </c>
      <c r="W98" s="4">
        <v>785.41</v>
      </c>
      <c r="X98" s="4">
        <v>2601.63</v>
      </c>
      <c r="Y98" s="4">
        <v>1</v>
      </c>
      <c r="Z98" s="4">
        <v>2601.63</v>
      </c>
      <c r="AA98" s="3"/>
      <c r="AB98" s="3"/>
      <c r="AC98" s="3">
        <v>33708</v>
      </c>
      <c r="AD98" s="3">
        <v>785.41</v>
      </c>
      <c r="AE98" s="3">
        <v>0</v>
      </c>
    </row>
    <row r="99" spans="1:31" ht="15">
      <c r="A99" s="4">
        <v>98</v>
      </c>
      <c r="B99" s="4" t="s">
        <v>282</v>
      </c>
      <c r="C99" s="7" t="s">
        <v>21</v>
      </c>
      <c r="D99" s="5">
        <v>45130</v>
      </c>
      <c r="E99" s="3" t="s">
        <v>84</v>
      </c>
      <c r="F99" s="4" t="s">
        <v>284</v>
      </c>
      <c r="G99" s="4" t="s">
        <v>95</v>
      </c>
      <c r="H99" s="4">
        <v>45.505000000000003</v>
      </c>
      <c r="I99" s="4">
        <v>3998.8</v>
      </c>
      <c r="J99" s="4" t="s">
        <v>86</v>
      </c>
      <c r="K99" s="4">
        <v>1</v>
      </c>
      <c r="L99" s="4">
        <v>57.853999999999999</v>
      </c>
      <c r="M99" s="4">
        <v>1384500</v>
      </c>
      <c r="N99" s="4">
        <v>386337.45</v>
      </c>
      <c r="O99" s="4">
        <v>152433.17661700145</v>
      </c>
      <c r="P99" s="4">
        <v>39327.444947626791</v>
      </c>
      <c r="Q99" s="4">
        <v>145826.16586580014</v>
      </c>
      <c r="R99" s="4">
        <v>7157.5949804680758</v>
      </c>
      <c r="S99" s="4">
        <v>0</v>
      </c>
      <c r="T99" s="4">
        <v>220626.96615618627</v>
      </c>
      <c r="U99" s="4">
        <v>0</v>
      </c>
      <c r="V99" s="4">
        <v>2336208.7985670827</v>
      </c>
      <c r="W99" s="4">
        <v>1816.22</v>
      </c>
      <c r="X99" s="4">
        <v>2601.63</v>
      </c>
      <c r="Y99" s="4">
        <v>0</v>
      </c>
      <c r="Z99" s="4">
        <v>0</v>
      </c>
      <c r="AA99" s="3"/>
      <c r="AB99" s="3"/>
      <c r="AC99" s="3">
        <v>27434.400000000001</v>
      </c>
      <c r="AD99" s="3">
        <v>1816.22</v>
      </c>
      <c r="AE99" s="3">
        <v>0</v>
      </c>
    </row>
    <row r="100" spans="1:31" ht="15">
      <c r="A100" s="4">
        <v>99</v>
      </c>
      <c r="B100" s="4" t="s">
        <v>285</v>
      </c>
      <c r="C100" s="7" t="s">
        <v>21</v>
      </c>
      <c r="D100" s="5">
        <v>45130</v>
      </c>
      <c r="E100" s="3" t="s">
        <v>84</v>
      </c>
      <c r="F100" s="4" t="s">
        <v>286</v>
      </c>
      <c r="G100" s="4" t="s">
        <v>85</v>
      </c>
      <c r="H100" s="4">
        <v>10.291</v>
      </c>
      <c r="I100" s="4">
        <v>7700</v>
      </c>
      <c r="J100" s="4" t="s">
        <v>86</v>
      </c>
      <c r="K100" s="4">
        <v>1</v>
      </c>
      <c r="L100" s="4">
        <v>57.068000000000005</v>
      </c>
      <c r="M100" s="4">
        <v>698500</v>
      </c>
      <c r="N100" s="4">
        <v>87370.59</v>
      </c>
      <c r="O100" s="4">
        <v>34947.707997476697</v>
      </c>
      <c r="P100" s="4">
        <v>9016.4365318567325</v>
      </c>
      <c r="Q100" s="4">
        <v>33432.946660124762</v>
      </c>
      <c r="R100" s="4">
        <v>1640.9914487979252</v>
      </c>
      <c r="S100" s="4">
        <v>0</v>
      </c>
      <c r="T100" s="4">
        <v>50582.208943716265</v>
      </c>
      <c r="U100" s="4">
        <v>0</v>
      </c>
      <c r="V100" s="4">
        <v>915490.88158197235</v>
      </c>
      <c r="W100" s="4">
        <v>711.72</v>
      </c>
      <c r="X100" s="4">
        <v>2409.0800000000004</v>
      </c>
      <c r="Y100" s="4">
        <v>1</v>
      </c>
      <c r="Z100" s="4">
        <v>2409.0800000000004</v>
      </c>
      <c r="AA100" s="3"/>
      <c r="AB100" s="3"/>
      <c r="AC100" s="3">
        <v>28090</v>
      </c>
      <c r="AD100" s="3">
        <v>711.72</v>
      </c>
      <c r="AE100" s="3">
        <v>0</v>
      </c>
    </row>
    <row r="101" spans="1:31" ht="15">
      <c r="A101" s="4">
        <v>100</v>
      </c>
      <c r="B101" s="4" t="s">
        <v>285</v>
      </c>
      <c r="C101" s="7" t="s">
        <v>21</v>
      </c>
      <c r="D101" s="5">
        <v>45130</v>
      </c>
      <c r="E101" s="3" t="s">
        <v>84</v>
      </c>
      <c r="F101" s="4" t="s">
        <v>287</v>
      </c>
      <c r="G101" s="4" t="s">
        <v>207</v>
      </c>
      <c r="H101" s="4">
        <v>26.257000000000001</v>
      </c>
      <c r="I101" s="4">
        <v>3570</v>
      </c>
      <c r="J101" s="4" t="s">
        <v>86</v>
      </c>
      <c r="K101" s="4">
        <v>1</v>
      </c>
      <c r="L101" s="4">
        <v>57.068000000000005</v>
      </c>
      <c r="M101" s="4">
        <v>370000</v>
      </c>
      <c r="N101" s="4">
        <v>222921.93</v>
      </c>
      <c r="O101" s="4">
        <v>89167.424826522736</v>
      </c>
      <c r="P101" s="4">
        <v>23005.011565150347</v>
      </c>
      <c r="Q101" s="4">
        <v>85302.582883577488</v>
      </c>
      <c r="R101" s="4">
        <v>4186.9121048573634</v>
      </c>
      <c r="S101" s="4">
        <v>0</v>
      </c>
      <c r="T101" s="4">
        <v>129058.11488049343</v>
      </c>
      <c r="U101" s="4">
        <v>0</v>
      </c>
      <c r="V101" s="4">
        <v>923641.97626060143</v>
      </c>
      <c r="W101" s="4">
        <v>718.06</v>
      </c>
      <c r="X101" s="4">
        <v>2409.0800000000004</v>
      </c>
      <c r="Y101" s="4">
        <v>0</v>
      </c>
      <c r="Z101" s="4">
        <v>0</v>
      </c>
      <c r="AA101" s="3"/>
      <c r="AB101" s="3"/>
      <c r="AC101" s="3">
        <v>17539.2</v>
      </c>
      <c r="AD101" s="3">
        <v>718.06</v>
      </c>
      <c r="AE101" s="3">
        <v>0</v>
      </c>
    </row>
    <row r="102" spans="1:31" ht="15">
      <c r="A102" s="4">
        <v>101</v>
      </c>
      <c r="B102" s="4" t="s">
        <v>285</v>
      </c>
      <c r="C102" s="7" t="s">
        <v>21</v>
      </c>
      <c r="D102" s="5">
        <v>45130</v>
      </c>
      <c r="E102" s="3" t="s">
        <v>84</v>
      </c>
      <c r="F102" s="4" t="s">
        <v>288</v>
      </c>
      <c r="G102" s="4" t="s">
        <v>289</v>
      </c>
      <c r="H102" s="4">
        <v>8.3460000000000001</v>
      </c>
      <c r="I102" s="4">
        <v>586.79999999999995</v>
      </c>
      <c r="J102" s="4" t="s">
        <v>86</v>
      </c>
      <c r="K102" s="4">
        <v>1</v>
      </c>
      <c r="L102" s="4">
        <v>57.068000000000005</v>
      </c>
      <c r="M102" s="4">
        <v>448000</v>
      </c>
      <c r="N102" s="4">
        <v>70857.539999999994</v>
      </c>
      <c r="O102" s="4">
        <v>28342.587790004905</v>
      </c>
      <c r="P102" s="4">
        <v>7312.3291511880561</v>
      </c>
      <c r="Q102" s="4">
        <v>27114.11649260531</v>
      </c>
      <c r="R102" s="4">
        <v>1330.8439055162262</v>
      </c>
      <c r="S102" s="4">
        <v>0</v>
      </c>
      <c r="T102" s="4">
        <v>41022.166538164995</v>
      </c>
      <c r="U102" s="4">
        <v>0</v>
      </c>
      <c r="V102" s="4">
        <v>623979.58387747931</v>
      </c>
      <c r="W102" s="4">
        <v>485.1</v>
      </c>
      <c r="X102" s="4">
        <v>2409.0800000000004</v>
      </c>
      <c r="Y102" s="4">
        <v>0</v>
      </c>
      <c r="Z102" s="4">
        <v>0</v>
      </c>
      <c r="AA102" s="3"/>
      <c r="AB102" s="3"/>
      <c r="AC102" s="3">
        <v>2723.4</v>
      </c>
      <c r="AD102" s="3">
        <v>485.1</v>
      </c>
      <c r="AE102" s="3">
        <v>0</v>
      </c>
    </row>
    <row r="103" spans="1:31" ht="15">
      <c r="A103" s="4">
        <v>102</v>
      </c>
      <c r="B103" s="4" t="s">
        <v>285</v>
      </c>
      <c r="C103" s="7" t="s">
        <v>21</v>
      </c>
      <c r="D103" s="5">
        <v>45130</v>
      </c>
      <c r="E103" s="3" t="s">
        <v>84</v>
      </c>
      <c r="F103" s="4" t="s">
        <v>290</v>
      </c>
      <c r="G103" s="4" t="s">
        <v>87</v>
      </c>
      <c r="H103" s="4">
        <v>3.65</v>
      </c>
      <c r="I103" s="4">
        <v>666</v>
      </c>
      <c r="J103" s="4" t="s">
        <v>86</v>
      </c>
      <c r="K103" s="4">
        <v>1</v>
      </c>
      <c r="L103" s="4">
        <v>57.068000000000005</v>
      </c>
      <c r="M103" s="4">
        <v>147000</v>
      </c>
      <c r="N103" s="4">
        <v>30988.5</v>
      </c>
      <c r="O103" s="4">
        <v>12395.212728674564</v>
      </c>
      <c r="P103" s="4">
        <v>3197.9393004836338</v>
      </c>
      <c r="Q103" s="4">
        <v>11857.958926193312</v>
      </c>
      <c r="R103" s="4">
        <v>582.02495268802124</v>
      </c>
      <c r="S103" s="4">
        <v>0</v>
      </c>
      <c r="T103" s="4">
        <v>17940.439475713185</v>
      </c>
      <c r="U103" s="4">
        <v>0</v>
      </c>
      <c r="V103" s="4">
        <v>223962.0753837527</v>
      </c>
      <c r="W103" s="4">
        <v>174.11</v>
      </c>
      <c r="X103" s="4">
        <v>2409.0800000000004</v>
      </c>
      <c r="Y103" s="4">
        <v>0</v>
      </c>
      <c r="Z103" s="4">
        <v>0</v>
      </c>
      <c r="AA103" s="3"/>
      <c r="AB103" s="3"/>
      <c r="AC103" s="3">
        <v>9120</v>
      </c>
      <c r="AD103" s="3">
        <v>174.11</v>
      </c>
      <c r="AE103" s="3">
        <v>0</v>
      </c>
    </row>
    <row r="104" spans="1:31" ht="15">
      <c r="A104" s="4">
        <v>103</v>
      </c>
      <c r="B104" s="4" t="s">
        <v>285</v>
      </c>
      <c r="C104" s="7" t="s">
        <v>21</v>
      </c>
      <c r="D104" s="5">
        <v>45130</v>
      </c>
      <c r="E104" s="3" t="s">
        <v>84</v>
      </c>
      <c r="F104" s="4" t="s">
        <v>291</v>
      </c>
      <c r="G104" s="4" t="s">
        <v>87</v>
      </c>
      <c r="H104" s="4">
        <v>8.5239999999999991</v>
      </c>
      <c r="I104" s="4">
        <v>540</v>
      </c>
      <c r="J104" s="4" t="s">
        <v>86</v>
      </c>
      <c r="K104" s="4">
        <v>1</v>
      </c>
      <c r="L104" s="4">
        <v>57.068000000000005</v>
      </c>
      <c r="M104" s="4">
        <v>232000</v>
      </c>
      <c r="N104" s="4">
        <v>72368.759999999995</v>
      </c>
      <c r="O104" s="4">
        <v>28947.066657321087</v>
      </c>
      <c r="P104" s="4">
        <v>7468.2834513212292</v>
      </c>
      <c r="Q104" s="4">
        <v>27692.395037499118</v>
      </c>
      <c r="R104" s="4">
        <v>1359.2275881404637</v>
      </c>
      <c r="S104" s="4">
        <v>0</v>
      </c>
      <c r="T104" s="4">
        <v>41897.070161912096</v>
      </c>
      <c r="U104" s="4">
        <v>0</v>
      </c>
      <c r="V104" s="4">
        <v>411732.8028961941</v>
      </c>
      <c r="W104" s="4">
        <v>320.08999999999997</v>
      </c>
      <c r="X104" s="4">
        <v>2409.0800000000004</v>
      </c>
      <c r="Y104" s="4">
        <v>0</v>
      </c>
      <c r="Z104" s="4">
        <v>0</v>
      </c>
      <c r="AA104" s="3"/>
      <c r="AB104" s="3"/>
      <c r="AC104" s="3">
        <v>7840</v>
      </c>
      <c r="AD104" s="3">
        <v>320.08999999999997</v>
      </c>
      <c r="AE104" s="3">
        <v>0</v>
      </c>
    </row>
    <row r="105" spans="1:31" ht="15">
      <c r="A105" s="4">
        <v>104</v>
      </c>
      <c r="B105" s="4" t="s">
        <v>292</v>
      </c>
      <c r="C105" s="7" t="s">
        <v>21</v>
      </c>
      <c r="D105" s="5">
        <v>45130</v>
      </c>
      <c r="E105" s="3" t="s">
        <v>84</v>
      </c>
      <c r="F105" s="4" t="s">
        <v>293</v>
      </c>
      <c r="G105" s="4" t="s">
        <v>85</v>
      </c>
      <c r="H105" s="4">
        <v>17.940000000000001</v>
      </c>
      <c r="I105" s="4">
        <v>7704</v>
      </c>
      <c r="J105" s="4" t="s">
        <v>86</v>
      </c>
      <c r="K105" s="4">
        <v>1</v>
      </c>
      <c r="L105" s="4">
        <v>66.493000000000009</v>
      </c>
      <c r="M105" s="4">
        <v>698500</v>
      </c>
      <c r="N105" s="4">
        <v>152310.6</v>
      </c>
      <c r="O105" s="4">
        <v>52287.789692148035</v>
      </c>
      <c r="P105" s="4">
        <v>13490.141819439636</v>
      </c>
      <c r="Q105" s="4">
        <v>50021.44586648218</v>
      </c>
      <c r="R105" s="4">
        <v>2455.2058111380143</v>
      </c>
      <c r="S105" s="4">
        <v>0</v>
      </c>
      <c r="T105" s="4">
        <v>75679.69560705639</v>
      </c>
      <c r="U105" s="4">
        <v>0</v>
      </c>
      <c r="V105" s="4">
        <v>1044744.8787962642</v>
      </c>
      <c r="W105" s="4">
        <v>812.21</v>
      </c>
      <c r="X105" s="4">
        <v>2503.17</v>
      </c>
      <c r="Y105" s="4">
        <v>1</v>
      </c>
      <c r="Z105" s="4">
        <v>2503.17</v>
      </c>
      <c r="AA105" s="3"/>
      <c r="AB105" s="3"/>
      <c r="AC105" s="3">
        <v>25334.399999999998</v>
      </c>
      <c r="AD105" s="3">
        <v>812.21</v>
      </c>
      <c r="AE105" s="3">
        <v>0</v>
      </c>
    </row>
    <row r="106" spans="1:31" ht="15">
      <c r="A106" s="4">
        <v>105</v>
      </c>
      <c r="B106" s="4" t="s">
        <v>292</v>
      </c>
      <c r="C106" s="7" t="s">
        <v>21</v>
      </c>
      <c r="D106" s="5">
        <v>45130</v>
      </c>
      <c r="E106" s="3" t="s">
        <v>84</v>
      </c>
      <c r="F106" s="4" t="s">
        <v>294</v>
      </c>
      <c r="G106" s="4" t="s">
        <v>90</v>
      </c>
      <c r="H106" s="4">
        <v>23.359000000000002</v>
      </c>
      <c r="I106" s="4">
        <v>4979</v>
      </c>
      <c r="J106" s="4" t="s">
        <v>86</v>
      </c>
      <c r="K106" s="4">
        <v>1</v>
      </c>
      <c r="L106" s="4">
        <v>66.493000000000009</v>
      </c>
      <c r="M106" s="4">
        <v>635000</v>
      </c>
      <c r="N106" s="4">
        <v>198317.91</v>
      </c>
      <c r="O106" s="4">
        <v>68081.966522791874</v>
      </c>
      <c r="P106" s="4">
        <v>17565.006842825558</v>
      </c>
      <c r="Q106" s="4">
        <v>65131.045373197165</v>
      </c>
      <c r="R106" s="4">
        <v>3196.8312453942517</v>
      </c>
      <c r="S106" s="4">
        <v>0</v>
      </c>
      <c r="T106" s="4">
        <v>98539.688388251379</v>
      </c>
      <c r="U106" s="4">
        <v>0</v>
      </c>
      <c r="V106" s="4">
        <v>1085832.4483724604</v>
      </c>
      <c r="W106" s="4">
        <v>844.15</v>
      </c>
      <c r="X106" s="4">
        <v>2503.17</v>
      </c>
      <c r="Y106" s="4">
        <v>0</v>
      </c>
      <c r="Z106" s="4">
        <v>0</v>
      </c>
      <c r="AA106" s="3"/>
      <c r="AB106" s="3"/>
      <c r="AC106" s="3">
        <v>23184</v>
      </c>
      <c r="AD106" s="3">
        <v>844.15</v>
      </c>
      <c r="AE106" s="3">
        <v>0</v>
      </c>
    </row>
    <row r="107" spans="1:31" ht="15">
      <c r="A107" s="4">
        <v>106</v>
      </c>
      <c r="B107" s="4" t="s">
        <v>292</v>
      </c>
      <c r="C107" s="7" t="s">
        <v>21</v>
      </c>
      <c r="D107" s="5">
        <v>45130</v>
      </c>
      <c r="E107" s="3" t="s">
        <v>84</v>
      </c>
      <c r="F107" s="4" t="s">
        <v>295</v>
      </c>
      <c r="G107" s="4" t="s">
        <v>88</v>
      </c>
      <c r="H107" s="4">
        <v>25.193999999999999</v>
      </c>
      <c r="I107" s="4">
        <v>3542.4</v>
      </c>
      <c r="J107" s="4" t="s">
        <v>86</v>
      </c>
      <c r="K107" s="4">
        <v>1</v>
      </c>
      <c r="L107" s="4">
        <v>66.493000000000009</v>
      </c>
      <c r="M107" s="4">
        <v>603000</v>
      </c>
      <c r="N107" s="4">
        <v>213897.06</v>
      </c>
      <c r="O107" s="4">
        <v>73430.243785060069</v>
      </c>
      <c r="P107" s="4">
        <v>18944.851337734795</v>
      </c>
      <c r="Q107" s="4">
        <v>70247.508760320634</v>
      </c>
      <c r="R107" s="4">
        <v>3447.9629434677331</v>
      </c>
      <c r="S107" s="4">
        <v>0</v>
      </c>
      <c r="T107" s="4">
        <v>106280.61600469222</v>
      </c>
      <c r="U107" s="4">
        <v>0</v>
      </c>
      <c r="V107" s="4">
        <v>1089248.2428312756</v>
      </c>
      <c r="W107" s="4">
        <v>846.81</v>
      </c>
      <c r="X107" s="4">
        <v>2503.17</v>
      </c>
      <c r="Y107" s="4">
        <v>0</v>
      </c>
      <c r="Z107" s="4">
        <v>0</v>
      </c>
      <c r="AA107" s="3"/>
      <c r="AB107" s="3"/>
      <c r="AC107" s="3">
        <v>131328</v>
      </c>
      <c r="AD107" s="3">
        <v>846.81</v>
      </c>
      <c r="AE107" s="3">
        <v>0</v>
      </c>
    </row>
    <row r="108" spans="1:31" ht="15">
      <c r="A108" s="4">
        <v>107</v>
      </c>
      <c r="B108" s="4" t="s">
        <v>296</v>
      </c>
      <c r="C108" s="7" t="s">
        <v>21</v>
      </c>
      <c r="D108" s="5">
        <v>45130</v>
      </c>
      <c r="E108" s="3" t="s">
        <v>84</v>
      </c>
      <c r="F108" s="4" t="s">
        <v>297</v>
      </c>
      <c r="G108" s="4" t="s">
        <v>85</v>
      </c>
      <c r="H108" s="4">
        <v>7.26</v>
      </c>
      <c r="I108" s="4">
        <v>3272</v>
      </c>
      <c r="J108" s="4" t="s">
        <v>86</v>
      </c>
      <c r="K108" s="4">
        <v>1</v>
      </c>
      <c r="L108" s="4">
        <v>59.45</v>
      </c>
      <c r="M108" s="4">
        <v>632500</v>
      </c>
      <c r="N108" s="4">
        <v>61637.4</v>
      </c>
      <c r="O108" s="4">
        <v>23666.745164003365</v>
      </c>
      <c r="P108" s="4">
        <v>6105.9714045416322</v>
      </c>
      <c r="Q108" s="4">
        <v>22640.94196804037</v>
      </c>
      <c r="R108" s="4">
        <v>1111.286795626577</v>
      </c>
      <c r="S108" s="4">
        <v>0</v>
      </c>
      <c r="T108" s="4">
        <v>34254.499579478557</v>
      </c>
      <c r="U108" s="4">
        <v>0</v>
      </c>
      <c r="V108" s="4">
        <v>781916.84491169057</v>
      </c>
      <c r="W108" s="4">
        <v>607.88</v>
      </c>
      <c r="X108" s="4">
        <v>2335.4</v>
      </c>
      <c r="Y108" s="4">
        <v>1</v>
      </c>
      <c r="Z108" s="4">
        <v>2335.4</v>
      </c>
      <c r="AA108" s="3"/>
      <c r="AB108" s="3"/>
      <c r="AC108" s="3">
        <v>15782.4</v>
      </c>
      <c r="AD108" s="3">
        <v>607.88</v>
      </c>
      <c r="AE108" s="3">
        <v>0</v>
      </c>
    </row>
    <row r="109" spans="1:31" ht="15">
      <c r="A109" s="4">
        <v>108</v>
      </c>
      <c r="B109" s="4" t="s">
        <v>296</v>
      </c>
      <c r="C109" s="7" t="s">
        <v>21</v>
      </c>
      <c r="D109" s="5">
        <v>45130</v>
      </c>
      <c r="E109" s="3" t="s">
        <v>84</v>
      </c>
      <c r="F109" s="4" t="s">
        <v>298</v>
      </c>
      <c r="G109" s="4" t="s">
        <v>91</v>
      </c>
      <c r="H109" s="4">
        <v>52.19</v>
      </c>
      <c r="I109" s="4">
        <v>10370</v>
      </c>
      <c r="J109" s="4" t="s">
        <v>86</v>
      </c>
      <c r="K109" s="4">
        <v>1</v>
      </c>
      <c r="L109" s="4">
        <v>59.45</v>
      </c>
      <c r="M109" s="4">
        <v>1148000</v>
      </c>
      <c r="N109" s="4">
        <v>443093.1</v>
      </c>
      <c r="O109" s="4">
        <v>170133.25483599663</v>
      </c>
      <c r="P109" s="4">
        <v>43894.028595458367</v>
      </c>
      <c r="Q109" s="4">
        <v>162759.05803195963</v>
      </c>
      <c r="R109" s="4">
        <v>7988.7132043734227</v>
      </c>
      <c r="S109" s="4">
        <v>0</v>
      </c>
      <c r="T109" s="4">
        <v>246245.50042052145</v>
      </c>
      <c r="U109" s="4">
        <v>0</v>
      </c>
      <c r="V109" s="4">
        <v>2222113.6550883097</v>
      </c>
      <c r="W109" s="4">
        <v>1727.52</v>
      </c>
      <c r="X109" s="4">
        <v>2335.4</v>
      </c>
      <c r="Y109" s="4">
        <v>0</v>
      </c>
      <c r="Z109" s="4">
        <v>0</v>
      </c>
      <c r="AA109" s="3"/>
      <c r="AB109" s="3"/>
      <c r="AC109" s="3">
        <v>86044.200000000012</v>
      </c>
      <c r="AD109" s="3">
        <v>1727.52</v>
      </c>
      <c r="AE109" s="3">
        <v>0</v>
      </c>
    </row>
    <row r="110" spans="1:31" ht="15">
      <c r="A110" s="4">
        <v>109</v>
      </c>
      <c r="B110" s="4" t="s">
        <v>299</v>
      </c>
      <c r="C110" s="7" t="s">
        <v>21</v>
      </c>
      <c r="D110" s="5">
        <v>45130</v>
      </c>
      <c r="E110" s="3" t="s">
        <v>84</v>
      </c>
      <c r="F110" s="4" t="s">
        <v>300</v>
      </c>
      <c r="G110" s="4" t="s">
        <v>301</v>
      </c>
      <c r="H110" s="4">
        <v>16.28</v>
      </c>
      <c r="I110" s="4">
        <v>5562</v>
      </c>
      <c r="J110" s="4" t="s">
        <v>93</v>
      </c>
      <c r="K110" s="4">
        <v>0</v>
      </c>
      <c r="L110" s="4">
        <v>33.043999999999997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460000</v>
      </c>
      <c r="V110" s="4">
        <v>460000</v>
      </c>
      <c r="W110" s="4">
        <v>357.62</v>
      </c>
      <c r="X110" s="4">
        <v>1546.29</v>
      </c>
      <c r="Y110" s="4">
        <v>1</v>
      </c>
      <c r="Z110" s="4">
        <v>1546.29</v>
      </c>
      <c r="AA110" s="3"/>
      <c r="AB110" s="3"/>
      <c r="AC110" s="3">
        <v>37433.279999999999</v>
      </c>
      <c r="AD110" s="3">
        <v>0</v>
      </c>
      <c r="AE110" s="3">
        <v>-357.62</v>
      </c>
    </row>
    <row r="111" spans="1:31" ht="15">
      <c r="A111" s="4">
        <v>110</v>
      </c>
      <c r="B111" s="4" t="s">
        <v>299</v>
      </c>
      <c r="C111" s="7" t="s">
        <v>21</v>
      </c>
      <c r="D111" s="5">
        <v>45130</v>
      </c>
      <c r="E111" s="3" t="s">
        <v>84</v>
      </c>
      <c r="F111" s="4" t="s">
        <v>302</v>
      </c>
      <c r="G111" s="4" t="s">
        <v>303</v>
      </c>
      <c r="H111" s="4">
        <v>16.763999999999999</v>
      </c>
      <c r="I111" s="4">
        <v>3660</v>
      </c>
      <c r="J111" s="4" t="s">
        <v>86</v>
      </c>
      <c r="K111" s="4">
        <v>1</v>
      </c>
      <c r="L111" s="4">
        <v>33.043999999999997</v>
      </c>
      <c r="M111" s="4">
        <v>562000</v>
      </c>
      <c r="N111" s="4">
        <v>142326.35999999999</v>
      </c>
      <c r="O111" s="4">
        <v>98319.307589880176</v>
      </c>
      <c r="P111" s="4">
        <v>25366.178428761657</v>
      </c>
      <c r="Q111" s="4">
        <v>94057.789613848217</v>
      </c>
      <c r="R111" s="4">
        <v>4616.6444740346215</v>
      </c>
      <c r="S111" s="4">
        <v>0</v>
      </c>
      <c r="T111" s="4">
        <v>142304.26098535288</v>
      </c>
      <c r="U111" s="4">
        <v>460000</v>
      </c>
      <c r="V111" s="4">
        <v>1528990.5410918775</v>
      </c>
      <c r="W111" s="4">
        <v>1188.67</v>
      </c>
      <c r="X111" s="4">
        <v>1546.29</v>
      </c>
      <c r="Y111" s="4">
        <v>0</v>
      </c>
      <c r="Z111" s="4">
        <v>0</v>
      </c>
      <c r="AA111" s="3"/>
      <c r="AB111" s="3"/>
      <c r="AC111" s="3">
        <v>63140</v>
      </c>
      <c r="AD111" s="3">
        <v>1188.67</v>
      </c>
      <c r="AE111" s="3">
        <v>0</v>
      </c>
    </row>
    <row r="112" spans="1:31" ht="15">
      <c r="A112" s="4">
        <v>111</v>
      </c>
      <c r="B112" s="4" t="s">
        <v>304</v>
      </c>
      <c r="C112" s="7" t="s">
        <v>21</v>
      </c>
      <c r="D112" s="5">
        <v>45130</v>
      </c>
      <c r="E112" s="3" t="s">
        <v>84</v>
      </c>
      <c r="F112" s="4" t="s">
        <v>305</v>
      </c>
      <c r="G112" s="4" t="s">
        <v>142</v>
      </c>
      <c r="H112" s="4">
        <v>13.957000000000001</v>
      </c>
      <c r="I112" s="4">
        <v>4569.6000000000004</v>
      </c>
      <c r="J112" s="4" t="s">
        <v>86</v>
      </c>
      <c r="K112" s="4">
        <v>1</v>
      </c>
      <c r="L112" s="4">
        <v>44.828000000000003</v>
      </c>
      <c r="M112" s="4">
        <v>485000</v>
      </c>
      <c r="N112" s="4">
        <v>118494.93</v>
      </c>
      <c r="O112" s="4">
        <v>60338.774872847323</v>
      </c>
      <c r="P112" s="4">
        <v>15567.279378959578</v>
      </c>
      <c r="Q112" s="4">
        <v>57723.471937182119</v>
      </c>
      <c r="R112" s="4">
        <v>2833.2448469706433</v>
      </c>
      <c r="S112" s="4">
        <v>0</v>
      </c>
      <c r="T112" s="4">
        <v>87332.437315963238</v>
      </c>
      <c r="U112" s="4">
        <v>0</v>
      </c>
      <c r="V112" s="4">
        <v>827290.13835192309</v>
      </c>
      <c r="W112" s="4">
        <v>643.16</v>
      </c>
      <c r="X112" s="4">
        <v>2083.33</v>
      </c>
      <c r="Y112" s="4">
        <v>1</v>
      </c>
      <c r="Z112" s="4">
        <v>2083.33</v>
      </c>
      <c r="AA112" s="3"/>
      <c r="AB112" s="3"/>
      <c r="AC112" s="3">
        <v>64460.800000000003</v>
      </c>
      <c r="AD112" s="3">
        <v>643.16</v>
      </c>
      <c r="AE112" s="3">
        <v>0</v>
      </c>
    </row>
    <row r="113" spans="1:31" ht="15">
      <c r="A113" s="4">
        <v>112</v>
      </c>
      <c r="B113" s="4" t="s">
        <v>304</v>
      </c>
      <c r="C113" s="7" t="s">
        <v>21</v>
      </c>
      <c r="D113" s="5">
        <v>45130</v>
      </c>
      <c r="E113" s="3" t="s">
        <v>84</v>
      </c>
      <c r="F113" s="4" t="s">
        <v>306</v>
      </c>
      <c r="G113" s="4" t="s">
        <v>143</v>
      </c>
      <c r="H113" s="4">
        <v>28.725999999999999</v>
      </c>
      <c r="I113" s="4">
        <v>16299</v>
      </c>
      <c r="J113" s="4" t="s">
        <v>86</v>
      </c>
      <c r="K113" s="4">
        <v>1</v>
      </c>
      <c r="L113" s="4">
        <v>44.828000000000003</v>
      </c>
      <c r="M113" s="4">
        <v>1148000</v>
      </c>
      <c r="N113" s="4">
        <v>243883.74</v>
      </c>
      <c r="O113" s="4">
        <v>124187.98072633176</v>
      </c>
      <c r="P113" s="4">
        <v>32040.24270545195</v>
      </c>
      <c r="Q113" s="4">
        <v>118805.21995181584</v>
      </c>
      <c r="R113" s="4">
        <v>5831.3241723922547</v>
      </c>
      <c r="S113" s="4">
        <v>0</v>
      </c>
      <c r="T113" s="4">
        <v>179745.76157758542</v>
      </c>
      <c r="U113" s="4">
        <v>0</v>
      </c>
      <c r="V113" s="4">
        <v>1852494.2691335776</v>
      </c>
      <c r="W113" s="4">
        <v>1440.17</v>
      </c>
      <c r="X113" s="4">
        <v>2083.33</v>
      </c>
      <c r="Y113" s="4">
        <v>0</v>
      </c>
      <c r="Z113" s="4">
        <v>0</v>
      </c>
      <c r="AA113" s="3"/>
      <c r="AB113" s="3"/>
      <c r="AC113" s="3">
        <v>55132</v>
      </c>
      <c r="AD113" s="3">
        <v>1440.17</v>
      </c>
      <c r="AE113" s="3">
        <v>0</v>
      </c>
    </row>
    <row r="114" spans="1:31" ht="15">
      <c r="A114" s="4">
        <v>113</v>
      </c>
      <c r="B114" s="4" t="s">
        <v>304</v>
      </c>
      <c r="C114" s="7" t="s">
        <v>21</v>
      </c>
      <c r="D114" s="5">
        <v>45130</v>
      </c>
      <c r="E114" s="3" t="s">
        <v>84</v>
      </c>
      <c r="F114" s="4" t="s">
        <v>307</v>
      </c>
      <c r="G114" s="4" t="s">
        <v>308</v>
      </c>
      <c r="H114" s="4">
        <v>2.145</v>
      </c>
      <c r="I114" s="4">
        <v>1395</v>
      </c>
      <c r="J114" s="4" t="s">
        <v>93</v>
      </c>
      <c r="K114" s="4">
        <v>0</v>
      </c>
      <c r="L114" s="4">
        <v>44.828000000000003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2083.33</v>
      </c>
      <c r="Y114" s="4">
        <v>0</v>
      </c>
      <c r="Z114" s="4">
        <v>0</v>
      </c>
      <c r="AA114" s="3"/>
      <c r="AB114" s="3"/>
      <c r="AC114" s="3">
        <v>3093.75</v>
      </c>
      <c r="AD114" s="3">
        <v>0</v>
      </c>
      <c r="AE114" s="3">
        <v>0</v>
      </c>
    </row>
    <row r="115" spans="1:31" ht="15">
      <c r="A115" s="4">
        <v>114</v>
      </c>
      <c r="B115" s="4" t="s">
        <v>309</v>
      </c>
      <c r="C115" s="7" t="s">
        <v>21</v>
      </c>
      <c r="D115" s="5">
        <v>45130</v>
      </c>
      <c r="E115" s="3" t="s">
        <v>84</v>
      </c>
      <c r="F115" s="4" t="s">
        <v>310</v>
      </c>
      <c r="G115" s="4" t="s">
        <v>311</v>
      </c>
      <c r="H115" s="4">
        <v>2.16</v>
      </c>
      <c r="I115" s="4">
        <v>1710</v>
      </c>
      <c r="J115" s="4" t="s">
        <v>86</v>
      </c>
      <c r="K115" s="4">
        <v>1</v>
      </c>
      <c r="L115" s="4">
        <v>40.307000000000002</v>
      </c>
      <c r="M115" s="4">
        <v>408000</v>
      </c>
      <c r="N115" s="4">
        <v>18338.400000000001</v>
      </c>
      <c r="O115" s="4">
        <v>10385.491353859132</v>
      </c>
      <c r="P115" s="4">
        <v>2679.4353338129854</v>
      </c>
      <c r="Q115" s="4">
        <v>9935.3462177785495</v>
      </c>
      <c r="R115" s="4">
        <v>487.65723075396335</v>
      </c>
      <c r="S115" s="4">
        <v>0</v>
      </c>
      <c r="T115" s="4">
        <v>15031.632222690849</v>
      </c>
      <c r="U115" s="4">
        <v>0</v>
      </c>
      <c r="V115" s="4">
        <v>464857.96235889551</v>
      </c>
      <c r="W115" s="4">
        <v>361.39</v>
      </c>
      <c r="X115" s="4">
        <v>1901.83</v>
      </c>
      <c r="Y115" s="4">
        <v>1</v>
      </c>
      <c r="Z115" s="4">
        <v>1901.83</v>
      </c>
      <c r="AA115" s="3"/>
      <c r="AB115" s="3"/>
      <c r="AC115" s="3">
        <v>40200</v>
      </c>
      <c r="AD115" s="3">
        <v>361.39</v>
      </c>
      <c r="AE115" s="3">
        <v>0</v>
      </c>
    </row>
    <row r="116" spans="1:31" ht="15">
      <c r="A116" s="4">
        <v>115</v>
      </c>
      <c r="B116" s="4" t="s">
        <v>309</v>
      </c>
      <c r="C116" s="7" t="s">
        <v>21</v>
      </c>
      <c r="D116" s="5">
        <v>45130</v>
      </c>
      <c r="E116" s="3" t="s">
        <v>84</v>
      </c>
      <c r="F116" s="4" t="s">
        <v>312</v>
      </c>
      <c r="G116" s="4" t="s">
        <v>92</v>
      </c>
      <c r="H116" s="4">
        <v>6.4909999999999997</v>
      </c>
      <c r="I116" s="4">
        <v>2270.31</v>
      </c>
      <c r="J116" s="4" t="s">
        <v>93</v>
      </c>
      <c r="K116" s="4">
        <v>0</v>
      </c>
      <c r="L116" s="4">
        <v>40.307000000000002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1901.83</v>
      </c>
      <c r="Y116" s="4">
        <v>0</v>
      </c>
      <c r="Z116" s="4">
        <v>0</v>
      </c>
      <c r="AA116" s="3"/>
      <c r="AB116" s="3"/>
      <c r="AC116" s="3">
        <v>20160</v>
      </c>
      <c r="AD116" s="3">
        <v>0</v>
      </c>
      <c r="AE116" s="3">
        <v>0</v>
      </c>
    </row>
    <row r="117" spans="1:31" ht="15">
      <c r="A117" s="4">
        <v>116</v>
      </c>
      <c r="B117" s="4" t="s">
        <v>309</v>
      </c>
      <c r="C117" s="7" t="s">
        <v>21</v>
      </c>
      <c r="D117" s="5">
        <v>45130</v>
      </c>
      <c r="E117" s="3" t="s">
        <v>84</v>
      </c>
      <c r="F117" s="4" t="s">
        <v>313</v>
      </c>
      <c r="G117" s="4" t="s">
        <v>314</v>
      </c>
      <c r="H117" s="4">
        <v>22.54</v>
      </c>
      <c r="I117" s="4">
        <v>7868</v>
      </c>
      <c r="J117" s="4" t="s">
        <v>93</v>
      </c>
      <c r="K117" s="4">
        <v>0</v>
      </c>
      <c r="L117" s="4">
        <v>40.307000000000002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1901.83</v>
      </c>
      <c r="Y117" s="4">
        <v>0</v>
      </c>
      <c r="Z117" s="4">
        <v>0</v>
      </c>
      <c r="AA117" s="3"/>
      <c r="AB117" s="3"/>
      <c r="AC117" s="3">
        <v>113797.6</v>
      </c>
      <c r="AD117" s="3">
        <v>0</v>
      </c>
      <c r="AE117" s="3">
        <v>0</v>
      </c>
    </row>
    <row r="118" spans="1:31" ht="15">
      <c r="A118" s="4">
        <v>117</v>
      </c>
      <c r="B118" s="4" t="s">
        <v>309</v>
      </c>
      <c r="C118" s="7" t="s">
        <v>21</v>
      </c>
      <c r="D118" s="5">
        <v>45130</v>
      </c>
      <c r="E118" s="3" t="s">
        <v>84</v>
      </c>
      <c r="F118" s="4" t="s">
        <v>315</v>
      </c>
      <c r="G118" s="4" t="s">
        <v>144</v>
      </c>
      <c r="H118" s="4">
        <v>3.2280000000000002</v>
      </c>
      <c r="I118" s="4">
        <v>3306.73</v>
      </c>
      <c r="J118" s="4" t="s">
        <v>86</v>
      </c>
      <c r="K118" s="4">
        <v>1</v>
      </c>
      <c r="L118" s="4">
        <v>40.307000000000002</v>
      </c>
      <c r="M118" s="4">
        <v>465000</v>
      </c>
      <c r="N118" s="4">
        <v>27405.72</v>
      </c>
      <c r="O118" s="4">
        <v>15520.539856600592</v>
      </c>
      <c r="P118" s="4">
        <v>4004.2672488649614</v>
      </c>
      <c r="Q118" s="4">
        <v>14847.822958791276</v>
      </c>
      <c r="R118" s="4">
        <v>728.77663929342305</v>
      </c>
      <c r="S118" s="4">
        <v>0</v>
      </c>
      <c r="T118" s="4">
        <v>22463.939266132435</v>
      </c>
      <c r="U118" s="4">
        <v>0</v>
      </c>
      <c r="V118" s="4">
        <v>549971.06596968265</v>
      </c>
      <c r="W118" s="4">
        <v>427.56</v>
      </c>
      <c r="X118" s="4">
        <v>1901.83</v>
      </c>
      <c r="Y118" s="4">
        <v>0</v>
      </c>
      <c r="Z118" s="4">
        <v>0</v>
      </c>
      <c r="AA118" s="3"/>
      <c r="AB118" s="3"/>
      <c r="AC118" s="3">
        <v>33198</v>
      </c>
      <c r="AD118" s="3">
        <v>427.56</v>
      </c>
      <c r="AE118" s="3">
        <v>0</v>
      </c>
    </row>
    <row r="119" spans="1:31" ht="15">
      <c r="A119" s="4">
        <v>118</v>
      </c>
      <c r="B119" s="4" t="s">
        <v>309</v>
      </c>
      <c r="C119" s="7" t="s">
        <v>21</v>
      </c>
      <c r="D119" s="5">
        <v>45130</v>
      </c>
      <c r="E119" s="3" t="s">
        <v>84</v>
      </c>
      <c r="F119" s="4" t="s">
        <v>316</v>
      </c>
      <c r="G119" s="4" t="s">
        <v>144</v>
      </c>
      <c r="H119" s="4">
        <v>0.58399999999999996</v>
      </c>
      <c r="I119" s="4">
        <v>359.7</v>
      </c>
      <c r="J119" s="4" t="s">
        <v>86</v>
      </c>
      <c r="K119" s="4">
        <v>1</v>
      </c>
      <c r="L119" s="4">
        <v>40.307000000000002</v>
      </c>
      <c r="M119" s="4">
        <v>289000</v>
      </c>
      <c r="N119" s="4">
        <v>4958.16</v>
      </c>
      <c r="O119" s="4">
        <v>2807.9291438211721</v>
      </c>
      <c r="P119" s="4">
        <v>724.4399235864737</v>
      </c>
      <c r="Q119" s="4">
        <v>2686.2232366586445</v>
      </c>
      <c r="R119" s="4">
        <v>131.84806609273821</v>
      </c>
      <c r="S119" s="4">
        <v>0</v>
      </c>
      <c r="T119" s="4">
        <v>4064.1079713201175</v>
      </c>
      <c r="U119" s="4">
        <v>0</v>
      </c>
      <c r="V119" s="4">
        <v>304372.70834147919</v>
      </c>
      <c r="W119" s="4">
        <v>236.63</v>
      </c>
      <c r="X119" s="4">
        <v>1901.83</v>
      </c>
      <c r="Y119" s="4">
        <v>0</v>
      </c>
      <c r="Z119" s="4">
        <v>0</v>
      </c>
      <c r="AA119" s="3"/>
      <c r="AB119" s="3"/>
      <c r="AC119" s="3"/>
      <c r="AD119" s="3">
        <v>236.63</v>
      </c>
      <c r="AE119" s="3">
        <v>0</v>
      </c>
    </row>
    <row r="120" spans="1:31" ht="15">
      <c r="A120" s="4">
        <v>119</v>
      </c>
      <c r="B120" s="4" t="s">
        <v>309</v>
      </c>
      <c r="C120" s="7" t="s">
        <v>21</v>
      </c>
      <c r="D120" s="5">
        <v>45130</v>
      </c>
      <c r="E120" s="3" t="s">
        <v>84</v>
      </c>
      <c r="F120" s="4" t="s">
        <v>317</v>
      </c>
      <c r="G120" s="4" t="s">
        <v>228</v>
      </c>
      <c r="H120" s="4">
        <v>4.8600000000000003</v>
      </c>
      <c r="I120" s="4">
        <v>5155</v>
      </c>
      <c r="J120" s="4" t="s">
        <v>86</v>
      </c>
      <c r="K120" s="4">
        <v>1</v>
      </c>
      <c r="L120" s="4">
        <v>40.307000000000002</v>
      </c>
      <c r="M120" s="4">
        <v>698500</v>
      </c>
      <c r="N120" s="4">
        <v>41261.4</v>
      </c>
      <c r="O120" s="4">
        <v>23367.355546183044</v>
      </c>
      <c r="P120" s="4">
        <v>6028.7295010792168</v>
      </c>
      <c r="Q120" s="4">
        <v>22354.528990001734</v>
      </c>
      <c r="R120" s="4">
        <v>1097.2287691964175</v>
      </c>
      <c r="S120" s="4">
        <v>0</v>
      </c>
      <c r="T120" s="4">
        <v>33821.172501054411</v>
      </c>
      <c r="U120" s="4">
        <v>0</v>
      </c>
      <c r="V120" s="4">
        <v>826430.41530751484</v>
      </c>
      <c r="W120" s="4">
        <v>642.49</v>
      </c>
      <c r="X120" s="4">
        <v>1901.83</v>
      </c>
      <c r="Y120" s="4">
        <v>0</v>
      </c>
      <c r="Z120" s="4">
        <v>0</v>
      </c>
      <c r="AA120" s="3"/>
      <c r="AB120" s="3"/>
      <c r="AC120" s="3"/>
      <c r="AD120" s="3">
        <v>642.49</v>
      </c>
      <c r="AE120" s="3">
        <v>0</v>
      </c>
    </row>
    <row r="121" spans="1:31" ht="15">
      <c r="A121" s="4">
        <v>120</v>
      </c>
      <c r="B121" s="4" t="s">
        <v>309</v>
      </c>
      <c r="C121" s="7" t="s">
        <v>21</v>
      </c>
      <c r="D121" s="5">
        <v>45130</v>
      </c>
      <c r="E121" s="3" t="s">
        <v>84</v>
      </c>
      <c r="F121" s="4" t="s">
        <v>318</v>
      </c>
      <c r="G121" s="4" t="s">
        <v>98</v>
      </c>
      <c r="H121" s="4">
        <v>0.44400000000000001</v>
      </c>
      <c r="I121" s="4">
        <v>84.3</v>
      </c>
      <c r="J121" s="4" t="s">
        <v>86</v>
      </c>
      <c r="K121" s="4">
        <v>1</v>
      </c>
      <c r="L121" s="4">
        <v>40.307000000000002</v>
      </c>
      <c r="M121" s="4">
        <v>289000</v>
      </c>
      <c r="N121" s="4">
        <v>3769.56</v>
      </c>
      <c r="O121" s="4">
        <v>2134.7954449599324</v>
      </c>
      <c r="P121" s="4">
        <v>550.77281861711367</v>
      </c>
      <c r="Q121" s="4">
        <v>2042.2656114322576</v>
      </c>
      <c r="R121" s="4">
        <v>100.24065298831468</v>
      </c>
      <c r="S121" s="4">
        <v>0</v>
      </c>
      <c r="T121" s="4">
        <v>3089.8355124420077</v>
      </c>
      <c r="U121" s="4">
        <v>0</v>
      </c>
      <c r="V121" s="4">
        <v>300687.47004043963</v>
      </c>
      <c r="W121" s="4">
        <v>233.76</v>
      </c>
      <c r="X121" s="4">
        <v>1901.83</v>
      </c>
      <c r="Y121" s="4">
        <v>0</v>
      </c>
      <c r="Z121" s="4">
        <v>0</v>
      </c>
      <c r="AA121" s="3"/>
      <c r="AB121" s="3"/>
      <c r="AC121" s="3"/>
      <c r="AD121" s="3">
        <v>233.76</v>
      </c>
      <c r="AE121" s="3">
        <v>0</v>
      </c>
    </row>
  </sheetData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5"/>
  <cols>
    <col min="1" max="1" width="9.140625" customWidth="1"/>
    <col min="2" max="5" width="10.85546875" customWidth="1"/>
    <col min="6" max="6" width="16.28515625" customWidth="1"/>
    <col min="7" max="7" width="13.28515625" customWidth="1"/>
    <col min="8" max="11" width="10.85546875" customWidth="1"/>
    <col min="12" max="12" width="16.5703125" customWidth="1"/>
    <col min="13" max="18" width="10.85546875" customWidth="1"/>
    <col min="19" max="19" width="16.28515625" customWidth="1"/>
    <col min="20" max="20" width="15.85546875" customWidth="1"/>
    <col min="21" max="21" width="10.85546875" customWidth="1"/>
    <col min="22" max="22" width="14" customWidth="1"/>
    <col min="23" max="23" width="15.28515625" customWidth="1"/>
    <col min="24" max="24" width="10.85546875" customWidth="1"/>
    <col min="25" max="25" width="13.42578125" customWidth="1"/>
    <col min="26" max="26" width="19" style="10" customWidth="1"/>
    <col min="27" max="27" width="15.28515625" customWidth="1"/>
  </cols>
  <sheetData>
    <row r="1" spans="1:27" ht="61.5">
      <c r="A1" s="357">
        <v>489</v>
      </c>
      <c r="B1" s="357"/>
      <c r="C1" s="357"/>
      <c r="D1" s="358" t="s">
        <v>101</v>
      </c>
      <c r="E1" s="358"/>
      <c r="F1" s="358"/>
      <c r="G1" s="358"/>
      <c r="H1" s="358"/>
      <c r="I1" s="357" t="s">
        <v>102</v>
      </c>
      <c r="J1" s="357"/>
      <c r="K1" s="357"/>
      <c r="L1" s="357"/>
      <c r="M1" s="357"/>
      <c r="N1" s="357"/>
      <c r="O1" s="357"/>
      <c r="P1" s="357"/>
      <c r="Q1" s="357"/>
      <c r="R1" s="357"/>
      <c r="S1" s="357"/>
      <c r="T1" s="357"/>
      <c r="U1" s="357"/>
      <c r="V1" s="357"/>
      <c r="W1" s="357"/>
      <c r="X1" s="357"/>
      <c r="Y1" s="357"/>
      <c r="Z1" s="357"/>
      <c r="AA1" s="357"/>
    </row>
    <row r="2" spans="1:27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5" t="s">
        <v>56</v>
      </c>
    </row>
    <row r="3" spans="1:27" ht="195">
      <c r="A3" s="28" t="s">
        <v>1</v>
      </c>
      <c r="B3" s="28" t="s">
        <v>103</v>
      </c>
      <c r="C3" s="28" t="s">
        <v>2</v>
      </c>
      <c r="D3" s="28" t="s">
        <v>104</v>
      </c>
      <c r="E3" s="28" t="s">
        <v>105</v>
      </c>
      <c r="F3" s="28" t="s">
        <v>3</v>
      </c>
      <c r="G3" s="28" t="s">
        <v>106</v>
      </c>
      <c r="H3" s="28" t="s">
        <v>62</v>
      </c>
      <c r="I3" s="28" t="s">
        <v>107</v>
      </c>
      <c r="J3" s="28" t="s">
        <v>108</v>
      </c>
      <c r="K3" s="28" t="s">
        <v>66</v>
      </c>
      <c r="L3" s="28" t="s">
        <v>109</v>
      </c>
      <c r="M3" s="28" t="s">
        <v>110</v>
      </c>
      <c r="N3" s="28" t="s">
        <v>111</v>
      </c>
      <c r="O3" s="28" t="s">
        <v>112</v>
      </c>
      <c r="P3" s="28" t="s">
        <v>113</v>
      </c>
      <c r="Q3" s="28" t="s">
        <v>114</v>
      </c>
      <c r="R3" s="28" t="s">
        <v>115</v>
      </c>
      <c r="S3" s="28" t="s">
        <v>116</v>
      </c>
      <c r="T3" s="28" t="s">
        <v>117</v>
      </c>
      <c r="U3" s="28" t="s">
        <v>118</v>
      </c>
      <c r="V3" s="28" t="s">
        <v>119</v>
      </c>
      <c r="W3" s="28" t="s">
        <v>120</v>
      </c>
      <c r="X3" s="28" t="s">
        <v>121</v>
      </c>
      <c r="Y3" s="28" t="s">
        <v>122</v>
      </c>
      <c r="Z3" s="28" t="s">
        <v>123</v>
      </c>
      <c r="AA3" s="28" t="s">
        <v>124</v>
      </c>
    </row>
    <row r="4" spans="1:27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6"/>
      <c r="T4" s="2"/>
      <c r="U4" s="2"/>
      <c r="V4" s="36">
        <f>SUM(V5:V119)</f>
        <v>100297717.17265446</v>
      </c>
      <c r="W4" s="36">
        <f>SUM(W5:W119)</f>
        <v>77973.790000000023</v>
      </c>
      <c r="X4" s="2"/>
      <c r="Y4" s="2"/>
      <c r="Z4" s="36">
        <f>SUM(Z5:Z119)</f>
        <v>942625147.30999982</v>
      </c>
      <c r="AA4" s="44"/>
    </row>
    <row r="5" spans="1:27" s="8" customFormat="1" ht="12">
      <c r="A5" s="11">
        <v>1</v>
      </c>
      <c r="B5" s="8" t="str" cm="1">
        <f t="array" ref="B5">_xlfn.XLOOKUP($A5,ACT[[№]:[№]],ACT[Container No/
№ Контейнера],"",0,1)</f>
        <v>BMOU4662590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37" cm="1">
        <f t="array" ref="E5">_xlfn.XLOOKUP($A5,ACT[[№]:[№]],ACT[Date of Dispatch/ 
Дата отгрузки],"",0,1)</f>
        <v>45124</v>
      </c>
      <c r="F5" s="38" t="str" cm="1">
        <f t="array" ref="F5">_xlfn.XLOOKUP($A5,ACT[[№]:[№]],ACT[Supplier/ Поставщик],"",0,1)</f>
        <v>Erae AMS</v>
      </c>
      <c r="G5" s="38" t="str" cm="1">
        <f t="array" ref="G5">_xlfn.XLOOKUP($A5,ACT[[№]:[№]],ACT[Supplier Invoice No/                          № Инвойса Поставщика],"",0,1)</f>
        <v>DM237SA02</v>
      </c>
      <c r="H5" s="39" cm="1">
        <f t="array" ref="H5">_xlfn.XLOOKUP($A5,ACT[[№]:[№]],ACT[CBM],"",0,1)</f>
        <v>26.97</v>
      </c>
      <c r="I5" s="39" cm="1">
        <f t="array" ref="I5">_xlfn.XLOOKUP($A5,ACT[[№]:[№]],ACT[Gross weight, kg/ Вес брутто, кг],"",0,1)</f>
        <v>17900</v>
      </c>
      <c r="J5" s="39" t="str" cm="1">
        <f t="array" ref="J5">_xlfn.XLOOKUP($A5,ACT[[№]:[№]],ACT[Delivery terms / Условия поставки],"",0,1)</f>
        <v>FCA</v>
      </c>
      <c r="K5" s="39" cm="1">
        <f t="array" ref="K5">_xlfn.XLOOKUP($A5,ACT[[№]:[№]],ACT[Container total CBM],"",0,1)</f>
        <v>41.120999999999995</v>
      </c>
      <c r="L5" s="40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768000</v>
      </c>
      <c r="M5" s="40" cm="1">
        <f t="array" ref="M5">_xlfn.XLOOKUP($A5,ACT[[№]:[№]],ACT[Consolidation Work, Loading, Unloading/ Работы по консолидации, Погрузка, Разгрузка (Rate/Тариф - 8000 per CBM)                   KRW],"",0,1)</f>
        <v>228975.3</v>
      </c>
      <c r="N5" s="40" cm="1">
        <f t="array" ref="N5">_xlfn.XLOOKUP($A5,ACT[[№]:[№]],ACT[Shoring, Banding, Sealing, Handling/ Крепление, Перевязка, Опечатование, Обработка
KRW],"",0,1)</f>
        <v>127107.46333989932</v>
      </c>
      <c r="O5" s="40" cm="1">
        <f t="array" ref="O5">_xlfn.XLOOKUP($A5,ACT[[№]:[№]],ACT[Documents Work/ Сбор за подготовку документов
KRW],"",0,1)</f>
        <v>32793.463193988478</v>
      </c>
      <c r="P5" s="40" cm="1">
        <f t="array" ref="P5">_xlfn.XLOOKUP($A5,ACT[[№]:[№]],ACT[THC/ Терминальная обработка
KRW],"",0,1)</f>
        <v>121598.16152330927</v>
      </c>
      <c r="Q5" s="40" cm="1">
        <f t="array" ref="Q5">_xlfn.XLOOKUP($A5,ACT[[№]:[№]],ACT[Wharfage/ Портовая пошлина
KRW],"",0,1)</f>
        <v>5968.410301305903</v>
      </c>
      <c r="R5" s="40" cm="1">
        <f t="array" ref="R5">_xlfn.XLOOKUP($A5,ACT[[№]:[№]],ACT[TRUCKING CHARGE],"",0,1)</f>
        <v>0</v>
      </c>
      <c r="S5" s="40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183971.32851827535</v>
      </c>
      <c r="T5" s="40" cm="1">
        <f t="array" ref="T5">_xlfn.XLOOKUP($A5,ACT[[№]:[№]],ACT[Special Wooden Shoring / Специальное деревянное крепление],"",0,1)</f>
        <v>0</v>
      </c>
      <c r="U5" s="40"/>
      <c r="V5" s="40" cm="1">
        <f t="array" ref="V5">_xlfn.XLOOKUP($A5,ACT[[№]:[№]],ACT[Total amount/ Общая стоимость KRW (10+11+12+13+14+15+16)],"",0,1)</f>
        <v>1468414.1268767784</v>
      </c>
      <c r="W5" s="40" cm="1">
        <f t="array" ref="W5">_xlfn.XLOOKUP($A5,ACT[[№]:[№]],ACT[Total amount/ Общая стоимость (17*exchange rate/ обменный курс)
 USD],"",0,1)</f>
        <v>1141.58</v>
      </c>
      <c r="X5" s="9" cm="1">
        <f t="array" ref="X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5" s="12">
        <f>VLOOKUP(Шаблон_Формулы[[#This Row],[24]],Курс_840[[Дата]:[Курс]],2,0)</f>
        <v>12089</v>
      </c>
      <c r="Z5" s="42">
        <f>IFERROR(Шаблон_Формулы[[#This Row],[23]]*Шаблон_Формулы[[#This Row],[25]],"")</f>
        <v>13800560.619999999</v>
      </c>
      <c r="AA5" s="13" t="str" cm="1">
        <f t="array" ref="AA5">ACT_number[№ исходящего акта]</f>
        <v>468 LCL</v>
      </c>
    </row>
    <row r="6" spans="1:27" s="8" customFormat="1" ht="12">
      <c r="A6" s="11">
        <v>2</v>
      </c>
      <c r="B6" s="8" t="str" cm="1">
        <f t="array" ref="B6">_xlfn.XLOOKUP($A6,ACT[[№]:[№]],ACT[Container No/
№ Контейнера],"",0,1)</f>
        <v>BMOU4662590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37" cm="1">
        <f t="array" ref="E6">_xlfn.XLOOKUP($A6,ACT[[№]:[№]],ACT[Date of Dispatch/ 
Дата отгрузки],"",0,1)</f>
        <v>45124</v>
      </c>
      <c r="F6" s="38" t="str" cm="1">
        <f t="array" ref="F6">_xlfn.XLOOKUP($A6,ACT[[№]:[№]],ACT[Supplier/ Поставщик],"",0,1)</f>
        <v>Erae AMS</v>
      </c>
      <c r="G6" s="38" t="str" cm="1">
        <f t="array" ref="G6">_xlfn.XLOOKUP($A6,ACT[[№]:[№]],ACT[Supplier Invoice No/                          № Инвойса Поставщика],"",0,1)</f>
        <v>DA237MD02</v>
      </c>
      <c r="H6" s="39" cm="1">
        <f t="array" ref="H6">_xlfn.XLOOKUP($A6,ACT[[№]:[№]],ACT[CBM],"",0,1)</f>
        <v>1.81</v>
      </c>
      <c r="I6" s="39" cm="1">
        <f t="array" ref="I6">_xlfn.XLOOKUP($A6,ACT[[№]:[№]],ACT[Gross weight, kg/ Вес брутто, кг],"",0,1)</f>
        <v>324.38</v>
      </c>
      <c r="J6" s="39" t="str" cm="1">
        <f t="array" ref="J6">_xlfn.XLOOKUP($A6,ACT[[№]:[№]],ACT[Delivery terms / Условия поставки],"",0,1)</f>
        <v>FCA</v>
      </c>
      <c r="K6" s="39" cm="1">
        <f t="array" ref="K6">_xlfn.XLOOKUP($A6,ACT[[№]:[№]],ACT[Container total CBM],"",0,1)</f>
        <v>41.120999999999995</v>
      </c>
      <c r="L6" s="40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232000</v>
      </c>
      <c r="M6" s="40" cm="1">
        <f t="array" ref="M6">_xlfn.XLOOKUP($A6,ACT[[№]:[№]],ACT[Consolidation Work, Loading, Unloading/ Работы по консолидации, Погрузка, Разгрузка (Rate/Тариф - 8000 per CBM)                   KRW],"",0,1)</f>
        <v>15366.9</v>
      </c>
      <c r="N6" s="40" cm="1">
        <f t="array" ref="N6">_xlfn.XLOOKUP($A6,ACT[[№]:[№]],ACT[Shoring, Banding, Sealing, Handling/ Крепление, Перевязка, Опечатование, Обработка
KRW],"",0,1)</f>
        <v>8530.3859341942079</v>
      </c>
      <c r="O6" s="40" cm="1">
        <f t="array" ref="O6">_xlfn.XLOOKUP($A6,ACT[[№]:[№]],ACT[Documents Work/ Сбор за подготовку документов
KRW],"",0,1)</f>
        <v>2200.8219644463902</v>
      </c>
      <c r="P6" s="40" cm="1">
        <f t="array" ref="P6">_xlfn.XLOOKUP($A6,ACT[[№]:[№]],ACT[THC/ Терминальная обработка
KRW],"",0,1)</f>
        <v>8160.6478441672143</v>
      </c>
      <c r="Q6" s="40" cm="1">
        <f t="array" ref="Q6">_xlfn.XLOOKUP($A6,ACT[[№]:[№]],ACT[Wharfage/ Портовая пошлина
KRW],"",0,1)</f>
        <v>400.54959752924299</v>
      </c>
      <c r="R6" s="40" cm="1">
        <f t="array" ref="R6">_xlfn.XLOOKUP($A6,ACT[[№]:[№]],ACT[TRUCKING CHARGE],"",0,1)</f>
        <v>0</v>
      </c>
      <c r="S6" s="40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12346.611220544248</v>
      </c>
      <c r="T6" s="40" cm="1">
        <f t="array" ref="T6">_xlfn.XLOOKUP($A6,ACT[[№]:[№]],ACT[Special Wooden Shoring / Специальное деревянное крепление],"",0,1)</f>
        <v>0</v>
      </c>
      <c r="U6" s="9"/>
      <c r="V6" s="40" cm="1">
        <f t="array" ref="V6">_xlfn.XLOOKUP($A6,ACT[[№]:[№]],ACT[Total amount/ Общая стоимость KRW (10+11+12+13+14+15+16)],"",0,1)</f>
        <v>279005.91656088131</v>
      </c>
      <c r="W6" s="40" cm="1">
        <f t="array" ref="W6">_xlfn.XLOOKUP($A6,ACT[[№]:[№]],ACT[Total amount/ Общая стоимость (17*exchange rate/ обменный курс)
 USD],"",0,1)</f>
        <v>216.91</v>
      </c>
      <c r="X6" s="9" cm="1">
        <f t="array" ref="X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6" s="12">
        <f>VLOOKUP(Шаблон_Формулы[[#This Row],[24]],Курс_840[[Дата]:[Курс]],2,0)</f>
        <v>12089</v>
      </c>
      <c r="Z6" s="42">
        <f>IFERROR(Шаблон_Формулы[[#This Row],[23]]*Шаблон_Формулы[[#This Row],[25]],"")</f>
        <v>2622224.9899999998</v>
      </c>
      <c r="AA6" s="13" t="str" cm="1">
        <f t="array" ref="AA6">ACT_number[№ исходящего акта]</f>
        <v>468 LCL</v>
      </c>
    </row>
    <row r="7" spans="1:27" s="8" customFormat="1" ht="12">
      <c r="A7" s="11">
        <v>3</v>
      </c>
      <c r="B7" s="8" t="str" cm="1">
        <f t="array" ref="B7">_xlfn.XLOOKUP($A7,ACT[[№]:[№]],ACT[Container No/
№ Контейнера],"",0,1)</f>
        <v>BMOU4662590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37" cm="1">
        <f t="array" ref="E7">_xlfn.XLOOKUP($A7,ACT[[№]:[№]],ACT[Date of Dispatch/ 
Дата отгрузки],"",0,1)</f>
        <v>45124</v>
      </c>
      <c r="F7" s="38" t="str" cm="1">
        <f t="array" ref="F7">_xlfn.XLOOKUP($A7,ACT[[№]:[№]],ACT[Supplier/ Поставщик],"",0,1)</f>
        <v>Daewonkangup (DWKU)</v>
      </c>
      <c r="G7" s="38" t="str" cm="1">
        <f t="array" ref="G7">_xlfn.XLOOKUP($A7,ACT[[№]:[№]],ACT[Supplier Invoice No/                          № Инвойса Поставщика],"",0,1)</f>
        <v>DWU230702</v>
      </c>
      <c r="H7" s="39" cm="1">
        <f t="array" ref="H7">_xlfn.XLOOKUP($A7,ACT[[№]:[№]],ACT[CBM],"",0,1)</f>
        <v>5.85</v>
      </c>
      <c r="I7" s="39" cm="1">
        <f t="array" ref="I7">_xlfn.XLOOKUP($A7,ACT[[№]:[№]],ACT[Gross weight, kg/ Вес брутто, кг],"",0,1)</f>
        <v>2415</v>
      </c>
      <c r="J7" s="39" t="str" cm="1">
        <f t="array" ref="J7">_xlfn.XLOOKUP($A7,ACT[[№]:[№]],ACT[Delivery terms / Условия поставки],"",0,1)</f>
        <v>FCA</v>
      </c>
      <c r="K7" s="39" cm="1">
        <f t="array" ref="K7">_xlfn.XLOOKUP($A7,ACT[[№]:[№]],ACT[Container total CBM],"",0,1)</f>
        <v>41.120999999999995</v>
      </c>
      <c r="L7" s="40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520000</v>
      </c>
      <c r="M7" s="40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49666.5</v>
      </c>
      <c r="N7" s="40" cm="1">
        <f t="array" ref="N7">_xlfn.XLOOKUP($A7,ACT[[№]:[№]],ACT[Shoring, Banding, Sealing, Handling/ Крепление, Перевязка, Опечатование, Обработка
KRW],"",0,1)</f>
        <v>27570.584372948131</v>
      </c>
      <c r="O7" s="40" cm="1">
        <f t="array" ref="O7">_xlfn.XLOOKUP($A7,ACT[[№]:[№]],ACT[Documents Work/ Сбор за подготовку документов
KRW],"",0,1)</f>
        <v>7113.1538629897141</v>
      </c>
      <c r="P7" s="40" cm="1">
        <f t="array" ref="P7">_xlfn.XLOOKUP($A7,ACT[[№]:[№]],ACT[THC/ Терминальная обработка
KRW],"",0,1)</f>
        <v>26375.574523965861</v>
      </c>
      <c r="Q7" s="40" cm="1">
        <f t="array" ref="Q7">_xlfn.XLOOKUP($A7,ACT[[№]:[№]],ACT[Wharfage/ Портовая пошлина
KRW],"",0,1)</f>
        <v>1294.5940030641279</v>
      </c>
      <c r="R7" s="40" cm="1">
        <f t="array" ref="R7">_xlfn.XLOOKUP($A7,ACT[[№]:[№]],ACT[TRUCKING CHARGE],"",0,1)</f>
        <v>0</v>
      </c>
      <c r="S7" s="40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39904.793171372294</v>
      </c>
      <c r="T7" s="40" cm="1">
        <f t="array" ref="T7">_xlfn.XLOOKUP($A7,ACT[[№]:[№]],ACT[Special Wooden Shoring / Специальное деревянное крепление],"",0,1)</f>
        <v>0</v>
      </c>
      <c r="U7" s="9"/>
      <c r="V7" s="40" cm="1">
        <f t="array" ref="V7">_xlfn.XLOOKUP($A7,ACT[[№]:[№]],ACT[Total amount/ Общая стоимость KRW (10+11+12+13+14+15+16)],"",0,1)</f>
        <v>671925.19993434008</v>
      </c>
      <c r="W7" s="40" cm="1">
        <f t="array" ref="W7">_xlfn.XLOOKUP($A7,ACT[[№]:[№]],ACT[Total amount/ Общая стоимость (17*exchange rate/ обменный курс)
 USD],"",0,1)</f>
        <v>522.37</v>
      </c>
      <c r="X7" s="9" cm="1">
        <f t="array" ref="X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7" s="12">
        <f>VLOOKUP(Шаблон_Формулы[[#This Row],[24]],Курс_840[[Дата]:[Курс]],2,0)</f>
        <v>12089</v>
      </c>
      <c r="Z7" s="42">
        <f>IFERROR(Шаблон_Формулы[[#This Row],[23]]*Шаблон_Формулы[[#This Row],[25]],"")</f>
        <v>6314930.9299999997</v>
      </c>
      <c r="AA7" s="13" t="str" cm="1">
        <f t="array" ref="AA7">ACT_number[№ исходящего акта]</f>
        <v>468 LCL</v>
      </c>
    </row>
    <row r="8" spans="1:27" s="8" customFormat="1" ht="12">
      <c r="A8" s="11">
        <v>4</v>
      </c>
      <c r="B8" s="8" t="str" cm="1">
        <f t="array" ref="B8">_xlfn.XLOOKUP($A8,ACT[[№]:[№]],ACT[Container No/
№ Контейнера],"",0,1)</f>
        <v>BMOU4662590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37" cm="1">
        <f t="array" ref="E8">_xlfn.XLOOKUP($A8,ACT[[№]:[№]],ACT[Date of Dispatch/ 
Дата отгрузки],"",0,1)</f>
        <v>45124</v>
      </c>
      <c r="F8" s="38" t="str" cm="1">
        <f t="array" ref="F8">_xlfn.XLOOKUP($A8,ACT[[№]:[№]],ACT[Supplier/ Поставщик],"",0,1)</f>
        <v>Central</v>
      </c>
      <c r="G8" s="38" t="str" cm="1">
        <f t="array" ref="G8">_xlfn.XLOOKUP($A8,ACT[[№]:[№]],ACT[Supplier Invoice No/                          № Инвойса Поставщика],"",0,1)</f>
        <v>UZA230713</v>
      </c>
      <c r="H8" s="39" cm="1">
        <f t="array" ref="H8">_xlfn.XLOOKUP($A8,ACT[[№]:[№]],ACT[CBM],"",0,1)</f>
        <v>6.4909999999999997</v>
      </c>
      <c r="I8" s="39" cm="1">
        <f t="array" ref="I8">_xlfn.XLOOKUP($A8,ACT[[№]:[№]],ACT[Gross weight, kg/ Вес брутто, кг],"",0,1)</f>
        <v>2270.31</v>
      </c>
      <c r="J8" s="39" t="str" cm="1">
        <f t="array" ref="J8">_xlfn.XLOOKUP($A8,ACT[[№]:[№]],ACT[Delivery terms / Условия поставки],"",0,1)</f>
        <v>FOB</v>
      </c>
      <c r="K8" s="39" cm="1">
        <f t="array" ref="K8">_xlfn.XLOOKUP($A8,ACT[[№]:[№]],ACT[Container total CBM],"",0,1)</f>
        <v>41.120999999999995</v>
      </c>
      <c r="L8" s="40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0</v>
      </c>
      <c r="M8" s="40" cm="1">
        <f t="array" ref="M8">_xlfn.XLOOKUP($A8,ACT[[№]:[№]],ACT[Consolidation Work, Loading, Unloading/ Работы по консолидации, Погрузка, Разгрузка (Rate/Тариф - 8000 per CBM)                   KRW],"",0,1)</f>
        <v>0</v>
      </c>
      <c r="N8" s="40" cm="1">
        <f t="array" ref="N8">_xlfn.XLOOKUP($A8,ACT[[№]:[№]],ACT[Shoring, Banding, Sealing, Handling/ Крепление, Перевязка, Опечатование, Обработка
KRW],"",0,1)</f>
        <v>0</v>
      </c>
      <c r="O8" s="40" cm="1">
        <f t="array" ref="O8">_xlfn.XLOOKUP($A8,ACT[[№]:[№]],ACT[Documents Work/ Сбор за подготовку документов
KRW],"",0,1)</f>
        <v>0</v>
      </c>
      <c r="P8" s="40" cm="1">
        <f t="array" ref="P8">_xlfn.XLOOKUP($A8,ACT[[№]:[№]],ACT[THC/ Терминальная обработка
KRW],"",0,1)</f>
        <v>0</v>
      </c>
      <c r="Q8" s="40" cm="1">
        <f t="array" ref="Q8">_xlfn.XLOOKUP($A8,ACT[[№]:[№]],ACT[Wharfage/ Портовая пошлина
KRW],"",0,1)</f>
        <v>0</v>
      </c>
      <c r="R8" s="40" cm="1">
        <f t="array" ref="R8">_xlfn.XLOOKUP($A8,ACT[[№]:[№]],ACT[TRUCKING CHARGE],"",0,1)</f>
        <v>0</v>
      </c>
      <c r="S8" s="40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8" s="40" cm="1">
        <f t="array" ref="T8">_xlfn.XLOOKUP($A8,ACT[[№]:[№]],ACT[Special Wooden Shoring / Специальное деревянное крепление],"",0,1)</f>
        <v>0</v>
      </c>
      <c r="U8" s="9"/>
      <c r="V8" s="40" cm="1">
        <f t="array" ref="V8">_xlfn.XLOOKUP($A8,ACT[[№]:[№]],ACT[Total amount/ Общая стоимость KRW (10+11+12+13+14+15+16)],"",0,1)</f>
        <v>0</v>
      </c>
      <c r="W8" s="40" cm="1">
        <f t="array" ref="W8">_xlfn.XLOOKUP($A8,ACT[[№]:[№]],ACT[Total amount/ Общая стоимость (17*exchange rate/ обменный курс)
 USD],"",0,1)</f>
        <v>0</v>
      </c>
      <c r="X8" s="9" cm="1">
        <f t="array" ref="X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8" s="12">
        <f>VLOOKUP(Шаблон_Формулы[[#This Row],[24]],Курс_840[[Дата]:[Курс]],2,0)</f>
        <v>12089</v>
      </c>
      <c r="Z8" s="42">
        <f>IFERROR(Шаблон_Формулы[[#This Row],[23]]*Шаблон_Формулы[[#This Row],[25]],"")</f>
        <v>0</v>
      </c>
      <c r="AA8" s="13" t="str" cm="1">
        <f t="array" ref="AA8">ACT_number[№ исходящего акта]</f>
        <v>468 LCL</v>
      </c>
    </row>
    <row r="9" spans="1:27" s="8" customFormat="1" ht="12">
      <c r="A9" s="11">
        <v>5</v>
      </c>
      <c r="B9" s="8" t="str" cm="1">
        <f t="array" ref="B9">_xlfn.XLOOKUP($A9,ACT[[№]:[№]],ACT[Container No/
№ Контейнера],"",0,1)</f>
        <v>FFAU4514021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37" cm="1">
        <f t="array" ref="E9">_xlfn.XLOOKUP($A9,ACT[[№]:[№]],ACT[Date of Dispatch/ 
Дата отгрузки],"",0,1)</f>
        <v>45124</v>
      </c>
      <c r="F9" s="38" t="str" cm="1">
        <f t="array" ref="F9">_xlfn.XLOOKUP($A9,ACT[[№]:[№]],ACT[Supplier/ Поставщик],"",0,1)</f>
        <v>Erae AMS</v>
      </c>
      <c r="G9" s="38" t="str" cm="1">
        <f t="array" ref="G9">_xlfn.XLOOKUP($A9,ACT[[№]:[№]],ACT[Supplier Invoice No/                          № Инвойса Поставщика],"",0,1)</f>
        <v>DS237HF02(1)</v>
      </c>
      <c r="H9" s="39" cm="1">
        <f t="array" ref="H9">_xlfn.XLOOKUP($A9,ACT[[№]:[№]],ACT[CBM],"",0,1)</f>
        <v>7.9359999999999999</v>
      </c>
      <c r="I9" s="39" cm="1">
        <f t="array" ref="I9">_xlfn.XLOOKUP($A9,ACT[[№]:[№]],ACT[Gross weight, kg/ Вес брутто, кг],"",0,1)</f>
        <v>2840</v>
      </c>
      <c r="J9" s="39" t="str" cm="1">
        <f t="array" ref="J9">_xlfn.XLOOKUP($A9,ACT[[№]:[№]],ACT[Delivery terms / Условия поставки],"",0,1)</f>
        <v>FCA</v>
      </c>
      <c r="K9" s="39" cm="1">
        <f t="array" ref="K9">_xlfn.XLOOKUP($A9,ACT[[№]:[№]],ACT[Container total CBM],"",0,1)</f>
        <v>64.121000000000009</v>
      </c>
      <c r="L9" s="40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332000</v>
      </c>
      <c r="M9" s="40" cm="1">
        <f t="array" ref="M9">_xlfn.XLOOKUP($A9,ACT[[№]:[№]],ACT[Consolidation Work, Loading, Unloading/ Работы по консолидации, Погрузка, Разгрузка (Rate/Тариф - 8000 per CBM)                   KRW],"",0,1)</f>
        <v>67376.639999999999</v>
      </c>
      <c r="N9" s="40" cm="1">
        <f t="array" ref="N9">_xlfn.XLOOKUP($A9,ACT[[№]:[№]],ACT[Shoring, Banding, Sealing, Handling/ Крепление, Перевязка, Опечатование, Обработка
KRW],"",0,1)</f>
        <v>23985.851749036978</v>
      </c>
      <c r="O9" s="40" cm="1">
        <f t="array" ref="O9">_xlfn.XLOOKUP($A9,ACT[[№]:[№]],ACT[Documents Work/ Сбор за подготовку документов
KRW],"",0,1)</f>
        <v>6188.3002448495799</v>
      </c>
      <c r="P9" s="40" cm="1">
        <f t="array" ref="P9">_xlfn.XLOOKUP($A9,ACT[[№]:[№]],ACT[THC/ Терминальная обработка
KRW],"",0,1)</f>
        <v>22946.217307902243</v>
      </c>
      <c r="Q9" s="40" cm="1">
        <f t="array" ref="Q9">_xlfn.XLOOKUP($A9,ACT[[№]:[№]],ACT[Wharfage/ Портовая пошлина
KRW],"",0,1)</f>
        <v>1126.2706445626236</v>
      </c>
      <c r="R9" s="40" cm="1">
        <f t="array" ref="R9">_xlfn.XLOOKUP($A9,ACT[[№]:[№]],ACT[TRUCKING CHARGE],"",0,1)</f>
        <v>0</v>
      </c>
      <c r="S9" s="40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34716.364373606142</v>
      </c>
      <c r="T9" s="40" cm="1">
        <f t="array" ref="T9">_xlfn.XLOOKUP($A9,ACT[[№]:[№]],ACT[Special Wooden Shoring / Специальное деревянное крепление],"",0,1)</f>
        <v>0</v>
      </c>
      <c r="U9" s="9"/>
      <c r="V9" s="40" cm="1">
        <f t="array" ref="V9">_xlfn.XLOOKUP($A9,ACT[[№]:[№]],ACT[Total amount/ Общая стоимость KRW (10+11+12+13+14+15+16)],"",0,1)</f>
        <v>488339.64431995759</v>
      </c>
      <c r="W9" s="40" cm="1">
        <f t="array" ref="W9">_xlfn.XLOOKUP($A9,ACT[[№]:[№]],ACT[Total amount/ Общая стоимость (17*exchange rate/ обменный курс)
 USD],"",0,1)</f>
        <v>379.65</v>
      </c>
      <c r="X9" s="9" cm="1">
        <f t="array" ref="X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9" s="12">
        <f>VLOOKUP(Шаблон_Формулы[[#This Row],[24]],Курс_840[[Дата]:[Курс]],2,0)</f>
        <v>12089</v>
      </c>
      <c r="Z9" s="42">
        <f>IFERROR(Шаблон_Формулы[[#This Row],[23]]*Шаблон_Формулы[[#This Row],[25]],"")</f>
        <v>4589588.8499999996</v>
      </c>
      <c r="AA9" s="13" t="str" cm="1">
        <f t="array" ref="AA9">ACT_number[№ исходящего акта]</f>
        <v>468 LCL</v>
      </c>
    </row>
    <row r="10" spans="1:27" s="8" customFormat="1" ht="12">
      <c r="A10" s="11">
        <v>6</v>
      </c>
      <c r="B10" s="8" t="str" cm="1">
        <f t="array" ref="B10">_xlfn.XLOOKUP($A10,ACT[[№]:[№]],ACT[Container No/
№ Контейнера],"",0,1)</f>
        <v>FFAU4514021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37" cm="1">
        <f t="array" ref="E10">_xlfn.XLOOKUP($A10,ACT[[№]:[№]],ACT[Date of Dispatch/ 
Дата отгрузки],"",0,1)</f>
        <v>45124</v>
      </c>
      <c r="F10" s="38" t="str" cm="1">
        <f t="array" ref="F10">_xlfn.XLOOKUP($A10,ACT[[№]:[№]],ACT[Supplier/ Поставщик],"",0,1)</f>
        <v>Erae AMS</v>
      </c>
      <c r="G10" s="38" t="str" cm="1">
        <f t="array" ref="G10">_xlfn.XLOOKUP($A10,ACT[[№]:[№]],ACT[Supplier Invoice No/                          № Инвойса Поставщика],"",0,1)</f>
        <v>DM237AU02-1(1)</v>
      </c>
      <c r="H10" s="39" cm="1">
        <f t="array" ref="H10">_xlfn.XLOOKUP($A10,ACT[[№]:[№]],ACT[CBM],"",0,1)</f>
        <v>7.12</v>
      </c>
      <c r="I10" s="39" cm="1">
        <f t="array" ref="I10">_xlfn.XLOOKUP($A10,ACT[[№]:[№]],ACT[Gross weight, kg/ Вес брутто, кг],"",0,1)</f>
        <v>1186</v>
      </c>
      <c r="J10" s="39" t="str" cm="1">
        <f t="array" ref="J10">_xlfn.XLOOKUP($A10,ACT[[№]:[№]],ACT[Delivery terms / Условия поставки],"",0,1)</f>
        <v>FCA</v>
      </c>
      <c r="K10" s="39" cm="1">
        <f t="array" ref="K10">_xlfn.XLOOKUP($A10,ACT[[№]:[№]],ACT[Container total CBM],"",0,1)</f>
        <v>64.121000000000009</v>
      </c>
      <c r="L10" s="40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332000</v>
      </c>
      <c r="M10" s="40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60448.800000000003</v>
      </c>
      <c r="N10" s="40" cm="1">
        <f t="array" ref="N10">_xlfn.XLOOKUP($A10,ACT[[№]:[№]],ACT[Shoring, Banding, Sealing, Handling/ Крепление, Перевязка, Опечатование, Обработка
KRW],"",0,1)</f>
        <v>21519.564573228738</v>
      </c>
      <c r="O10" s="40" cm="1">
        <f t="array" ref="O10">_xlfn.XLOOKUP($A10,ACT[[№]:[№]],ACT[Documents Work/ Сбор за подготовку документов
KRW],"",0,1)</f>
        <v>5552.0032438670632</v>
      </c>
      <c r="P10" s="40" cm="1">
        <f t="array" ref="P10">_xlfn.XLOOKUP($A10,ACT[[№]:[№]],ACT[THC/ Терминальная обработка
KRW],"",0,1)</f>
        <v>20586.828028259071</v>
      </c>
      <c r="Q10" s="40" cm="1">
        <f t="array" ref="Q10">_xlfn.XLOOKUP($A10,ACT[[№]:[№]],ACT[Wharfage/ Портовая пошлина
KRW],"",0,1)</f>
        <v>1010.4645903838054</v>
      </c>
      <c r="R10" s="40" cm="1">
        <f t="array" ref="R10">_xlfn.XLOOKUP($A10,ACT[[№]:[№]],ACT[TRUCKING CHARGE],"",0,1)</f>
        <v>0</v>
      </c>
      <c r="S10" s="40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31146.738198094223</v>
      </c>
      <c r="T10" s="40" cm="1">
        <f t="array" ref="T10">_xlfn.XLOOKUP($A10,ACT[[№]:[№]],ACT[Special Wooden Shoring / Специальное деревянное крепление],"",0,1)</f>
        <v>0</v>
      </c>
      <c r="U10" s="9"/>
      <c r="V10" s="40" cm="1">
        <f t="array" ref="V10">_xlfn.XLOOKUP($A10,ACT[[№]:[№]],ACT[Total amount/ Общая стоимость KRW (10+11+12+13+14+15+16)],"",0,1)</f>
        <v>472264.39863383299</v>
      </c>
      <c r="W10" s="40" cm="1">
        <f t="array" ref="W10">_xlfn.XLOOKUP($A10,ACT[[№]:[№]],ACT[Total amount/ Общая стоимость (17*exchange rate/ обменный курс)
 USD],"",0,1)</f>
        <v>367.15</v>
      </c>
      <c r="X10" s="9" cm="1">
        <f t="array" ref="X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0" s="12">
        <f>VLOOKUP(Шаблон_Формулы[[#This Row],[24]],Курс_840[[Дата]:[Курс]],2,0)</f>
        <v>12089</v>
      </c>
      <c r="Z10" s="42">
        <f>IFERROR(Шаблон_Формулы[[#This Row],[23]]*Шаблон_Формулы[[#This Row],[25]],"")</f>
        <v>4438476.3499999996</v>
      </c>
      <c r="AA10" s="13" t="str" cm="1">
        <f t="array" ref="AA10">ACT_number[№ исходящего акта]</f>
        <v>468 LCL</v>
      </c>
    </row>
    <row r="11" spans="1:27" s="8" customFormat="1" ht="12">
      <c r="A11" s="11">
        <v>7</v>
      </c>
      <c r="B11" s="8" t="str" cm="1">
        <f t="array" ref="B11">_xlfn.XLOOKUP($A11,ACT[[№]:[№]],ACT[Container No/
№ Контейнера],"",0,1)</f>
        <v>FFAU4514021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37" cm="1">
        <f t="array" ref="E11">_xlfn.XLOOKUP($A11,ACT[[№]:[№]],ACT[Date of Dispatch/ 
Дата отгрузки],"",0,1)</f>
        <v>45124</v>
      </c>
      <c r="F11" s="38" t="str" cm="1">
        <f t="array" ref="F11">_xlfn.XLOOKUP($A11,ACT[[№]:[№]],ACT[Supplier/ Поставщик],"",0,1)</f>
        <v>Daedong System</v>
      </c>
      <c r="G11" s="38" t="str" cm="1">
        <f t="array" ref="G11">_xlfn.XLOOKUP($A11,ACT[[№]:[№]],ACT[Supplier Invoice No/                          № Инвойса Поставщика],"",0,1)</f>
        <v>UZA23026</v>
      </c>
      <c r="H11" s="39" cm="1">
        <f t="array" ref="H11">_xlfn.XLOOKUP($A11,ACT[[№]:[№]],ACT[CBM],"",0,1)</f>
        <v>23.359000000000002</v>
      </c>
      <c r="I11" s="39" cm="1">
        <f t="array" ref="I11">_xlfn.XLOOKUP($A11,ACT[[№]:[№]],ACT[Gross weight, kg/ Вес брутто, кг],"",0,1)</f>
        <v>4979</v>
      </c>
      <c r="J11" s="39" t="str" cm="1">
        <f t="array" ref="J11">_xlfn.XLOOKUP($A11,ACT[[№]:[№]],ACT[Delivery terms / Условия поставки],"",0,1)</f>
        <v>FCA</v>
      </c>
      <c r="K11" s="39" cm="1">
        <f t="array" ref="K11">_xlfn.XLOOKUP($A11,ACT[[№]:[№]],ACT[Container total CBM],"",0,1)</f>
        <v>64.121000000000009</v>
      </c>
      <c r="L11" s="40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635000</v>
      </c>
      <c r="M11" s="40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198317.91</v>
      </c>
      <c r="N11" s="40" cm="1">
        <f t="array" ref="N11">_xlfn.XLOOKUP($A11,ACT[[№]:[№]],ACT[Shoring, Banding, Sealing, Handling/ Крепление, Перевязка, Опечатование, Обработка
KRW],"",0,1)</f>
        <v>70600.492818265455</v>
      </c>
      <c r="O11" s="40" cm="1">
        <f t="array" ref="O11">_xlfn.XLOOKUP($A11,ACT[[№]:[№]],ACT[Documents Work/ Сбор за подготовку документов
KRW],"",0,1)</f>
        <v>18214.781428861057</v>
      </c>
      <c r="P11" s="40" cm="1">
        <f t="array" ref="P11">_xlfn.XLOOKUP($A11,ACT[[№]:[№]],ACT[THC/ Терминальная обработка
KRW],"",0,1)</f>
        <v>67540.409538216802</v>
      </c>
      <c r="Q11" s="40" cm="1">
        <f t="array" ref="Q11">_xlfn.XLOOKUP($A11,ACT[[№]:[№]],ACT[Wharfage/ Портовая пошлина
KRW],"",0,1)</f>
        <v>3315.0902200527125</v>
      </c>
      <c r="R11" s="40" cm="1">
        <f t="array" ref="R11">_xlfn.XLOOKUP($A11,ACT[[№]:[№]],ACT[TRUCKING CHARGE],"",0,1)</f>
        <v>0</v>
      </c>
      <c r="S11" s="40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102184.92381591052</v>
      </c>
      <c r="T11" s="40" cm="1">
        <f t="array" ref="T11">_xlfn.XLOOKUP($A11,ACT[[№]:[№]],ACT[Special Wooden Shoring / Специальное деревянное крепление],"",0,1)</f>
        <v>0</v>
      </c>
      <c r="U11" s="9"/>
      <c r="V11" s="40" cm="1">
        <f t="array" ref="V11">_xlfn.XLOOKUP($A11,ACT[[№]:[№]],ACT[Total amount/ Общая стоимость KRW (10+11+12+13+14+15+16)],"",0,1)</f>
        <v>1095173.6078213069</v>
      </c>
      <c r="W11" s="40" cm="1">
        <f t="array" ref="W11">_xlfn.XLOOKUP($A11,ACT[[№]:[№]],ACT[Total amount/ Общая стоимость (17*exchange rate/ обменный курс)
 USD],"",0,1)</f>
        <v>851.41</v>
      </c>
      <c r="X11" s="9" cm="1">
        <f t="array" ref="X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1" s="12">
        <f>VLOOKUP(Шаблон_Формулы[[#This Row],[24]],Курс_840[[Дата]:[Курс]],2,0)</f>
        <v>12089</v>
      </c>
      <c r="Z11" s="42">
        <f>IFERROR(Шаблон_Формулы[[#This Row],[23]]*Шаблон_Формулы[[#This Row],[25]],"")</f>
        <v>10292695.49</v>
      </c>
      <c r="AA11" s="13" t="str" cm="1">
        <f t="array" ref="AA11">ACT_number[№ исходящего акта]</f>
        <v>468 LCL</v>
      </c>
    </row>
    <row r="12" spans="1:27" s="8" customFormat="1" ht="12">
      <c r="A12" s="11">
        <v>8</v>
      </c>
      <c r="B12" s="8" t="str" cm="1">
        <f t="array" ref="B12">_xlfn.XLOOKUP($A12,ACT[[№]:[№]],ACT[Container No/
№ Контейнера],"",0,1)</f>
        <v>FFAU4514021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37" cm="1">
        <f t="array" ref="E12">_xlfn.XLOOKUP($A12,ACT[[№]:[№]],ACT[Date of Dispatch/ 
Дата отгрузки],"",0,1)</f>
        <v>45124</v>
      </c>
      <c r="F12" s="38" t="str" cm="1">
        <f t="array" ref="F12">_xlfn.XLOOKUP($A12,ACT[[№]:[№]],ACT[Supplier/ Поставщик],"",0,1)</f>
        <v>Samsong</v>
      </c>
      <c r="G12" s="38" t="str" cm="1">
        <f t="array" ref="G12">_xlfn.XLOOKUP($A12,ACT[[№]:[№]],ACT[Supplier Invoice No/                          № Инвойса Поставщика],"",0,1)</f>
        <v>GM-UZ-237023</v>
      </c>
      <c r="H12" s="39" cm="1">
        <f t="array" ref="H12">_xlfn.XLOOKUP($A12,ACT[[№]:[№]],ACT[CBM],"",0,1)</f>
        <v>14.747</v>
      </c>
      <c r="I12" s="39" cm="1">
        <f t="array" ref="I12">_xlfn.XLOOKUP($A12,ACT[[№]:[№]],ACT[Gross weight, kg/ Вес брутто, кг],"",0,1)</f>
        <v>3012</v>
      </c>
      <c r="J12" s="39" t="str" cm="1">
        <f t="array" ref="J12">_xlfn.XLOOKUP($A12,ACT[[№]:[№]],ACT[Delivery terms / Условия поставки],"",0,1)</f>
        <v>FCA</v>
      </c>
      <c r="K12" s="39" cm="1">
        <f t="array" ref="K12">_xlfn.XLOOKUP($A12,ACT[[№]:[№]],ACT[Container total CBM],"",0,1)</f>
        <v>64.121000000000009</v>
      </c>
      <c r="L12" s="40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216500</v>
      </c>
      <c r="M12" s="40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125202.03</v>
      </c>
      <c r="N12" s="40" cm="1">
        <f t="array" ref="N12">_xlfn.XLOOKUP($A12,ACT[[№]:[№]],ACT[Shoring, Banding, Sealing, Handling/ Крепление, Перевязка, Опечатование, Обработка
KRW],"",0,1)</f>
        <v>44571.491399073617</v>
      </c>
      <c r="O12" s="40" cm="1">
        <f t="array" ref="O12">_xlfn.XLOOKUP($A12,ACT[[№]:[№]],ACT[Documents Work/ Сбор за подготовку документов
KRW],"",0,1)</f>
        <v>11499.352786138705</v>
      </c>
      <c r="P12" s="40" cm="1">
        <f t="array" ref="P12">_xlfn.XLOOKUP($A12,ACT[[№]:[№]],ACT[THC/ Терминальная обработка
KRW],"",0,1)</f>
        <v>42639.600131002313</v>
      </c>
      <c r="Q12" s="40" cm="1">
        <f t="array" ref="Q12">_xlfn.XLOOKUP($A12,ACT[[№]:[№]],ACT[Wharfage/ Портовая пошлина
KRW],"",0,1)</f>
        <v>2092.8822070772444</v>
      </c>
      <c r="R12" s="40" cm="1">
        <f t="array" ref="R12">_xlfn.XLOOKUP($A12,ACT[[№]:[№]],ACT[TRUCKING CHARGE],"",0,1)</f>
        <v>0</v>
      </c>
      <c r="S12" s="40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64511.369130238134</v>
      </c>
      <c r="T12" s="40" cm="1">
        <f t="array" ref="T12">_xlfn.XLOOKUP($A12,ACT[[№]:[№]],ACT[Special Wooden Shoring / Специальное деревянное крепление],"",0,1)</f>
        <v>0</v>
      </c>
      <c r="U12" s="9"/>
      <c r="V12" s="40" cm="1">
        <f t="array" ref="V12">_xlfn.XLOOKUP($A12,ACT[[№]:[№]],ACT[Total amount/ Общая стоимость KRW (10+11+12+13+14+15+16)],"",0,1)</f>
        <v>507016.7256535301</v>
      </c>
      <c r="W12" s="40" cm="1">
        <f t="array" ref="W12">_xlfn.XLOOKUP($A12,ACT[[№]:[№]],ACT[Total amount/ Общая стоимость (17*exchange rate/ обменный курс)
 USD],"",0,1)</f>
        <v>394.17</v>
      </c>
      <c r="X12" s="9" cm="1">
        <f t="array" ref="X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2" s="12">
        <f>VLOOKUP(Шаблон_Формулы[[#This Row],[24]],Курс_840[[Дата]:[Курс]],2,0)</f>
        <v>12089</v>
      </c>
      <c r="Z12" s="42">
        <f>IFERROR(Шаблон_Формулы[[#This Row],[23]]*Шаблон_Формулы[[#This Row],[25]],"")</f>
        <v>4765121.13</v>
      </c>
      <c r="AA12" s="13" t="str" cm="1">
        <f t="array" ref="AA12">ACT_number[№ исходящего акта]</f>
        <v>468 LCL</v>
      </c>
    </row>
    <row r="13" spans="1:27" s="8" customFormat="1" ht="12">
      <c r="A13" s="11">
        <v>9</v>
      </c>
      <c r="B13" s="8" t="str" cm="1">
        <f t="array" ref="B13">_xlfn.XLOOKUP($A13,ACT[[№]:[№]],ACT[Container No/
№ Контейнера],"",0,1)</f>
        <v>FFAU4514021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37" cm="1">
        <f t="array" ref="E13">_xlfn.XLOOKUP($A13,ACT[[№]:[№]],ACT[Date of Dispatch/ 
Дата отгрузки],"",0,1)</f>
        <v>45124</v>
      </c>
      <c r="F13" s="38" t="str" cm="1">
        <f t="array" ref="F13">_xlfn.XLOOKUP($A13,ACT[[№]:[№]],ACT[Supplier/ Поставщик],"",0,1)</f>
        <v>Hwaseung R&amp;A</v>
      </c>
      <c r="G13" s="38" t="str" cm="1">
        <f t="array" ref="G13">_xlfn.XLOOKUP($A13,ACT[[№]:[№]],ACT[Supplier Invoice No/                          № Инвойса Поставщика],"",0,1)</f>
        <v>J23071213</v>
      </c>
      <c r="H13" s="39" cm="1">
        <f t="array" ref="H13">_xlfn.XLOOKUP($A13,ACT[[№]:[№]],ACT[CBM],"",0,1)</f>
        <v>2.4350000000000001</v>
      </c>
      <c r="I13" s="39" cm="1">
        <f t="array" ref="I13">_xlfn.XLOOKUP($A13,ACT[[№]:[№]],ACT[Gross weight, kg/ Вес брутто, кг],"",0,1)</f>
        <v>549</v>
      </c>
      <c r="J13" s="39" t="str" cm="1">
        <f t="array" ref="J13">_xlfn.XLOOKUP($A13,ACT[[№]:[№]],ACT[Delivery terms / Условия поставки],"",0,1)</f>
        <v>FCA</v>
      </c>
      <c r="K13" s="39" cm="1">
        <f t="array" ref="K13">_xlfn.XLOOKUP($A13,ACT[[№]:[№]],ACT[Container total CBM],"",0,1)</f>
        <v>64.121000000000009</v>
      </c>
      <c r="L13" s="40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119000</v>
      </c>
      <c r="M13" s="40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20673.150000000001</v>
      </c>
      <c r="N13" s="40" cm="1">
        <f t="array" ref="N13">_xlfn.XLOOKUP($A13,ACT[[№]:[№]],ACT[Shoring, Banding, Sealing, Handling/ Крепление, Перевязка, Опечатование, Обработка
KRW],"",0,1)</f>
        <v>7359.570187614042</v>
      </c>
      <c r="O13" s="40" cm="1">
        <f t="array" ref="O13">_xlfn.XLOOKUP($A13,ACT[[№]:[№]],ACT[Documents Work/ Сбор за подготовку документов
KRW],"",0,1)</f>
        <v>1898.7539183730755</v>
      </c>
      <c r="P13" s="40" cm="1">
        <f t="array" ref="P13">_xlfn.XLOOKUP($A13,ACT[[№]:[№]],ACT[THC/ Терминальная обработка
KRW],"",0,1)</f>
        <v>7040.579529327365</v>
      </c>
      <c r="Q13" s="40" cm="1">
        <f t="array" ref="Q13">_xlfn.XLOOKUP($A13,ACT[[№]:[№]],ACT[Wharfage/ Портовая пошлина
KRW],"",0,1)</f>
        <v>345.57321314389981</v>
      </c>
      <c r="R13" s="40" cm="1">
        <f t="array" ref="R13">_xlfn.XLOOKUP($A13,ACT[[№]:[№]],ACT[TRUCKING CHARGE],"",0,1)</f>
        <v>0</v>
      </c>
      <c r="S13" s="40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10652.009482072956</v>
      </c>
      <c r="T13" s="40" cm="1">
        <f t="array" ref="T13">_xlfn.XLOOKUP($A13,ACT[[№]:[№]],ACT[Special Wooden Shoring / Специальное деревянное крепление],"",0,1)</f>
        <v>0</v>
      </c>
      <c r="U13" s="9"/>
      <c r="V13" s="40" cm="1">
        <f t="array" ref="V13">_xlfn.XLOOKUP($A13,ACT[[№]:[№]],ACT[Total amount/ Общая стоимость KRW (10+11+12+13+14+15+16)],"",0,1)</f>
        <v>166969.63633053133</v>
      </c>
      <c r="W13" s="40" cm="1">
        <f t="array" ref="W13">_xlfn.XLOOKUP($A13,ACT[[№]:[№]],ACT[Total amount/ Общая стоимость (17*exchange rate/ обменный курс)
 USD],"",0,1)</f>
        <v>129.81</v>
      </c>
      <c r="X13" s="9" cm="1">
        <f t="array" ref="X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3" s="12">
        <f>VLOOKUP(Шаблон_Формулы[[#This Row],[24]],Курс_840[[Дата]:[Курс]],2,0)</f>
        <v>12089</v>
      </c>
      <c r="Z13" s="42">
        <f>IFERROR(Шаблон_Формулы[[#This Row],[23]]*Шаблон_Формулы[[#This Row],[25]],"")</f>
        <v>1569273.09</v>
      </c>
      <c r="AA13" s="13" t="str" cm="1">
        <f t="array" ref="AA13">ACT_number[№ исходящего акта]</f>
        <v>468 LCL</v>
      </c>
    </row>
    <row r="14" spans="1:27" s="8" customFormat="1" ht="12">
      <c r="A14" s="11">
        <v>10</v>
      </c>
      <c r="B14" s="8" t="str" cm="1">
        <f t="array" ref="B14">_xlfn.XLOOKUP($A14,ACT[[№]:[№]],ACT[Container No/
№ Контейнера],"",0,1)</f>
        <v>FFAU4514021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37" cm="1">
        <f t="array" ref="E14">_xlfn.XLOOKUP($A14,ACT[[№]:[№]],ACT[Date of Dispatch/ 
Дата отгрузки],"",0,1)</f>
        <v>45124</v>
      </c>
      <c r="F14" s="38" t="str" cm="1">
        <f t="array" ref="F14">_xlfn.XLOOKUP($A14,ACT[[№]:[№]],ACT[Supplier/ Поставщик],"",0,1)</f>
        <v>Hwaseung R&amp;A</v>
      </c>
      <c r="G14" s="38" t="str" cm="1">
        <f t="array" ref="G14">_xlfn.XLOOKUP($A14,ACT[[№]:[№]],ACT[Supplier Invoice No/                          № Инвойса Поставщика],"",0,1)</f>
        <v>J23071214</v>
      </c>
      <c r="H14" s="39" cm="1">
        <f t="array" ref="H14">_xlfn.XLOOKUP($A14,ACT[[№]:[№]],ACT[CBM],"",0,1)</f>
        <v>8.5239999999999991</v>
      </c>
      <c r="I14" s="39" cm="1">
        <f t="array" ref="I14">_xlfn.XLOOKUP($A14,ACT[[№]:[№]],ACT[Gross weight, kg/ Вес брутто, кг],"",0,1)</f>
        <v>540</v>
      </c>
      <c r="J14" s="39" t="str" cm="1">
        <f t="array" ref="J14">_xlfn.XLOOKUP($A14,ACT[[№]:[№]],ACT[Delivery terms / Условия поставки],"",0,1)</f>
        <v>FCA</v>
      </c>
      <c r="K14" s="39" cm="1">
        <f t="array" ref="K14">_xlfn.XLOOKUP($A14,ACT[[№]:[№]],ACT[Container total CBM],"",0,1)</f>
        <v>64.121000000000009</v>
      </c>
      <c r="L14" s="40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232000</v>
      </c>
      <c r="M14" s="40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72368.759999999995</v>
      </c>
      <c r="N14" s="40" cm="1">
        <f t="array" ref="N14">_xlfn.XLOOKUP($A14,ACT[[№]:[№]],ACT[Shoring, Banding, Sealing, Handling/ Крепление, Перевязка, Опечатование, Обработка
KRW],"",0,1)</f>
        <v>25763.029272781139</v>
      </c>
      <c r="O14" s="40" cm="1">
        <f t="array" ref="O14">_xlfn.XLOOKUP($A14,ACT[[№]:[№]],ACT[Documents Work/ Сбор за подготовку документов
KRW],"",0,1)</f>
        <v>6646.8083779105109</v>
      </c>
      <c r="P14" s="40" cm="1">
        <f t="array" ref="P14">_xlfn.XLOOKUP($A14,ACT[[№]:[№]],ACT[THC/ Терминальная обработка
KRW],"",0,1)</f>
        <v>24646.365465292176</v>
      </c>
      <c r="Q14" s="40" cm="1">
        <f t="array" ref="Q14">_xlfn.XLOOKUP($A14,ACT[[№]:[№]],ACT[Wharfage/ Портовая пошлина
KRW],"",0,1)</f>
        <v>1209.719124779713</v>
      </c>
      <c r="R14" s="40" cm="1">
        <f t="array" ref="R14">_xlfn.XLOOKUP($A14,ACT[[№]:[№]],ACT[TRUCKING CHARGE],"",0,1)</f>
        <v>0</v>
      </c>
      <c r="S14" s="40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37288.59500007797</v>
      </c>
      <c r="T14" s="40" cm="1">
        <f t="array" ref="T14">_xlfn.XLOOKUP($A14,ACT[[№]:[№]],ACT[Special Wooden Shoring / Специальное деревянное крепление],"",0,1)</f>
        <v>0</v>
      </c>
      <c r="U14" s="9"/>
      <c r="V14" s="40" cm="1">
        <f t="array" ref="V14">_xlfn.XLOOKUP($A14,ACT[[№]:[№]],ACT[Total amount/ Общая стоимость KRW (10+11+12+13+14+15+16)],"",0,1)</f>
        <v>399923.27724084153</v>
      </c>
      <c r="W14" s="40" cm="1">
        <f t="array" ref="W14">_xlfn.XLOOKUP($A14,ACT[[№]:[№]],ACT[Total amount/ Общая стоимость (17*exchange rate/ обменный курс)
 USD],"",0,1)</f>
        <v>310.91000000000003</v>
      </c>
      <c r="X14" s="9" cm="1">
        <f t="array" ref="X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4" s="12">
        <f>VLOOKUP(Шаблон_Формулы[[#This Row],[24]],Курс_840[[Дата]:[Курс]],2,0)</f>
        <v>12089</v>
      </c>
      <c r="Z14" s="42">
        <f>IFERROR(Шаблон_Формулы[[#This Row],[23]]*Шаблон_Формулы[[#This Row],[25]],"")</f>
        <v>3758590.99</v>
      </c>
      <c r="AA14" s="13" t="str" cm="1">
        <f t="array" ref="AA14">ACT_number[№ исходящего акта]</f>
        <v>468 LCL</v>
      </c>
    </row>
    <row r="15" spans="1:27" s="8" customFormat="1" ht="12">
      <c r="A15" s="11">
        <v>11</v>
      </c>
      <c r="B15" s="8" t="str" cm="1">
        <f t="array" ref="B15">_xlfn.XLOOKUP($A15,ACT[[№]:[№]],ACT[Container No/
№ Контейнера],"",0,1)</f>
        <v>MOTU6713111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37" cm="1">
        <f t="array" ref="E15">_xlfn.XLOOKUP($A15,ACT[[№]:[№]],ACT[Date of Dispatch/ 
Дата отгрузки],"",0,1)</f>
        <v>45124</v>
      </c>
      <c r="F15" s="38" t="str" cm="1">
        <f t="array" ref="F15">_xlfn.XLOOKUP($A15,ACT[[№]:[№]],ACT[Supplier/ Поставщик],"",0,1)</f>
        <v>Erae AMS</v>
      </c>
      <c r="G15" s="38" t="str" cm="1">
        <f t="array" ref="G15">_xlfn.XLOOKUP($A15,ACT[[№]:[№]],ACT[Supplier Invoice No/                          № Инвойса Поставщика],"",0,1)</f>
        <v>DS237HF02(2)</v>
      </c>
      <c r="H15" s="39" cm="1">
        <f t="array" ref="H15">_xlfn.XLOOKUP($A15,ACT[[№]:[№]],ACT[CBM],"",0,1)</f>
        <v>16.675000000000001</v>
      </c>
      <c r="I15" s="39" cm="1">
        <f t="array" ref="I15">_xlfn.XLOOKUP($A15,ACT[[№]:[№]],ACT[Gross weight, kg/ Вес брутто, кг],"",0,1)</f>
        <v>6875</v>
      </c>
      <c r="J15" s="39" t="str" cm="1">
        <f t="array" ref="J15">_xlfn.XLOOKUP($A15,ACT[[№]:[№]],ACT[Delivery terms / Условия поставки],"",0,1)</f>
        <v>FCA</v>
      </c>
      <c r="K15" s="39" cm="1">
        <f t="array" ref="K15">_xlfn.XLOOKUP($A15,ACT[[№]:[№]],ACT[Container total CBM],"",0,1)</f>
        <v>61.750000000000007</v>
      </c>
      <c r="L15" s="40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376000</v>
      </c>
      <c r="M15" s="40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141570.75</v>
      </c>
      <c r="N15" s="40" cm="1">
        <f t="array" ref="N15">_xlfn.XLOOKUP($A15,ACT[[№]:[№]],ACT[Shoring, Banding, Sealing, Handling/ Крепление, Перевязка, Опечатование, Обработка
KRW],"",0,1)</f>
        <v>52333.846153846149</v>
      </c>
      <c r="O15" s="40" cm="1">
        <f t="array" ref="O15">_xlfn.XLOOKUP($A15,ACT[[№]:[№]],ACT[Documents Work/ Сбор за подготовку документов
KRW],"",0,1)</f>
        <v>13502.024291497974</v>
      </c>
      <c r="P15" s="40" cm="1">
        <f t="array" ref="P15">_xlfn.XLOOKUP($A15,ACT[[№]:[№]],ACT[THC/ Терминальная обработка
KRW],"",0,1)</f>
        <v>50065.506072874487</v>
      </c>
      <c r="Q15" s="40" cm="1">
        <f t="array" ref="Q15">_xlfn.XLOOKUP($A15,ACT[[№]:[№]],ACT[Wharfage/ Портовая пошлина
KRW],"",0,1)</f>
        <v>2457.3684210526312</v>
      </c>
      <c r="R15" s="40" cm="1">
        <f t="array" ref="R15">_xlfn.XLOOKUP($A15,ACT[[№]:[№]],ACT[TRUCKING CHARGE],"",0,1)</f>
        <v>0</v>
      </c>
      <c r="S15" s="40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75746.356275303639</v>
      </c>
      <c r="T15" s="40" cm="1">
        <f t="array" ref="T15">_xlfn.XLOOKUP($A15,ACT[[№]:[№]],ACT[Special Wooden Shoring / Специальное деревянное крепление],"",0,1)</f>
        <v>0</v>
      </c>
      <c r="U15" s="9"/>
      <c r="V15" s="40" cm="1">
        <f t="array" ref="V15">_xlfn.XLOOKUP($A15,ACT[[№]:[№]],ACT[Total amount/ Общая стоимость KRW (10+11+12+13+14+15+16)],"",0,1)</f>
        <v>711675.85121457488</v>
      </c>
      <c r="W15" s="40" cm="1">
        <f t="array" ref="W15">_xlfn.XLOOKUP($A15,ACT[[№]:[№]],ACT[Total amount/ Общая стоимость (17*exchange rate/ обменный курс)
 USD],"",0,1)</f>
        <v>553.27</v>
      </c>
      <c r="X15" s="9" cm="1">
        <f t="array" ref="X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5" s="12">
        <f>VLOOKUP(Шаблон_Формулы[[#This Row],[24]],Курс_840[[Дата]:[Курс]],2,0)</f>
        <v>12089</v>
      </c>
      <c r="Z15" s="42">
        <f>IFERROR(Шаблон_Формулы[[#This Row],[23]]*Шаблон_Формулы[[#This Row],[25]],"")</f>
        <v>6688481.0299999993</v>
      </c>
      <c r="AA15" s="13" t="str" cm="1">
        <f t="array" ref="AA15">ACT_number[№ исходящего акта]</f>
        <v>468 LCL</v>
      </c>
    </row>
    <row r="16" spans="1:27" s="8" customFormat="1" ht="12">
      <c r="A16" s="11">
        <v>12</v>
      </c>
      <c r="B16" s="8" t="str" cm="1">
        <f t="array" ref="B16">_xlfn.XLOOKUP($A16,ACT[[№]:[№]],ACT[Container No/
№ Контейнера],"",0,1)</f>
        <v>MOTU6713111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37" cm="1">
        <f t="array" ref="E16">_xlfn.XLOOKUP($A16,ACT[[№]:[№]],ACT[Date of Dispatch/ 
Дата отгрузки],"",0,1)</f>
        <v>45124</v>
      </c>
      <c r="F16" s="38" t="str" cm="1">
        <f t="array" ref="F16">_xlfn.XLOOKUP($A16,ACT[[№]:[№]],ACT[Supplier/ Поставщик],"",0,1)</f>
        <v>Erae AMS</v>
      </c>
      <c r="G16" s="38" t="str" cm="1">
        <f t="array" ref="G16">_xlfn.XLOOKUP($A16,ACT[[№]:[№]],ACT[Supplier Invoice No/                          № Инвойса Поставщика],"",0,1)</f>
        <v>DS237HF02(3)</v>
      </c>
      <c r="H16" s="39" cm="1">
        <f t="array" ref="H16">_xlfn.XLOOKUP($A16,ACT[[№]:[№]],ACT[CBM],"",0,1)</f>
        <v>16.864000000000001</v>
      </c>
      <c r="I16" s="39" cm="1">
        <f t="array" ref="I16">_xlfn.XLOOKUP($A16,ACT[[№]:[№]],ACT[Gross weight, kg/ Вес брутто, кг],"",0,1)</f>
        <v>6035</v>
      </c>
      <c r="J16" s="39" t="str" cm="1">
        <f t="array" ref="J16">_xlfn.XLOOKUP($A16,ACT[[№]:[№]],ACT[Delivery terms / Условия поставки],"",0,1)</f>
        <v>FCA</v>
      </c>
      <c r="K16" s="39" cm="1">
        <f t="array" ref="K16">_xlfn.XLOOKUP($A16,ACT[[№]:[№]],ACT[Container total CBM],"",0,1)</f>
        <v>61.750000000000007</v>
      </c>
      <c r="L16" s="40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376000</v>
      </c>
      <c r="M16" s="40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143175.36000000002</v>
      </c>
      <c r="N16" s="40" cm="1">
        <f t="array" ref="N16">_xlfn.XLOOKUP($A16,ACT[[№]:[№]],ACT[Shoring, Banding, Sealing, Handling/ Крепление, Перевязка, Опечатование, Обработка
KRW],"",0,1)</f>
        <v>52927.015384615384</v>
      </c>
      <c r="O16" s="40" cm="1">
        <f t="array" ref="O16">_xlfn.XLOOKUP($A16,ACT[[№]:[№]],ACT[Documents Work/ Сбор за подготовку документов
KRW],"",0,1)</f>
        <v>13655.060728744938</v>
      </c>
      <c r="P16" s="40" cm="1">
        <f t="array" ref="P16">_xlfn.XLOOKUP($A16,ACT[[№]:[№]],ACT[THC/ Терминальная обработка
KRW],"",0,1)</f>
        <v>50632.965182186235</v>
      </c>
      <c r="Q16" s="40" cm="1">
        <f t="array" ref="Q16">_xlfn.XLOOKUP($A16,ACT[[№]:[№]],ACT[Wharfage/ Портовая пошлина
KRW],"",0,1)</f>
        <v>2485.2210526315789</v>
      </c>
      <c r="R16" s="40" cm="1">
        <f t="array" ref="R16">_xlfn.XLOOKUP($A16,ACT[[№]:[№]],ACT[TRUCKING CHARGE],"",0,1)</f>
        <v>0</v>
      </c>
      <c r="S16" s="40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76604.890688259111</v>
      </c>
      <c r="T16" s="40" cm="1">
        <f t="array" ref="T16">_xlfn.XLOOKUP($A16,ACT[[№]:[№]],ACT[Special Wooden Shoring / Специальное деревянное крепление],"",0,1)</f>
        <v>0</v>
      </c>
      <c r="U16" s="9"/>
      <c r="V16" s="40" cm="1">
        <f t="array" ref="V16">_xlfn.XLOOKUP($A16,ACT[[№]:[№]],ACT[Total amount/ Общая стоимость KRW (10+11+12+13+14+15+16)],"",0,1)</f>
        <v>715480.51303643733</v>
      </c>
      <c r="W16" s="40" cm="1">
        <f t="array" ref="W16">_xlfn.XLOOKUP($A16,ACT[[№]:[№]],ACT[Total amount/ Общая стоимость (17*exchange rate/ обменный курс)
 USD],"",0,1)</f>
        <v>556.23</v>
      </c>
      <c r="X16" s="9" cm="1">
        <f t="array" ref="X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6" s="12">
        <f>VLOOKUP(Шаблон_Формулы[[#This Row],[24]],Курс_840[[Дата]:[Курс]],2,0)</f>
        <v>12089</v>
      </c>
      <c r="Z16" s="42">
        <f>IFERROR(Шаблон_Формулы[[#This Row],[23]]*Шаблон_Формулы[[#This Row],[25]],"")</f>
        <v>6724264.4700000007</v>
      </c>
      <c r="AA16" s="13" t="str" cm="1">
        <f t="array" ref="AA16">ACT_number[№ исходящего акта]</f>
        <v>468 LCL</v>
      </c>
    </row>
    <row r="17" spans="1:27" s="8" customFormat="1" ht="12">
      <c r="A17" s="11">
        <v>13</v>
      </c>
      <c r="B17" s="8" t="str" cm="1">
        <f t="array" ref="B17">_xlfn.XLOOKUP($A17,ACT[[№]:[№]],ACT[Container No/
№ Контейнера],"",0,1)</f>
        <v>MOTU6713111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37" cm="1">
        <f t="array" ref="E17">_xlfn.XLOOKUP($A17,ACT[[№]:[№]],ACT[Date of Dispatch/ 
Дата отгрузки],"",0,1)</f>
        <v>45124</v>
      </c>
      <c r="F17" s="38" t="str" cm="1">
        <f t="array" ref="F17">_xlfn.XLOOKUP($A17,ACT[[№]:[№]],ACT[Supplier/ Поставщик],"",0,1)</f>
        <v>Erae AMS</v>
      </c>
      <c r="G17" s="38" t="str" cm="1">
        <f t="array" ref="G17">_xlfn.XLOOKUP($A17,ACT[[№]:[№]],ACT[Supplier Invoice No/                          № Инвойса Поставщика],"",0,1)</f>
        <v>DS237HF02(4)</v>
      </c>
      <c r="H17" s="39" cm="1">
        <f t="array" ref="H17">_xlfn.XLOOKUP($A17,ACT[[№]:[№]],ACT[CBM],"",0,1)</f>
        <v>16.864000000000001</v>
      </c>
      <c r="I17" s="39" cm="1">
        <f t="array" ref="I17">_xlfn.XLOOKUP($A17,ACT[[№]:[№]],ACT[Gross weight, kg/ Вес брутто, кг],"",0,1)</f>
        <v>6035</v>
      </c>
      <c r="J17" s="39" t="str" cm="1">
        <f t="array" ref="J17">_xlfn.XLOOKUP($A17,ACT[[№]:[№]],ACT[Delivery terms / Условия поставки],"",0,1)</f>
        <v>FCA</v>
      </c>
      <c r="K17" s="39" cm="1">
        <f t="array" ref="K17">_xlfn.XLOOKUP($A17,ACT[[№]:[№]],ACT[Container total CBM],"",0,1)</f>
        <v>61.750000000000007</v>
      </c>
      <c r="L17" s="40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376000</v>
      </c>
      <c r="M17" s="40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143175.36000000002</v>
      </c>
      <c r="N17" s="40" cm="1">
        <f t="array" ref="N17">_xlfn.XLOOKUP($A17,ACT[[№]:[№]],ACT[Shoring, Banding, Sealing, Handling/ Крепление, Перевязка, Опечатование, Обработка
KRW],"",0,1)</f>
        <v>52927.015384615384</v>
      </c>
      <c r="O17" s="40" cm="1">
        <f t="array" ref="O17">_xlfn.XLOOKUP($A17,ACT[[№]:[№]],ACT[Documents Work/ Сбор за подготовку документов
KRW],"",0,1)</f>
        <v>13655.060728744938</v>
      </c>
      <c r="P17" s="40" cm="1">
        <f t="array" ref="P17">_xlfn.XLOOKUP($A17,ACT[[№]:[№]],ACT[THC/ Терминальная обработка
KRW],"",0,1)</f>
        <v>50632.965182186235</v>
      </c>
      <c r="Q17" s="40" cm="1">
        <f t="array" ref="Q17">_xlfn.XLOOKUP($A17,ACT[[№]:[№]],ACT[Wharfage/ Портовая пошлина
KRW],"",0,1)</f>
        <v>2485.2210526315789</v>
      </c>
      <c r="R17" s="40" cm="1">
        <f t="array" ref="R17">_xlfn.XLOOKUP($A17,ACT[[№]:[№]],ACT[TRUCKING CHARGE],"",0,1)</f>
        <v>0</v>
      </c>
      <c r="S17" s="40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76604.890688259111</v>
      </c>
      <c r="T17" s="40" cm="1">
        <f t="array" ref="T17">_xlfn.XLOOKUP($A17,ACT[[№]:[№]],ACT[Special Wooden Shoring / Специальное деревянное крепление],"",0,1)</f>
        <v>0</v>
      </c>
      <c r="U17" s="9"/>
      <c r="V17" s="40" cm="1">
        <f t="array" ref="V17">_xlfn.XLOOKUP($A17,ACT[[№]:[№]],ACT[Total amount/ Общая стоимость KRW (10+11+12+13+14+15+16)],"",0,1)</f>
        <v>715480.51303643733</v>
      </c>
      <c r="W17" s="40" cm="1">
        <f t="array" ref="W17">_xlfn.XLOOKUP($A17,ACT[[№]:[№]],ACT[Total amount/ Общая стоимость (17*exchange rate/ обменный курс)
 USD],"",0,1)</f>
        <v>556.23</v>
      </c>
      <c r="X17" s="9" cm="1">
        <f t="array" ref="X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7" s="12">
        <f>VLOOKUP(Шаблон_Формулы[[#This Row],[24]],Курс_840[[Дата]:[Курс]],2,0)</f>
        <v>12089</v>
      </c>
      <c r="Z17" s="42">
        <f>IFERROR(Шаблон_Формулы[[#This Row],[23]]*Шаблон_Формулы[[#This Row],[25]],"")</f>
        <v>6724264.4700000007</v>
      </c>
      <c r="AA17" s="13" t="str" cm="1">
        <f t="array" ref="AA17">ACT_number[№ исходящего акта]</f>
        <v>468 LCL</v>
      </c>
    </row>
    <row r="18" spans="1:27" s="8" customFormat="1" ht="12">
      <c r="A18" s="11">
        <v>14</v>
      </c>
      <c r="B18" s="8" t="str" cm="1">
        <f t="array" ref="B18">_xlfn.XLOOKUP($A18,ACT[[№]:[№]],ACT[Container No/
№ Контейнера],"",0,1)</f>
        <v>MOTU6713111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37" cm="1">
        <f t="array" ref="E18">_xlfn.XLOOKUP($A18,ACT[[№]:[№]],ACT[Date of Dispatch/ 
Дата отгрузки],"",0,1)</f>
        <v>45124</v>
      </c>
      <c r="F18" s="38" t="str" cm="1">
        <f t="array" ref="F18">_xlfn.XLOOKUP($A18,ACT[[№]:[№]],ACT[Supplier/ Поставщик],"",0,1)</f>
        <v>Erae AMS</v>
      </c>
      <c r="G18" s="38" t="str" cm="1">
        <f t="array" ref="G18">_xlfn.XLOOKUP($A18,ACT[[№]:[№]],ACT[Supplier Invoice No/                          № Инвойса Поставщика],"",0,1)</f>
        <v>DS237HF02(5)</v>
      </c>
      <c r="H18" s="39" cm="1">
        <f t="array" ref="H18">_xlfn.XLOOKUP($A18,ACT[[№]:[№]],ACT[CBM],"",0,1)</f>
        <v>11.347</v>
      </c>
      <c r="I18" s="39" cm="1">
        <f t="array" ref="I18">_xlfn.XLOOKUP($A18,ACT[[№]:[№]],ACT[Gross weight, kg/ Вес брутто, кг],"",0,1)</f>
        <v>4658</v>
      </c>
      <c r="J18" s="39" t="str" cm="1">
        <f t="array" ref="J18">_xlfn.XLOOKUP($A18,ACT[[№]:[№]],ACT[Delivery terms / Условия поставки],"",0,1)</f>
        <v>FCA</v>
      </c>
      <c r="K18" s="39" cm="1">
        <f t="array" ref="K18">_xlfn.XLOOKUP($A18,ACT[[№]:[№]],ACT[Container total CBM],"",0,1)</f>
        <v>61.750000000000007</v>
      </c>
      <c r="L18" s="40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332000</v>
      </c>
      <c r="M18" s="40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96336.03</v>
      </c>
      <c r="N18" s="40" cm="1">
        <f t="array" ref="N18">_xlfn.XLOOKUP($A18,ACT[[№]:[№]],ACT[Shoring, Banding, Sealing, Handling/ Крепление, Перевязка, Опечатование, Обработка
KRW],"",0,1)</f>
        <v>35612.123076923068</v>
      </c>
      <c r="O18" s="40" cm="1">
        <f t="array" ref="O18">_xlfn.XLOOKUP($A18,ACT[[№]:[№]],ACT[Documents Work/ Сбор за подготовку документов
KRW],"",0,1)</f>
        <v>9187.8542510121442</v>
      </c>
      <c r="P18" s="40" cm="1">
        <f t="array" ref="P18">_xlfn.XLOOKUP($A18,ACT[[№]:[№]],ACT[THC/ Терминальная обработка
KRW],"",0,1)</f>
        <v>34068.563562753028</v>
      </c>
      <c r="Q18" s="40" cm="1">
        <f t="array" ref="Q18">_xlfn.XLOOKUP($A18,ACT[[№]:[№]],ACT[Wharfage/ Портовая пошлина
KRW],"",0,1)</f>
        <v>1672.1894736842105</v>
      </c>
      <c r="R18" s="40" cm="1">
        <f t="array" ref="R18">_xlfn.XLOOKUP($A18,ACT[[№]:[№]],ACT[TRUCKING CHARGE],"",0,1)</f>
        <v>0</v>
      </c>
      <c r="S18" s="40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51543.862348178125</v>
      </c>
      <c r="T18" s="40" cm="1">
        <f t="array" ref="T18">_xlfn.XLOOKUP($A18,ACT[[№]:[№]],ACT[Special Wooden Shoring / Специальное деревянное крепление],"",0,1)</f>
        <v>0</v>
      </c>
      <c r="U18" s="9"/>
      <c r="V18" s="40" cm="1">
        <f t="array" ref="V18">_xlfn.XLOOKUP($A18,ACT[[№]:[№]],ACT[Total amount/ Общая стоимость KRW (10+11+12+13+14+15+16)],"",0,1)</f>
        <v>560420.62271255068</v>
      </c>
      <c r="W18" s="40" cm="1">
        <f t="array" ref="W18">_xlfn.XLOOKUP($A18,ACT[[№]:[№]],ACT[Total amount/ Общая стоимость (17*exchange rate/ обменный курс)
 USD],"",0,1)</f>
        <v>435.68</v>
      </c>
      <c r="X18" s="9" cm="1">
        <f t="array" ref="X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8" s="12">
        <f>VLOOKUP(Шаблон_Формулы[[#This Row],[24]],Курс_840[[Дата]:[Курс]],2,0)</f>
        <v>12089</v>
      </c>
      <c r="Z18" s="42">
        <f>IFERROR(Шаблон_Формулы[[#This Row],[23]]*Шаблон_Формулы[[#This Row],[25]],"")</f>
        <v>5266935.5200000005</v>
      </c>
      <c r="AA18" s="13" t="str" cm="1">
        <f t="array" ref="AA18">ACT_number[№ исходящего акта]</f>
        <v>468 LCL</v>
      </c>
    </row>
    <row r="19" spans="1:27" s="8" customFormat="1" ht="12">
      <c r="A19" s="11">
        <v>15</v>
      </c>
      <c r="B19" s="8" t="str" cm="1">
        <f t="array" ref="B19">_xlfn.XLOOKUP($A19,ACT[[№]:[№]],ACT[Container No/
№ Контейнера],"",0,1)</f>
        <v>BMOU4143090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37" cm="1">
        <f t="array" ref="E19">_xlfn.XLOOKUP($A19,ACT[[№]:[№]],ACT[Date of Dispatch/ 
Дата отгрузки],"",0,1)</f>
        <v>45124</v>
      </c>
      <c r="F19" s="38" t="str" cm="1">
        <f t="array" ref="F19">_xlfn.XLOOKUP($A19,ACT[[№]:[№]],ACT[Supplier/ Поставщик],"",0,1)</f>
        <v>Erae AMS</v>
      </c>
      <c r="G19" s="38" t="str" cm="1">
        <f t="array" ref="G19">_xlfn.XLOOKUP($A19,ACT[[№]:[№]],ACT[Supplier Invoice No/                          № Инвойса Поставщика],"",0,1)</f>
        <v>DM237AU02-1(2)</v>
      </c>
      <c r="H19" s="39" cm="1">
        <f t="array" ref="H19">_xlfn.XLOOKUP($A19,ACT[[№]:[№]],ACT[CBM],"",0,1)</f>
        <v>28.48</v>
      </c>
      <c r="I19" s="39" cm="1">
        <f t="array" ref="I19">_xlfn.XLOOKUP($A19,ACT[[№]:[№]],ACT[Gross weight, kg/ Вес брутто, кг],"",0,1)</f>
        <v>4744</v>
      </c>
      <c r="J19" s="39" t="str" cm="1">
        <f t="array" ref="J19">_xlfn.XLOOKUP($A19,ACT[[№]:[№]],ACT[Delivery terms / Условия поставки],"",0,1)</f>
        <v>FCA</v>
      </c>
      <c r="K19" s="39" cm="1">
        <f t="array" ref="K19">_xlfn.XLOOKUP($A19,ACT[[№]:[№]],ACT[Container total CBM],"",0,1)</f>
        <v>59.96</v>
      </c>
      <c r="L19" s="40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392000</v>
      </c>
      <c r="M19" s="40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241795.20000000001</v>
      </c>
      <c r="N19" s="40" cm="1">
        <f t="array" ref="N19">_xlfn.XLOOKUP($A19,ACT[[№]:[№]],ACT[Shoring, Banding, Sealing, Handling/ Крепление, Перевязка, Опечатование, Обработка
KRW],"",0,1)</f>
        <v>92051.767845230148</v>
      </c>
      <c r="O19" s="40" cm="1">
        <f t="array" ref="O19">_xlfn.XLOOKUP($A19,ACT[[№]:[№]],ACT[Documents Work/ Сбор за подготовку документов
KRW],"",0,1)</f>
        <v>23749.166110740494</v>
      </c>
      <c r="P19" s="40" cm="1">
        <f t="array" ref="P19">_xlfn.XLOOKUP($A19,ACT[[№]:[№]],ACT[THC/ Терминальная обработка
KRW],"",0,1)</f>
        <v>88061.907938625751</v>
      </c>
      <c r="Q19" s="40" cm="1">
        <f t="array" ref="Q19">_xlfn.XLOOKUP($A19,ACT[[№]:[№]],ACT[Wharfage/ Портовая пошлина
KRW],"",0,1)</f>
        <v>4322.3482321547699</v>
      </c>
      <c r="R19" s="40" cm="1">
        <f t="array" ref="R19">_xlfn.XLOOKUP($A19,ACT[[№]:[№]],ACT[TRUCKING CHARGE],"",0,1)</f>
        <v>0</v>
      </c>
      <c r="S19" s="40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133232.82188125417</v>
      </c>
      <c r="T19" s="40" cm="1">
        <f t="array" ref="T19">_xlfn.XLOOKUP($A19,ACT[[№]:[№]],ACT[Special Wooden Shoring / Специальное деревянное крепление],"",0,1)</f>
        <v>0</v>
      </c>
      <c r="U19" s="9"/>
      <c r="V19" s="40" cm="1">
        <f t="array" ref="V19">_xlfn.XLOOKUP($A19,ACT[[№]:[№]],ACT[Total amount/ Общая стоимость KRW (10+11+12+13+14+15+16)],"",0,1)</f>
        <v>975213.21200800547</v>
      </c>
      <c r="W19" s="40" cm="1">
        <f t="array" ref="W19">_xlfn.XLOOKUP($A19,ACT[[№]:[№]],ACT[Total amount/ Общая стоимость (17*exchange rate/ обменный курс)
 USD],"",0,1)</f>
        <v>758.15</v>
      </c>
      <c r="X19" s="9" cm="1">
        <f t="array" ref="X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9" s="12">
        <f>VLOOKUP(Шаблон_Формулы[[#This Row],[24]],Курс_840[[Дата]:[Курс]],2,0)</f>
        <v>12089</v>
      </c>
      <c r="Z19" s="42">
        <f>IFERROR(Шаблон_Формулы[[#This Row],[23]]*Шаблон_Формулы[[#This Row],[25]],"")</f>
        <v>9165275.3499999996</v>
      </c>
      <c r="AA19" s="13" t="str" cm="1">
        <f t="array" ref="AA19">ACT_number[№ исходящего акта]</f>
        <v>468 LCL</v>
      </c>
    </row>
    <row r="20" spans="1:27" s="8" customFormat="1" ht="12">
      <c r="A20" s="11">
        <v>16</v>
      </c>
      <c r="B20" s="8" t="str" cm="1">
        <f t="array" ref="B20">_xlfn.XLOOKUP($A20,ACT[[№]:[№]],ACT[Container No/
№ Контейнера],"",0,1)</f>
        <v>BMOU4143090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37" cm="1">
        <f t="array" ref="E20">_xlfn.XLOOKUP($A20,ACT[[№]:[№]],ACT[Date of Dispatch/ 
Дата отгрузки],"",0,1)</f>
        <v>45124</v>
      </c>
      <c r="F20" s="38" t="str" cm="1">
        <f t="array" ref="F20">_xlfn.XLOOKUP($A20,ACT[[№]:[№]],ACT[Supplier/ Поставщик],"",0,1)</f>
        <v>Erae AMS</v>
      </c>
      <c r="G20" s="38" t="str" cm="1">
        <f t="array" ref="G20">_xlfn.XLOOKUP($A20,ACT[[№]:[№]],ACT[Supplier Invoice No/                          № Инвойса Поставщика],"",0,1)</f>
        <v>DM237AU02-1(3)</v>
      </c>
      <c r="H20" s="39" cm="1">
        <f t="array" ref="H20">_xlfn.XLOOKUP($A20,ACT[[№]:[№]],ACT[CBM],"",0,1)</f>
        <v>29.907</v>
      </c>
      <c r="I20" s="39" cm="1">
        <f t="array" ref="I20">_xlfn.XLOOKUP($A20,ACT[[№]:[№]],ACT[Gross weight, kg/ Вес брутто, кг],"",0,1)</f>
        <v>4555.82</v>
      </c>
      <c r="J20" s="39" t="str" cm="1">
        <f t="array" ref="J20">_xlfn.XLOOKUP($A20,ACT[[№]:[№]],ACT[Delivery terms / Условия поставки],"",0,1)</f>
        <v>FCA</v>
      </c>
      <c r="K20" s="39" cm="1">
        <f t="array" ref="K20">_xlfn.XLOOKUP($A20,ACT[[№]:[№]],ACT[Container total CBM],"",0,1)</f>
        <v>59.96</v>
      </c>
      <c r="L20" s="40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392000</v>
      </c>
      <c r="M20" s="40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253910.43</v>
      </c>
      <c r="N20" s="40" cm="1">
        <f t="array" ref="N20">_xlfn.XLOOKUP($A20,ACT[[№]:[№]],ACT[Shoring, Banding, Sealing, Handling/ Крепление, Перевязка, Опечатование, Обработка
KRW],"",0,1)</f>
        <v>96664.052701801207</v>
      </c>
      <c r="O20" s="40" cm="1">
        <f t="array" ref="O20">_xlfn.XLOOKUP($A20,ACT[[№]:[№]],ACT[Documents Work/ Сбор за подготовку документов
KRW],"",0,1)</f>
        <v>24939.126084056039</v>
      </c>
      <c r="P20" s="40" cm="1">
        <f t="array" ref="P20">_xlfn.XLOOKUP($A20,ACT[[№]:[№]],ACT[THC/ Терминальная обработка
KRW],"",0,1)</f>
        <v>92474.279519679782</v>
      </c>
      <c r="Q20" s="40" cm="1">
        <f t="array" ref="Q20">_xlfn.XLOOKUP($A20,ACT[[№]:[№]],ACT[Wharfage/ Портовая пошлина
KRW],"",0,1)</f>
        <v>4538.9209472981984</v>
      </c>
      <c r="R20" s="40" cm="1">
        <f t="array" ref="R20">_xlfn.XLOOKUP($A20,ACT[[№]:[№]],ACT[TRUCKING CHARGE],"",0,1)</f>
        <v>0</v>
      </c>
      <c r="S20" s="40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139908.49733155436</v>
      </c>
      <c r="T20" s="40" cm="1">
        <f t="array" ref="T20">_xlfn.XLOOKUP($A20,ACT[[№]:[№]],ACT[Special Wooden Shoring / Специальное деревянное крепление],"",0,1)</f>
        <v>0</v>
      </c>
      <c r="U20" s="9"/>
      <c r="V20" s="40" cm="1">
        <f t="array" ref="V20">_xlfn.XLOOKUP($A20,ACT[[№]:[№]],ACT[Total amount/ Общая стоимость KRW (10+11+12+13+14+15+16)],"",0,1)</f>
        <v>1004435.3065843894</v>
      </c>
      <c r="W20" s="40" cm="1">
        <f t="array" ref="W20">_xlfn.XLOOKUP($A20,ACT[[№]:[№]],ACT[Total amount/ Общая стоимость (17*exchange rate/ обменный курс)
 USD],"",0,1)</f>
        <v>780.87</v>
      </c>
      <c r="X20" s="9" cm="1">
        <f t="array" ref="X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20" s="12">
        <f>VLOOKUP(Шаблон_Формулы[[#This Row],[24]],Курс_840[[Дата]:[Курс]],2,0)</f>
        <v>12089</v>
      </c>
      <c r="Z20" s="42">
        <f>IFERROR(Шаблон_Формулы[[#This Row],[23]]*Шаблон_Формулы[[#This Row],[25]],"")</f>
        <v>9439937.4299999997</v>
      </c>
      <c r="AA20" s="13" t="str" cm="1">
        <f t="array" ref="AA20">ACT_number[№ исходящего акта]</f>
        <v>468 LCL</v>
      </c>
    </row>
    <row r="21" spans="1:27" s="8" customFormat="1" ht="12">
      <c r="A21" s="11">
        <v>17</v>
      </c>
      <c r="B21" s="8" t="str" cm="1">
        <f t="array" ref="B21">_xlfn.XLOOKUP($A21,ACT[[№]:[№]],ACT[Container No/
№ Контейнера],"",0,1)</f>
        <v>BMOU4143090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37" cm="1">
        <f t="array" ref="E21">_xlfn.XLOOKUP($A21,ACT[[№]:[№]],ACT[Date of Dispatch/ 
Дата отгрузки],"",0,1)</f>
        <v>45124</v>
      </c>
      <c r="F21" s="38" t="str" cm="1">
        <f t="array" ref="F21">_xlfn.XLOOKUP($A21,ACT[[№]:[№]],ACT[Supplier/ Поставщик],"",0,1)</f>
        <v>GW Intennational</v>
      </c>
      <c r="G21" s="38" t="str" cm="1">
        <f t="array" ref="G21">_xlfn.XLOOKUP($A21,ACT[[№]:[№]],ACT[Supplier Invoice No/                          № Инвойса Поставщика],"",0,1)</f>
        <v>230712-2</v>
      </c>
      <c r="H21" s="39" cm="1">
        <f t="array" ref="H21">_xlfn.XLOOKUP($A21,ACT[[№]:[№]],ACT[CBM],"",0,1)</f>
        <v>1.573</v>
      </c>
      <c r="I21" s="39" cm="1">
        <f t="array" ref="I21">_xlfn.XLOOKUP($A21,ACT[[№]:[№]],ACT[Gross weight, kg/ Вес брутто, кг],"",0,1)</f>
        <v>1020</v>
      </c>
      <c r="J21" s="39" t="str" cm="1">
        <f t="array" ref="J21">_xlfn.XLOOKUP($A21,ACT[[№]:[№]],ACT[Delivery terms / Условия поставки],"",0,1)</f>
        <v>FOB</v>
      </c>
      <c r="K21" s="39" cm="1">
        <f t="array" ref="K21">_xlfn.XLOOKUP($A21,ACT[[№]:[№]],ACT[Container total CBM],"",0,1)</f>
        <v>59.96</v>
      </c>
      <c r="L21" s="40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0</v>
      </c>
      <c r="M21" s="40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0</v>
      </c>
      <c r="N21" s="40" cm="1">
        <f t="array" ref="N21">_xlfn.XLOOKUP($A21,ACT[[№]:[№]],ACT[Shoring, Banding, Sealing, Handling/ Крепление, Перевязка, Опечатование, Обработка
KRW],"",0,1)</f>
        <v>0</v>
      </c>
      <c r="O21" s="40" cm="1">
        <f t="array" ref="O21">_xlfn.XLOOKUP($A21,ACT[[№]:[№]],ACT[Documents Work/ Сбор за подготовку документов
KRW],"",0,1)</f>
        <v>0</v>
      </c>
      <c r="P21" s="40" cm="1">
        <f t="array" ref="P21">_xlfn.XLOOKUP($A21,ACT[[№]:[№]],ACT[THC/ Терминальная обработка
KRW],"",0,1)</f>
        <v>0</v>
      </c>
      <c r="Q21" s="40" cm="1">
        <f t="array" ref="Q21">_xlfn.XLOOKUP($A21,ACT[[№]:[№]],ACT[Wharfage/ Портовая пошлина
KRW],"",0,1)</f>
        <v>0</v>
      </c>
      <c r="R21" s="40" cm="1">
        <f t="array" ref="R21">_xlfn.XLOOKUP($A21,ACT[[№]:[№]],ACT[TRUCKING CHARGE],"",0,1)</f>
        <v>0</v>
      </c>
      <c r="S21" s="40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21" s="40" cm="1">
        <f t="array" ref="T21">_xlfn.XLOOKUP($A21,ACT[[№]:[№]],ACT[Special Wooden Shoring / Специальное деревянное крепление],"",0,1)</f>
        <v>0</v>
      </c>
      <c r="U21" s="9"/>
      <c r="V21" s="40" cm="1">
        <f t="array" ref="V21">_xlfn.XLOOKUP($A21,ACT[[№]:[№]],ACT[Total amount/ Общая стоимость KRW (10+11+12+13+14+15+16)],"",0,1)</f>
        <v>0</v>
      </c>
      <c r="W21" s="40" cm="1">
        <f t="array" ref="W21">_xlfn.XLOOKUP($A21,ACT[[№]:[№]],ACT[Total amount/ Общая стоимость (17*exchange rate/ обменный курс)
 USD],"",0,1)</f>
        <v>0</v>
      </c>
      <c r="X21" s="9" cm="1">
        <f t="array" ref="X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21" s="12">
        <f>VLOOKUP(Шаблон_Формулы[[#This Row],[24]],Курс_840[[Дата]:[Курс]],2,0)</f>
        <v>12089</v>
      </c>
      <c r="Z21" s="42">
        <f>IFERROR(Шаблон_Формулы[[#This Row],[23]]*Шаблон_Формулы[[#This Row],[25]],"")</f>
        <v>0</v>
      </c>
      <c r="AA21" s="13" t="str" cm="1">
        <f t="array" ref="AA21">ACT_number[№ исходящего акта]</f>
        <v>468 LCL</v>
      </c>
    </row>
    <row r="22" spans="1:27" s="8" customFormat="1" ht="12">
      <c r="A22" s="11">
        <v>18</v>
      </c>
      <c r="B22" s="8" t="str" cm="1">
        <f t="array" ref="B22">_xlfn.XLOOKUP($A22,ACT[[№]:[№]],ACT[Container No/
№ Контейнера],"",0,1)</f>
        <v>BMOU4147434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37" cm="1">
        <f t="array" ref="E22">_xlfn.XLOOKUP($A22,ACT[[№]:[№]],ACT[Date of Dispatch/ 
Дата отгрузки],"",0,1)</f>
        <v>45124</v>
      </c>
      <c r="F22" s="38" t="str" cm="1">
        <f t="array" ref="F22">_xlfn.XLOOKUP($A22,ACT[[№]:[№]],ACT[Supplier/ Поставщик],"",0,1)</f>
        <v>Erae AMS</v>
      </c>
      <c r="G22" s="38" t="str" cm="1">
        <f t="array" ref="G22">_xlfn.XLOOKUP($A22,ACT[[№]:[№]],ACT[Supplier Invoice No/                          № Инвойса Поставщика],"",0,1)</f>
        <v>DM237AU02-1(4)</v>
      </c>
      <c r="H22" s="39" cm="1">
        <f t="array" ref="H22">_xlfn.XLOOKUP($A22,ACT[[№]:[№]],ACT[CBM],"",0,1)</f>
        <v>54.834000000000003</v>
      </c>
      <c r="I22" s="39" cm="1">
        <f t="array" ref="I22">_xlfn.XLOOKUP($A22,ACT[[№]:[№]],ACT[Gross weight, kg/ Вес брутто, кг],"",0,1)</f>
        <v>7091.1</v>
      </c>
      <c r="J22" s="39" t="str" cm="1">
        <f t="array" ref="J22">_xlfn.XLOOKUP($A22,ACT[[№]:[№]],ACT[Delivery terms / Условия поставки],"",0,1)</f>
        <v>FCA</v>
      </c>
      <c r="K22" s="39" cm="1">
        <f t="array" ref="K22">_xlfn.XLOOKUP($A22,ACT[[№]:[№]],ACT[Container total CBM],"",0,1)</f>
        <v>57.206000000000003</v>
      </c>
      <c r="L22" s="40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784000</v>
      </c>
      <c r="M22" s="40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465540.66</v>
      </c>
      <c r="N22" s="40" cm="1">
        <f t="array" ref="N22">_xlfn.XLOOKUP($A22,ACT[[№]:[№]],ACT[Shoring, Banding, Sealing, Handling/ Крепление, Перевязка, Опечатование, Обработка
KRW],"",0,1)</f>
        <v>185764.24151312801</v>
      </c>
      <c r="O22" s="40" cm="1">
        <f t="array" ref="O22">_xlfn.XLOOKUP($A22,ACT[[№]:[№]],ACT[Documents Work/ Сбор за подготовку документов
KRW],"",0,1)</f>
        <v>47926.790896059858</v>
      </c>
      <c r="P22" s="40" cm="1">
        <f t="array" ref="P22">_xlfn.XLOOKUP($A22,ACT[[№]:[№]],ACT[THC/ Терминальная обработка
KRW],"",0,1)</f>
        <v>177712.54064258994</v>
      </c>
      <c r="Q22" s="40" cm="1">
        <f t="array" ref="Q22">_xlfn.XLOOKUP($A22,ACT[[№]:[№]],ACT[Wharfage/ Портовая пошлина
KRW],"",0,1)</f>
        <v>8722.6759430828934</v>
      </c>
      <c r="R22" s="40" cm="1">
        <f t="array" ref="R22">_xlfn.XLOOKUP($A22,ACT[[№]:[№]],ACT[TRUCKING CHARGE],"",0,1)</f>
        <v>0</v>
      </c>
      <c r="S22" s="40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268869.2969268958</v>
      </c>
      <c r="T22" s="40" cm="1">
        <f t="array" ref="T22">_xlfn.XLOOKUP($A22,ACT[[№]:[№]],ACT[Special Wooden Shoring / Специальное деревянное крепление],"",0,1)</f>
        <v>0</v>
      </c>
      <c r="U22" s="9"/>
      <c r="V22" s="40" cm="1">
        <f t="array" ref="V22">_xlfn.XLOOKUP($A22,ACT[[№]:[№]],ACT[Total amount/ Общая стоимость KRW (10+11+12+13+14+15+16)],"",0,1)</f>
        <v>1938536.2059217568</v>
      </c>
      <c r="W22" s="40" cm="1">
        <f t="array" ref="W22">_xlfn.XLOOKUP($A22,ACT[[№]:[№]],ACT[Total amount/ Общая стоимость (17*exchange rate/ обменный курс)
 USD],"",0,1)</f>
        <v>1507.06</v>
      </c>
      <c r="X22" s="9" cm="1">
        <f t="array" ref="X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22" s="12">
        <f>VLOOKUP(Шаблон_Формулы[[#This Row],[24]],Курс_840[[Дата]:[Курс]],2,0)</f>
        <v>12089</v>
      </c>
      <c r="Z22" s="42">
        <f>IFERROR(Шаблон_Формулы[[#This Row],[23]]*Шаблон_Формулы[[#This Row],[25]],"")</f>
        <v>18218848.34</v>
      </c>
      <c r="AA22" s="13" t="str" cm="1">
        <f t="array" ref="AA22">ACT_number[№ исходящего акта]</f>
        <v>468 LCL</v>
      </c>
    </row>
    <row r="23" spans="1:27" s="8" customFormat="1" ht="12">
      <c r="A23" s="11">
        <v>19</v>
      </c>
      <c r="B23" s="8" t="str" cm="1">
        <f t="array" ref="B23">_xlfn.XLOOKUP($A23,ACT[[№]:[№]],ACT[Container No/
№ Контейнера],"",0,1)</f>
        <v>BMOU4147434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37" cm="1">
        <f t="array" ref="E23">_xlfn.XLOOKUP($A23,ACT[[№]:[№]],ACT[Date of Dispatch/ 
Дата отгрузки],"",0,1)</f>
        <v>45124</v>
      </c>
      <c r="F23" s="38" t="str" cm="1">
        <f t="array" ref="F23">_xlfn.XLOOKUP($A23,ACT[[№]:[№]],ACT[Supplier/ Поставщик],"",0,1)</f>
        <v>Erae AMS</v>
      </c>
      <c r="G23" s="38" t="str" cm="1">
        <f t="array" ref="G23">_xlfn.XLOOKUP($A23,ACT[[№]:[№]],ACT[Supplier Invoice No/                          № Инвойса Поставщика],"",0,1)</f>
        <v>DM237CS02</v>
      </c>
      <c r="H23" s="39" cm="1">
        <f t="array" ref="H23">_xlfn.XLOOKUP($A23,ACT[[№]:[№]],ACT[CBM],"",0,1)</f>
        <v>2.3719999999999999</v>
      </c>
      <c r="I23" s="39" cm="1">
        <f t="array" ref="I23">_xlfn.XLOOKUP($A23,ACT[[№]:[№]],ACT[Gross weight, kg/ Вес брутто, кг],"",0,1)</f>
        <v>770</v>
      </c>
      <c r="J23" s="39" t="str" cm="1">
        <f t="array" ref="J23">_xlfn.XLOOKUP($A23,ACT[[№]:[№]],ACT[Delivery terms / Условия поставки],"",0,1)</f>
        <v>FCA</v>
      </c>
      <c r="K23" s="39" cm="1">
        <f t="array" ref="K23">_xlfn.XLOOKUP($A23,ACT[[№]:[№]],ACT[Container total CBM],"",0,1)</f>
        <v>57.206000000000003</v>
      </c>
      <c r="L23" s="40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232000</v>
      </c>
      <c r="M23" s="40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20138.28</v>
      </c>
      <c r="N23" s="40" cm="1">
        <f t="array" ref="N23">_xlfn.XLOOKUP($A23,ACT[[№]:[№]],ACT[Shoring, Banding, Sealing, Handling/ Крепление, Перевязка, Опечатование, Обработка
KRW],"",0,1)</f>
        <v>8035.7584868720051</v>
      </c>
      <c r="O23" s="40" cm="1">
        <f t="array" ref="O23">_xlfn.XLOOKUP($A23,ACT[[№]:[№]],ACT[Documents Work/ Сбор за подготовку документов
KRW],"",0,1)</f>
        <v>2073.2091039401457</v>
      </c>
      <c r="P23" s="40" cm="1">
        <f t="array" ref="P23">_xlfn.XLOOKUP($A23,ACT[[№]:[№]],ACT[THC/ Терминальная обработка
KRW],"",0,1)</f>
        <v>7687.4593574100609</v>
      </c>
      <c r="Q23" s="40" cm="1">
        <f t="array" ref="Q23">_xlfn.XLOOKUP($A23,ACT[[№]:[№]],ACT[Wharfage/ Портовая пошлина
KRW],"",0,1)</f>
        <v>377.32405691710653</v>
      </c>
      <c r="R23" s="40" cm="1">
        <f t="array" ref="R23">_xlfn.XLOOKUP($A23,ACT[[№]:[№]],ACT[TRUCKING CHARGE],"",0,1)</f>
        <v>0</v>
      </c>
      <c r="S23" s="40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11630.703073104218</v>
      </c>
      <c r="T23" s="40" cm="1">
        <f t="array" ref="T23">_xlfn.XLOOKUP($A23,ACT[[№]:[№]],ACT[Special Wooden Shoring / Специальное деревянное крепление],"",0,1)</f>
        <v>0</v>
      </c>
      <c r="U23" s="9"/>
      <c r="V23" s="40" cm="1">
        <f t="array" ref="V23">_xlfn.XLOOKUP($A23,ACT[[№]:[№]],ACT[Total amount/ Общая стоимость KRW (10+11+12+13+14+15+16)],"",0,1)</f>
        <v>281942.73407824355</v>
      </c>
      <c r="W23" s="40" cm="1">
        <f t="array" ref="W23">_xlfn.XLOOKUP($A23,ACT[[№]:[№]],ACT[Total amount/ Общая стоимость (17*exchange rate/ обменный курс)
 USD],"",0,1)</f>
        <v>219.19</v>
      </c>
      <c r="X23" s="9" cm="1">
        <f t="array" ref="X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23" s="12">
        <f>VLOOKUP(Шаблон_Формулы[[#This Row],[24]],Курс_840[[Дата]:[Курс]],2,0)</f>
        <v>12089</v>
      </c>
      <c r="Z23" s="42">
        <f>IFERROR(Шаблон_Формулы[[#This Row],[23]]*Шаблон_Формулы[[#This Row],[25]],"")</f>
        <v>2649787.91</v>
      </c>
      <c r="AA23" s="13" t="str" cm="1">
        <f t="array" ref="AA23">ACT_number[№ исходящего акта]</f>
        <v>468 LCL</v>
      </c>
    </row>
    <row r="24" spans="1:27" s="8" customFormat="1" ht="12">
      <c r="A24" s="11">
        <v>20</v>
      </c>
      <c r="B24" s="8" t="str" cm="1">
        <f t="array" ref="B24">_xlfn.XLOOKUP($A24,ACT[[№]:[№]],ACT[Container No/
№ Контейнера],"",0,1)</f>
        <v>HDMU6648374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37" cm="1">
        <f t="array" ref="E24">_xlfn.XLOOKUP($A24,ACT[[№]:[№]],ACT[Date of Dispatch/ 
Дата отгрузки],"",0,1)</f>
        <v>45124</v>
      </c>
      <c r="F24" s="38" t="str" cm="1">
        <f t="array" ref="F24">_xlfn.XLOOKUP($A24,ACT[[№]:[№]],ACT[Supplier/ Поставщик],"",0,1)</f>
        <v>Erae AMS</v>
      </c>
      <c r="G24" s="38" t="str" cm="1">
        <f t="array" ref="G24">_xlfn.XLOOKUP($A24,ACT[[№]:[№]],ACT[Supplier Invoice No/                          № Инвойса Поставщика],"",0,1)</f>
        <v>DM237AU02-1(5)</v>
      </c>
      <c r="H24" s="39" cm="1">
        <f t="array" ref="H24">_xlfn.XLOOKUP($A24,ACT[[№]:[№]],ACT[CBM],"",0,1)</f>
        <v>44.23</v>
      </c>
      <c r="I24" s="39" cm="1">
        <f t="array" ref="I24">_xlfn.XLOOKUP($A24,ACT[[№]:[№]],ACT[Gross weight, kg/ Вес брутто, кг],"",0,1)</f>
        <v>5507.94</v>
      </c>
      <c r="J24" s="39" t="str" cm="1">
        <f t="array" ref="J24">_xlfn.XLOOKUP($A24,ACT[[№]:[№]],ACT[Delivery terms / Условия поставки],"",0,1)</f>
        <v>FCA</v>
      </c>
      <c r="K24" s="39" cm="1">
        <f t="array" ref="K24">_xlfn.XLOOKUP($A24,ACT[[№]:[№]],ACT[Container total CBM],"",0,1)</f>
        <v>64.278999999999996</v>
      </c>
      <c r="L24" s="40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724000</v>
      </c>
      <c r="M24" s="40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375512.6999999999</v>
      </c>
      <c r="N24" s="40" cm="1">
        <f t="array" ref="N24">_xlfn.XLOOKUP($A24,ACT[[№]:[№]],ACT[Shoring, Banding, Sealing, Handling/ Крепление, Перевязка, Опечатование, Обработка
KRW],"",0,1)</f>
        <v>133352.63460850355</v>
      </c>
      <c r="O24" s="40" cm="1">
        <f t="array" ref="O24">_xlfn.XLOOKUP($A24,ACT[[№]:[№]],ACT[Documents Work/ Сбор за подготовку документов
KRW],"",0,1)</f>
        <v>34404.704491357981</v>
      </c>
      <c r="P24" s="40" cm="1">
        <f t="array" ref="P24">_xlfn.XLOOKUP($A24,ACT[[№]:[№]],ACT[THC/ Терминальная обработка
KRW],"",0,1)</f>
        <v>127572.6442539554</v>
      </c>
      <c r="Q24" s="40" cm="1">
        <f t="array" ref="Q24">_xlfn.XLOOKUP($A24,ACT[[№]:[№]],ACT[Wharfage/ Портовая пошлина
KRW],"",0,1)</f>
        <v>6261.656217427153</v>
      </c>
      <c r="R24" s="40" cm="1">
        <f t="array" ref="R24">_xlfn.XLOOKUP($A24,ACT[[№]:[№]],ACT[TRUCKING CHARGE],"",0,1)</f>
        <v>0</v>
      </c>
      <c r="S24" s="40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193010.39219651828</v>
      </c>
      <c r="T24" s="40" cm="1">
        <f t="array" ref="T24">_xlfn.XLOOKUP($A24,ACT[[№]:[№]],ACT[Special Wooden Shoring / Специальное деревянное крепление],"",0,1)</f>
        <v>0</v>
      </c>
      <c r="U24" s="9"/>
      <c r="V24" s="40" cm="1">
        <f t="array" ref="V24">_xlfn.XLOOKUP($A24,ACT[[№]:[№]],ACT[Total amount/ Общая стоимость KRW (10+11+12+13+14+15+16)],"",0,1)</f>
        <v>1594114.7317677627</v>
      </c>
      <c r="W24" s="40" cm="1">
        <f t="array" ref="W24">_xlfn.XLOOKUP($A24,ACT[[№]:[№]],ACT[Total amount/ Общая стоимость (17*exchange rate/ обменный курс)
 USD],"",0,1)</f>
        <v>1239.3</v>
      </c>
      <c r="X24" s="9" cm="1">
        <f t="array" ref="X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24" s="12">
        <f>VLOOKUP(Шаблон_Формулы[[#This Row],[24]],Курс_840[[Дата]:[Курс]],2,0)</f>
        <v>12089</v>
      </c>
      <c r="Z24" s="42">
        <f>IFERROR(Шаблон_Формулы[[#This Row],[23]]*Шаблон_Формулы[[#This Row],[25]],"")</f>
        <v>14981897.699999999</v>
      </c>
      <c r="AA24" s="13" t="str" cm="1">
        <f t="array" ref="AA24">ACT_number[№ исходящего акта]</f>
        <v>468 LCL</v>
      </c>
    </row>
    <row r="25" spans="1:27" s="8" customFormat="1" ht="12">
      <c r="A25" s="11">
        <v>21</v>
      </c>
      <c r="B25" s="8" t="str" cm="1">
        <f t="array" ref="B25">_xlfn.XLOOKUP($A25,ACT[[№]:[№]],ACT[Container No/
№ Контейнера],"",0,1)</f>
        <v>HDMU6648374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37" cm="1">
        <f t="array" ref="E25">_xlfn.XLOOKUP($A25,ACT[[№]:[№]],ACT[Date of Dispatch/ 
Дата отгрузки],"",0,1)</f>
        <v>45124</v>
      </c>
      <c r="F25" s="38" t="str" cm="1">
        <f t="array" ref="F25">_xlfn.XLOOKUP($A25,ACT[[№]:[№]],ACT[Supplier/ Поставщик],"",0,1)</f>
        <v>Erae AMS</v>
      </c>
      <c r="G25" s="38" t="str" cm="1">
        <f t="array" ref="G25">_xlfn.XLOOKUP($A25,ACT[[№]:[№]],ACT[Supplier Invoice No/                          № Инвойса Поставщика],"",0,1)</f>
        <v>DM237AU02-1(6)</v>
      </c>
      <c r="H25" s="39" cm="1">
        <f t="array" ref="H25">_xlfn.XLOOKUP($A25,ACT[[№]:[№]],ACT[CBM],"",0,1)</f>
        <v>10.79</v>
      </c>
      <c r="I25" s="39" cm="1">
        <f t="array" ref="I25">_xlfn.XLOOKUP($A25,ACT[[№]:[№]],ACT[Gross weight, kg/ Вес брутто, кг],"",0,1)</f>
        <v>8614</v>
      </c>
      <c r="J25" s="39" t="str" cm="1">
        <f t="array" ref="J25">_xlfn.XLOOKUP($A25,ACT[[№]:[№]],ACT[Delivery terms / Условия поставки],"",0,1)</f>
        <v>FCA</v>
      </c>
      <c r="K25" s="39" cm="1">
        <f t="array" ref="K25">_xlfn.XLOOKUP($A25,ACT[[№]:[№]],ACT[Container total CBM],"",0,1)</f>
        <v>64.278999999999996</v>
      </c>
      <c r="L25" s="40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392000</v>
      </c>
      <c r="M25" s="40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91607.099999999991</v>
      </c>
      <c r="N25" s="40" cm="1">
        <f t="array" ref="N25">_xlfn.XLOOKUP($A25,ACT[[№]:[№]],ACT[Shoring, Banding, Sealing, Handling/ Крепление, Перевязка, Опечатование, Обработка
KRW],"",0,1)</f>
        <v>32531.651083557612</v>
      </c>
      <c r="O25" s="40" cm="1">
        <f t="array" ref="O25">_xlfn.XLOOKUP($A25,ACT[[№]:[№]],ACT[Documents Work/ Сбор за подготовку документов
KRW],"",0,1)</f>
        <v>8393.0988347671864</v>
      </c>
      <c r="P25" s="40" cm="1">
        <f t="array" ref="P25">_xlfn.XLOOKUP($A25,ACT[[№]:[№]],ACT[THC/ Терминальная обработка
KRW],"",0,1)</f>
        <v>31121.610479316725</v>
      </c>
      <c r="Q25" s="40" cm="1">
        <f t="array" ref="Q25">_xlfn.XLOOKUP($A25,ACT[[№]:[№]],ACT[Wharfage/ Портовая пошлина
KRW],"",0,1)</f>
        <v>1527.5439879276278</v>
      </c>
      <c r="R25" s="40" cm="1">
        <f t="array" ref="R25">_xlfn.XLOOKUP($A25,ACT[[№]:[№]],ACT[TRUCKING CHARGE],"",0,1)</f>
        <v>0</v>
      </c>
      <c r="S25" s="40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47085.284463043914</v>
      </c>
      <c r="T25" s="40" cm="1">
        <f t="array" ref="T25">_xlfn.XLOOKUP($A25,ACT[[№]:[№]],ACT[Special Wooden Shoring / Специальное деревянное крепление],"",0,1)</f>
        <v>0</v>
      </c>
      <c r="U25" s="9"/>
      <c r="V25" s="40" cm="1">
        <f t="array" ref="V25">_xlfn.XLOOKUP($A25,ACT[[№]:[№]],ACT[Total amount/ Общая стоимость KRW (10+11+12+13+14+15+16)],"",0,1)</f>
        <v>604266.28884861304</v>
      </c>
      <c r="W25" s="40" cm="1">
        <f t="array" ref="W25">_xlfn.XLOOKUP($A25,ACT[[№]:[№]],ACT[Total amount/ Общая стоимость (17*exchange rate/ обменный курс)
 USD],"",0,1)</f>
        <v>469.77</v>
      </c>
      <c r="X25" s="9" cm="1">
        <f t="array" ref="X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25" s="12">
        <f>VLOOKUP(Шаблон_Формулы[[#This Row],[24]],Курс_840[[Дата]:[Курс]],2,0)</f>
        <v>12089</v>
      </c>
      <c r="Z25" s="42">
        <f>IFERROR(Шаблон_Формулы[[#This Row],[23]]*Шаблон_Формулы[[#This Row],[25]],"")</f>
        <v>5679049.5299999993</v>
      </c>
      <c r="AA25" s="13" t="str" cm="1">
        <f t="array" ref="AA25">ACT_number[№ исходящего акта]</f>
        <v>468 LCL</v>
      </c>
    </row>
    <row r="26" spans="1:27" s="8" customFormat="1" ht="12">
      <c r="A26" s="11">
        <v>22</v>
      </c>
      <c r="B26" s="8" t="str" cm="1">
        <f t="array" ref="B26">_xlfn.XLOOKUP($A26,ACT[[№]:[№]],ACT[Container No/
№ Контейнера],"",0,1)</f>
        <v>HDMU6648374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37" cm="1">
        <f t="array" ref="E26">_xlfn.XLOOKUP($A26,ACT[[№]:[№]],ACT[Date of Dispatch/ 
Дата отгрузки],"",0,1)</f>
        <v>45124</v>
      </c>
      <c r="F26" s="38" t="str" cm="1">
        <f t="array" ref="F26">_xlfn.XLOOKUP($A26,ACT[[№]:[№]],ACT[Supplier/ Поставщик],"",0,1)</f>
        <v>Erae AMS</v>
      </c>
      <c r="G26" s="38" t="str" cm="1">
        <f t="array" ref="G26">_xlfn.XLOOKUP($A26,ACT[[№]:[№]],ACT[Supplier Invoice No/                          № Инвойса Поставщика],"",0,1)</f>
        <v>DM237AU02-1(7)</v>
      </c>
      <c r="H26" s="39" cm="1">
        <f t="array" ref="H26">_xlfn.XLOOKUP($A26,ACT[[№]:[№]],ACT[CBM],"",0,1)</f>
        <v>8.6319999999999997</v>
      </c>
      <c r="I26" s="39" cm="1">
        <f t="array" ref="I26">_xlfn.XLOOKUP($A26,ACT[[№]:[№]],ACT[Gross weight, kg/ Вес брутто, кг],"",0,1)</f>
        <v>4832</v>
      </c>
      <c r="J26" s="39" t="str" cm="1">
        <f t="array" ref="J26">_xlfn.XLOOKUP($A26,ACT[[№]:[№]],ACT[Delivery terms / Условия поставки],"",0,1)</f>
        <v>FCA</v>
      </c>
      <c r="K26" s="39" cm="1">
        <f t="array" ref="K26">_xlfn.XLOOKUP($A26,ACT[[№]:[№]],ACT[Container total CBM],"",0,1)</f>
        <v>64.278999999999996</v>
      </c>
      <c r="L26" s="40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332000</v>
      </c>
      <c r="M26" s="40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73285.679999999993</v>
      </c>
      <c r="N26" s="40" cm="1">
        <f t="array" ref="N26">_xlfn.XLOOKUP($A26,ACT[[№]:[№]],ACT[Shoring, Banding, Sealing, Handling/ Крепление, Перевязка, Опечатование, Обработка
KRW],"",0,1)</f>
        <v>26025.320866846097</v>
      </c>
      <c r="O26" s="40" cm="1">
        <f t="array" ref="O26">_xlfn.XLOOKUP($A26,ACT[[№]:[№]],ACT[Documents Work/ Сбор за подготовку документов
KRW],"",0,1)</f>
        <v>6714.4790678137497</v>
      </c>
      <c r="P26" s="40" cm="1">
        <f t="array" ref="P26">_xlfn.XLOOKUP($A26,ACT[[№]:[№]],ACT[THC/ Терминальная обработка
KRW],"",0,1)</f>
        <v>24897.288383453382</v>
      </c>
      <c r="Q26" s="40" cm="1">
        <f t="array" ref="Q26">_xlfn.XLOOKUP($A26,ACT[[№]:[№]],ACT[Wharfage/ Портовая пошлина
KRW],"",0,1)</f>
        <v>1222.0351903421024</v>
      </c>
      <c r="R26" s="40" cm="1">
        <f t="array" ref="R26">_xlfn.XLOOKUP($A26,ACT[[№]:[№]],ACT[TRUCKING CHARGE],"",0,1)</f>
        <v>0</v>
      </c>
      <c r="S26" s="40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37668.227570435134</v>
      </c>
      <c r="T26" s="40" cm="1">
        <f t="array" ref="T26">_xlfn.XLOOKUP($A26,ACT[[№]:[№]],ACT[Special Wooden Shoring / Специальное деревянное крепление],"",0,1)</f>
        <v>0</v>
      </c>
      <c r="U26" s="9"/>
      <c r="V26" s="40" cm="1">
        <f t="array" ref="V26">_xlfn.XLOOKUP($A26,ACT[[№]:[№]],ACT[Total amount/ Общая стоимость KRW (10+11+12+13+14+15+16)],"",0,1)</f>
        <v>501813.03107889037</v>
      </c>
      <c r="W26" s="40" cm="1">
        <f t="array" ref="W26">_xlfn.XLOOKUP($A26,ACT[[№]:[№]],ACT[Total amount/ Общая стоимость (17*exchange rate/ обменный курс)
 USD],"",0,1)</f>
        <v>390.12</v>
      </c>
      <c r="X26" s="9" cm="1">
        <f t="array" ref="X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26" s="12">
        <f>VLOOKUP(Шаблон_Формулы[[#This Row],[24]],Курс_840[[Дата]:[Курс]],2,0)</f>
        <v>12089</v>
      </c>
      <c r="Z26" s="42">
        <f>IFERROR(Шаблон_Формулы[[#This Row],[23]]*Шаблон_Формулы[[#This Row],[25]],"")</f>
        <v>4716160.68</v>
      </c>
      <c r="AA26" s="13" t="str" cm="1">
        <f t="array" ref="AA26">ACT_number[№ исходящего акта]</f>
        <v>468 LCL</v>
      </c>
    </row>
    <row r="27" spans="1:27" s="8" customFormat="1" ht="12">
      <c r="A27" s="11">
        <v>23</v>
      </c>
      <c r="B27" s="8" t="str" cm="1">
        <f t="array" ref="B27">_xlfn.XLOOKUP($A27,ACT[[№]:[№]],ACT[Container No/
№ Контейнера],"",0,1)</f>
        <v>HDMU6648374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37" cm="1">
        <f t="array" ref="E27">_xlfn.XLOOKUP($A27,ACT[[№]:[№]],ACT[Date of Dispatch/ 
Дата отгрузки],"",0,1)</f>
        <v>45124</v>
      </c>
      <c r="F27" s="38" t="str" cm="1">
        <f t="array" ref="F27">_xlfn.XLOOKUP($A27,ACT[[№]:[№]],ACT[Supplier/ Поставщик],"",0,1)</f>
        <v>Erae AMS</v>
      </c>
      <c r="G27" s="38" t="str" cm="1">
        <f t="array" ref="G27">_xlfn.XLOOKUP($A27,ACT[[№]:[№]],ACT[Supplier Invoice No/                          № Инвойса Поставщика],"",0,1)</f>
        <v>DM237AU02-1(8)</v>
      </c>
      <c r="H27" s="39" cm="1">
        <f t="array" ref="H27">_xlfn.XLOOKUP($A27,ACT[[№]:[№]],ACT[CBM],"",0,1)</f>
        <v>0.627</v>
      </c>
      <c r="I27" s="39" cm="1">
        <f t="array" ref="I27">_xlfn.XLOOKUP($A27,ACT[[№]:[№]],ACT[Gross weight, kg/ Вес брутто, кг],"",0,1)</f>
        <v>46.5</v>
      </c>
      <c r="J27" s="39" t="str" cm="1">
        <f t="array" ref="J27">_xlfn.XLOOKUP($A27,ACT[[№]:[№]],ACT[Delivery terms / Условия поставки],"",0,1)</f>
        <v>FCA</v>
      </c>
      <c r="K27" s="39" cm="1">
        <f t="array" ref="K27">_xlfn.XLOOKUP($A27,ACT[[№]:[№]],ACT[Container total CBM],"",0,1)</f>
        <v>64.278999999999996</v>
      </c>
      <c r="L27" s="40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232000</v>
      </c>
      <c r="M27" s="40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5323.23</v>
      </c>
      <c r="N27" s="40" cm="1">
        <f t="array" ref="N27">_xlfn.XLOOKUP($A27,ACT[[№]:[№]],ACT[Shoring, Banding, Sealing, Handling/ Крепление, Перевязка, Опечатование, Обработка
KRW],"",0,1)</f>
        <v>1890.3934410927368</v>
      </c>
      <c r="O27" s="40" cm="1">
        <f t="array" ref="O27">_xlfn.XLOOKUP($A27,ACT[[№]:[№]],ACT[Documents Work/ Сбор за подготовку документов
KRW],"",0,1)</f>
        <v>487.71760606107762</v>
      </c>
      <c r="P27" s="40" cm="1">
        <f t="array" ref="P27">_xlfn.XLOOKUP($A27,ACT[[№]:[№]],ACT[THC/ Терминальная обработка
KRW],"",0,1)</f>
        <v>1808.4568832744756</v>
      </c>
      <c r="Q27" s="40" cm="1">
        <f t="array" ref="Q27">_xlfn.XLOOKUP($A27,ACT[[№]:[№]],ACT[Wharfage/ Портовая пошлина
KRW],"",0,1)</f>
        <v>88.764604303116116</v>
      </c>
      <c r="R27" s="40" cm="1">
        <f t="array" ref="R27">_xlfn.XLOOKUP($A27,ACT[[№]:[№]],ACT[TRUCKING CHARGE],"",0,1)</f>
        <v>0</v>
      </c>
      <c r="S27" s="40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2736.0957700026452</v>
      </c>
      <c r="T27" s="40" cm="1">
        <f t="array" ref="T27">_xlfn.XLOOKUP($A27,ACT[[№]:[№]],ACT[Special Wooden Shoring / Специальное деревянное крепление],"",0,1)</f>
        <v>0</v>
      </c>
      <c r="U27" s="9"/>
      <c r="V27" s="40" cm="1">
        <f t="array" ref="V27">_xlfn.XLOOKUP($A27,ACT[[№]:[№]],ACT[Total amount/ Общая стоимость KRW (10+11+12+13+14+15+16)],"",0,1)</f>
        <v>244334.65830473407</v>
      </c>
      <c r="W27" s="40" cm="1">
        <f t="array" ref="W27">_xlfn.XLOOKUP($A27,ACT[[№]:[№]],ACT[Total amount/ Общая стоимость (17*exchange rate/ обменный курс)
 USD],"",0,1)</f>
        <v>189.95</v>
      </c>
      <c r="X27" s="9" cm="1">
        <f t="array" ref="X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27" s="12">
        <f>VLOOKUP(Шаблон_Формулы[[#This Row],[24]],Курс_840[[Дата]:[Курс]],2,0)</f>
        <v>12089</v>
      </c>
      <c r="Z27" s="42">
        <f>IFERROR(Шаблон_Формулы[[#This Row],[23]]*Шаблон_Формулы[[#This Row],[25]],"")</f>
        <v>2296305.5499999998</v>
      </c>
      <c r="AA27" s="13" t="str" cm="1">
        <f t="array" ref="AA27">ACT_number[№ исходящего акта]</f>
        <v>468 LCL</v>
      </c>
    </row>
    <row r="28" spans="1:27" s="8" customFormat="1" ht="12">
      <c r="A28" s="11">
        <v>24</v>
      </c>
      <c r="B28" s="8" t="str" cm="1">
        <f t="array" ref="B28">_xlfn.XLOOKUP($A28,ACT[[№]:[№]],ACT[Container No/
№ Контейнера],"",0,1)</f>
        <v>KKFU7492786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37" cm="1">
        <f t="array" ref="E28">_xlfn.XLOOKUP($A28,ACT[[№]:[№]],ACT[Date of Dispatch/ 
Дата отгрузки],"",0,1)</f>
        <v>45124</v>
      </c>
      <c r="F28" s="38" t="str" cm="1">
        <f t="array" ref="F28">_xlfn.XLOOKUP($A28,ACT[[№]:[№]],ACT[Supplier/ Поставщик],"",0,1)</f>
        <v>Erae AMS</v>
      </c>
      <c r="G28" s="38" t="str" cm="1">
        <f t="array" ref="G28">_xlfn.XLOOKUP($A28,ACT[[№]:[№]],ACT[Supplier Invoice No/                          № Инвойса Поставщика],"",0,1)</f>
        <v>DM237AU02-1(9)</v>
      </c>
      <c r="H28" s="39" cm="1">
        <f t="array" ref="H28">_xlfn.XLOOKUP($A28,ACT[[№]:[№]],ACT[CBM],"",0,1)</f>
        <v>22.654</v>
      </c>
      <c r="I28" s="39" cm="1">
        <f t="array" ref="I28">_xlfn.XLOOKUP($A28,ACT[[№]:[№]],ACT[Gross weight, kg/ Вес брутто, кг],"",0,1)</f>
        <v>3330.18</v>
      </c>
      <c r="J28" s="39" t="str" cm="1">
        <f t="array" ref="J28">_xlfn.XLOOKUP($A28,ACT[[№]:[№]],ACT[Delivery terms / Условия поставки],"",0,1)</f>
        <v>FCA</v>
      </c>
      <c r="K28" s="39" cm="1">
        <f t="array" ref="K28">_xlfn.XLOOKUP($A28,ACT[[№]:[№]],ACT[Container total CBM],"",0,1)</f>
        <v>64.734999999999985</v>
      </c>
      <c r="L28" s="40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392000</v>
      </c>
      <c r="M28" s="40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192332.46</v>
      </c>
      <c r="N28" s="40" cm="1">
        <f t="array" ref="N28">_xlfn.XLOOKUP($A28,ACT[[№]:[№]],ACT[Shoring, Banding, Sealing, Handling/ Крепление, Перевязка, Опечатование, Обработка
KRW],"",0,1)</f>
        <v>67820.27033289567</v>
      </c>
      <c r="O28" s="40" cm="1">
        <f t="array" ref="O28">_xlfn.XLOOKUP($A28,ACT[[№]:[№]],ACT[Documents Work/ Сбор за подготовку документов
KRW],"",0,1)</f>
        <v>17497.489765968956</v>
      </c>
      <c r="P28" s="40" cm="1">
        <f t="array" ref="P28">_xlfn.XLOOKUP($A28,ACT[[№]:[№]],ACT[THC/ Терминальная обработка
KRW],"",0,1)</f>
        <v>64880.692052212886</v>
      </c>
      <c r="Q28" s="40" cm="1">
        <f t="array" ref="Q28">_xlfn.XLOOKUP($A28,ACT[[№]:[№]],ACT[Wharfage/ Портовая пошлина
KRW],"",0,1)</f>
        <v>3184.5431374063496</v>
      </c>
      <c r="R28" s="40" cm="1">
        <f t="array" ref="R28">_xlfn.XLOOKUP($A28,ACT[[№]:[№]],ACT[TRUCKING CHARGE],"",0,1)</f>
        <v>0</v>
      </c>
      <c r="S28" s="40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98160.917587085831</v>
      </c>
      <c r="T28" s="40" cm="1">
        <f t="array" ref="T28">_xlfn.XLOOKUP($A28,ACT[[№]:[№]],ACT[Special Wooden Shoring / Специальное деревянное крепление],"",0,1)</f>
        <v>0</v>
      </c>
      <c r="U28" s="9"/>
      <c r="V28" s="40" cm="1">
        <f t="array" ref="V28">_xlfn.XLOOKUP($A28,ACT[[№]:[№]],ACT[Total amount/ Общая стоимость KRW (10+11+12+13+14+15+16)],"",0,1)</f>
        <v>835876.37287556974</v>
      </c>
      <c r="W28" s="40" cm="1">
        <f t="array" ref="W28">_xlfn.XLOOKUP($A28,ACT[[№]:[№]],ACT[Total amount/ Общая стоимость (17*exchange rate/ обменный курс)
 USD],"",0,1)</f>
        <v>649.83000000000004</v>
      </c>
      <c r="X28" s="9" cm="1">
        <f t="array" ref="X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28" s="12">
        <f>VLOOKUP(Шаблон_Формулы[[#This Row],[24]],Курс_840[[Дата]:[Курс]],2,0)</f>
        <v>12089</v>
      </c>
      <c r="Z28" s="42">
        <f>IFERROR(Шаблон_Формулы[[#This Row],[23]]*Шаблон_Формулы[[#This Row],[25]],"")</f>
        <v>7855794.8700000001</v>
      </c>
      <c r="AA28" s="13" t="str" cm="1">
        <f t="array" ref="AA28">ACT_number[№ исходящего акта]</f>
        <v>468 LCL</v>
      </c>
    </row>
    <row r="29" spans="1:27" s="8" customFormat="1" ht="12">
      <c r="A29" s="11">
        <v>25</v>
      </c>
      <c r="B29" s="8" t="str" cm="1">
        <f t="array" ref="B29">_xlfn.XLOOKUP($A29,ACT[[№]:[№]],ACT[Container No/
№ Контейнера],"",0,1)</f>
        <v>KKFU7492786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37" cm="1">
        <f t="array" ref="E29">_xlfn.XLOOKUP($A29,ACT[[№]:[№]],ACT[Date of Dispatch/ 
Дата отгрузки],"",0,1)</f>
        <v>45124</v>
      </c>
      <c r="F29" s="38" t="str" cm="1">
        <f t="array" ref="F29">_xlfn.XLOOKUP($A29,ACT[[№]:[№]],ACT[Supplier/ Поставщик],"",0,1)</f>
        <v>Erae AMS</v>
      </c>
      <c r="G29" s="38" t="str" cm="1">
        <f t="array" ref="G29">_xlfn.XLOOKUP($A29,ACT[[№]:[№]],ACT[Supplier Invoice No/                          № Инвойса Поставщика],"",0,1)</f>
        <v>DM237AU02-1(10)</v>
      </c>
      <c r="H29" s="39" cm="1">
        <f t="array" ref="H29">_xlfn.XLOOKUP($A29,ACT[[№]:[№]],ACT[CBM],"",0,1)</f>
        <v>14.026999999999999</v>
      </c>
      <c r="I29" s="39" cm="1">
        <f t="array" ref="I29">_xlfn.XLOOKUP($A29,ACT[[№]:[№]],ACT[Gross weight, kg/ Вес брутто, кг],"",0,1)</f>
        <v>12019.8</v>
      </c>
      <c r="J29" s="39" t="str" cm="1">
        <f t="array" ref="J29">_xlfn.XLOOKUP($A29,ACT[[№]:[№]],ACT[Delivery terms / Условия поставки],"",0,1)</f>
        <v>FCA</v>
      </c>
      <c r="K29" s="39" cm="1">
        <f t="array" ref="K29">_xlfn.XLOOKUP($A29,ACT[[№]:[№]],ACT[Container total CBM],"",0,1)</f>
        <v>64.734999999999985</v>
      </c>
      <c r="L29" s="40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624000</v>
      </c>
      <c r="M29" s="40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119089.23</v>
      </c>
      <c r="N29" s="40" cm="1">
        <f t="array" ref="N29">_xlfn.XLOOKUP($A29,ACT[[№]:[№]],ACT[Shoring, Banding, Sealing, Handling/ Крепление, Перевязка, Опечатование, Обработка
KRW],"",0,1)</f>
        <v>41993.243222368124</v>
      </c>
      <c r="O29" s="40" cm="1">
        <f t="array" ref="O29">_xlfn.XLOOKUP($A29,ACT[[№]:[№]],ACT[Documents Work/ Сбор за подготовку документов
KRW],"",0,1)</f>
        <v>10834.170078010353</v>
      </c>
      <c r="P29" s="40" cm="1">
        <f t="array" ref="P29">_xlfn.XLOOKUP($A29,ACT[[№]:[№]],ACT[THC/ Терминальная обработка
KRW],"",0,1)</f>
        <v>40173.102649262386</v>
      </c>
      <c r="Q29" s="40" cm="1">
        <f t="array" ref="Q29">_xlfn.XLOOKUP($A29,ACT[[№]:[№]],ACT[Wharfage/ Портовая пошлина
KRW],"",0,1)</f>
        <v>1971.8189541978841</v>
      </c>
      <c r="R29" s="40" cm="1">
        <f t="array" ref="R29">_xlfn.XLOOKUP($A29,ACT[[№]:[№]],ACT[TRUCKING CHARGE],"",0,1)</f>
        <v>0</v>
      </c>
      <c r="S29" s="40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60779.694137638078</v>
      </c>
      <c r="T29" s="40" cm="1">
        <f t="array" ref="T29">_xlfn.XLOOKUP($A29,ACT[[№]:[№]],ACT[Special Wooden Shoring / Специальное деревянное крепление],"",0,1)</f>
        <v>0</v>
      </c>
      <c r="U29" s="9"/>
      <c r="V29" s="40" cm="1">
        <f t="array" ref="V29">_xlfn.XLOOKUP($A29,ACT[[№]:[№]],ACT[Total amount/ Общая стоимость KRW (10+11+12+13+14+15+16)],"",0,1)</f>
        <v>898841.25904147676</v>
      </c>
      <c r="W29" s="40" cm="1">
        <f t="array" ref="W29">_xlfn.XLOOKUP($A29,ACT[[№]:[№]],ACT[Total amount/ Общая стоимость (17*exchange rate/ обменный курс)
 USD],"",0,1)</f>
        <v>698.78</v>
      </c>
      <c r="X29" s="9" cm="1">
        <f t="array" ref="X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29" s="12">
        <f>VLOOKUP(Шаблон_Формулы[[#This Row],[24]],Курс_840[[Дата]:[Курс]],2,0)</f>
        <v>12089</v>
      </c>
      <c r="Z29" s="42">
        <f>IFERROR(Шаблон_Формулы[[#This Row],[23]]*Шаблон_Формулы[[#This Row],[25]],"")</f>
        <v>8447551.4199999999</v>
      </c>
      <c r="AA29" s="13" t="str" cm="1">
        <f t="array" ref="AA29">ACT_number[№ исходящего акта]</f>
        <v>468 LCL</v>
      </c>
    </row>
    <row r="30" spans="1:27" s="8" customFormat="1" ht="12">
      <c r="A30" s="11">
        <v>26</v>
      </c>
      <c r="B30" s="8" t="str" cm="1">
        <f t="array" ref="B30">_xlfn.XLOOKUP($A30,ACT[[№]:[№]],ACT[Container No/
№ Контейнера],"",0,1)</f>
        <v>KKFU7492786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37" cm="1">
        <f t="array" ref="E30">_xlfn.XLOOKUP($A30,ACT[[№]:[№]],ACT[Date of Dispatch/ 
Дата отгрузки],"",0,1)</f>
        <v>45124</v>
      </c>
      <c r="F30" s="38" t="str" cm="1">
        <f t="array" ref="F30">_xlfn.XLOOKUP($A30,ACT[[№]:[№]],ACT[Supplier/ Поставщик],"",0,1)</f>
        <v>Erae AMS</v>
      </c>
      <c r="G30" s="38" t="str" cm="1">
        <f t="array" ref="G30">_xlfn.XLOOKUP($A30,ACT[[№]:[№]],ACT[Supplier Invoice No/                          № Инвойса Поставщика],"",0,1)</f>
        <v>DM237AU02-1(11)</v>
      </c>
      <c r="H30" s="39" cm="1">
        <f t="array" ref="H30">_xlfn.XLOOKUP($A30,ACT[[№]:[№]],ACT[CBM],"",0,1)</f>
        <v>5.3949999999999996</v>
      </c>
      <c r="I30" s="39" cm="1">
        <f t="array" ref="I30">_xlfn.XLOOKUP($A30,ACT[[№]:[№]],ACT[Gross weight, kg/ Вес брутто, кг],"",0,1)</f>
        <v>424.4</v>
      </c>
      <c r="J30" s="39" t="str" cm="1">
        <f t="array" ref="J30">_xlfn.XLOOKUP($A30,ACT[[№]:[№]],ACT[Delivery terms / Условия поставки],"",0,1)</f>
        <v>FCA</v>
      </c>
      <c r="K30" s="39" cm="1">
        <f t="array" ref="K30">_xlfn.XLOOKUP($A30,ACT[[№]:[№]],ACT[Container total CBM],"",0,1)</f>
        <v>64.734999999999985</v>
      </c>
      <c r="L30" s="40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291100</v>
      </c>
      <c r="M30" s="40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45803.55</v>
      </c>
      <c r="N30" s="40" cm="1">
        <f t="array" ref="N30">_xlfn.XLOOKUP($A30,ACT[[№]:[№]],ACT[Shoring, Banding, Sealing, Handling/ Крепление, Перевязка, Опечатование, Обработка
KRW],"",0,1)</f>
        <v>16151.247393218508</v>
      </c>
      <c r="O30" s="40" cm="1">
        <f t="array" ref="O30">_xlfn.XLOOKUP($A30,ACT[[№]:[№]],ACT[Documents Work/ Сбор за подготовку документов
KRW],"",0,1)</f>
        <v>4166.9884915424427</v>
      </c>
      <c r="P30" s="40" cm="1">
        <f t="array" ref="P30">_xlfn.XLOOKUP($A30,ACT[[№]:[№]],ACT[THC/ Терминальная обработка
KRW],"",0,1)</f>
        <v>15451.193326639375</v>
      </c>
      <c r="Q30" s="40" cm="1">
        <f t="array" ref="Q30">_xlfn.XLOOKUP($A30,ACT[[№]:[№]],ACT[Wharfage/ Портовая пошлина
KRW],"",0,1)</f>
        <v>758.39190546072462</v>
      </c>
      <c r="R30" s="40" cm="1">
        <f t="array" ref="R30">_xlfn.XLOOKUP($A30,ACT[[№]:[№]],ACT[TRUCKING CHARGE],"",0,1)</f>
        <v>0</v>
      </c>
      <c r="S30" s="40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23376.805437553103</v>
      </c>
      <c r="T30" s="40" cm="1">
        <f t="array" ref="T30">_xlfn.XLOOKUP($A30,ACT[[№]:[№]],ACT[Special Wooden Shoring / Специальное деревянное крепление],"",0,1)</f>
        <v>0</v>
      </c>
      <c r="U30" s="9"/>
      <c r="V30" s="40" cm="1">
        <f t="array" ref="V30">_xlfn.XLOOKUP($A30,ACT[[№]:[№]],ACT[Total amount/ Общая стоимость KRW (10+11+12+13+14+15+16)],"",0,1)</f>
        <v>396808.17655441415</v>
      </c>
      <c r="W30" s="40" cm="1">
        <f t="array" ref="W30">_xlfn.XLOOKUP($A30,ACT[[№]:[№]],ACT[Total amount/ Общая стоимость (17*exchange rate/ обменный курс)
 USD],"",0,1)</f>
        <v>308.49</v>
      </c>
      <c r="X30" s="9" cm="1">
        <f t="array" ref="X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30" s="12">
        <f>VLOOKUP(Шаблон_Формулы[[#This Row],[24]],Курс_840[[Дата]:[Курс]],2,0)</f>
        <v>12089</v>
      </c>
      <c r="Z30" s="42">
        <f>IFERROR(Шаблон_Формулы[[#This Row],[23]]*Шаблон_Формулы[[#This Row],[25]],"")</f>
        <v>3729335.6100000003</v>
      </c>
      <c r="AA30" s="13" t="str" cm="1">
        <f t="array" ref="AA30">ACT_number[№ исходящего акта]</f>
        <v>468 LCL</v>
      </c>
    </row>
    <row r="31" spans="1:27" s="8" customFormat="1" ht="12">
      <c r="A31" s="11">
        <v>27</v>
      </c>
      <c r="B31" s="8" t="str" cm="1">
        <f t="array" ref="B31">_xlfn.XLOOKUP($A31,ACT[[№]:[№]],ACT[Container No/
№ Контейнера],"",0,1)</f>
        <v>KKFU7492786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37" cm="1">
        <f t="array" ref="E31">_xlfn.XLOOKUP($A31,ACT[[№]:[№]],ACT[Date of Dispatch/ 
Дата отгрузки],"",0,1)</f>
        <v>45124</v>
      </c>
      <c r="F31" s="38" t="str" cm="1">
        <f t="array" ref="F31">_xlfn.XLOOKUP($A31,ACT[[№]:[№]],ACT[Supplier/ Поставщик],"",0,1)</f>
        <v>Erae AMS</v>
      </c>
      <c r="G31" s="38" t="str" cm="1">
        <f t="array" ref="G31">_xlfn.XLOOKUP($A31,ACT[[№]:[№]],ACT[Supplier Invoice No/                          № Инвойса Поставщика],"",0,1)</f>
        <v>DM237WO02(1)</v>
      </c>
      <c r="H31" s="39" cm="1">
        <f t="array" ref="H31">_xlfn.XLOOKUP($A31,ACT[[№]:[№]],ACT[CBM],"",0,1)</f>
        <v>22.658999999999999</v>
      </c>
      <c r="I31" s="39" cm="1">
        <f t="array" ref="I31">_xlfn.XLOOKUP($A31,ACT[[№]:[№]],ACT[Gross weight, kg/ Вес брутто, кг],"",0,1)</f>
        <v>6741</v>
      </c>
      <c r="J31" s="39" t="str" cm="1">
        <f t="array" ref="J31">_xlfn.XLOOKUP($A31,ACT[[№]:[№]],ACT[Delivery terms / Условия поставки],"",0,1)</f>
        <v>FCA</v>
      </c>
      <c r="K31" s="39" cm="1">
        <f t="array" ref="K31">_xlfn.XLOOKUP($A31,ACT[[№]:[№]],ACT[Container total CBM],"",0,1)</f>
        <v>64.734999999999985</v>
      </c>
      <c r="L31" s="40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392000</v>
      </c>
      <c r="M31" s="40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192374.91</v>
      </c>
      <c r="N31" s="40" cm="1">
        <f t="array" ref="N31">_xlfn.XLOOKUP($A31,ACT[[№]:[№]],ACT[Shoring, Banding, Sealing, Handling/ Крепление, Перевязка, Опечатование, Обработка
KRW],"",0,1)</f>
        <v>67835.239051517739</v>
      </c>
      <c r="O31" s="40" cm="1">
        <f t="array" ref="O31">_xlfn.XLOOKUP($A31,ACT[[№]:[№]],ACT[Documents Work/ Сбор за подготовку документов
KRW],"",0,1)</f>
        <v>17501.351664478261</v>
      </c>
      <c r="P31" s="40" cm="1">
        <f t="array" ref="P31">_xlfn.XLOOKUP($A31,ACT[[№]:[№]],ACT[THC/ Терминальная обработка
KRW],"",0,1)</f>
        <v>64895.011971885389</v>
      </c>
      <c r="Q31" s="40" cm="1">
        <f t="array" ref="Q31">_xlfn.XLOOKUP($A31,ACT[[№]:[№]],ACT[Wharfage/ Портовая пошлина
KRW],"",0,1)</f>
        <v>3185.2460029350432</v>
      </c>
      <c r="R31" s="40" cm="1">
        <f t="array" ref="R31">_xlfn.XLOOKUP($A31,ACT[[№]:[№]],ACT[TRUCKING CHARGE],"",0,1)</f>
        <v>0</v>
      </c>
      <c r="S31" s="40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98182.582837723035</v>
      </c>
      <c r="T31" s="40" cm="1">
        <f t="array" ref="T31">_xlfn.XLOOKUP($A31,ACT[[№]:[№]],ACT[Special Wooden Shoring / Специальное деревянное крепление],"",0,1)</f>
        <v>0</v>
      </c>
      <c r="U31" s="9"/>
      <c r="V31" s="40" cm="1">
        <f t="array" ref="V31">_xlfn.XLOOKUP($A31,ACT[[№]:[№]],ACT[Total amount/ Общая стоимость KRW (10+11+12+13+14+15+16)],"",0,1)</f>
        <v>835974.34152853931</v>
      </c>
      <c r="W31" s="40" cm="1">
        <f t="array" ref="W31">_xlfn.XLOOKUP($A31,ACT[[№]:[№]],ACT[Total amount/ Общая стоимость (17*exchange rate/ обменный курс)
 USD],"",0,1)</f>
        <v>649.91</v>
      </c>
      <c r="X31" s="9" cm="1">
        <f t="array" ref="X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31" s="12">
        <f>VLOOKUP(Шаблон_Формулы[[#This Row],[24]],Курс_840[[Дата]:[Курс]],2,0)</f>
        <v>12089</v>
      </c>
      <c r="Z31" s="42">
        <f>IFERROR(Шаблон_Формулы[[#This Row],[23]]*Шаблон_Формулы[[#This Row],[25]],"")</f>
        <v>7856761.9899999993</v>
      </c>
      <c r="AA31" s="13" t="str" cm="1">
        <f t="array" ref="AA31">ACT_number[№ исходящего акта]</f>
        <v>468 LCL</v>
      </c>
    </row>
    <row r="32" spans="1:27" s="8" customFormat="1" ht="12">
      <c r="A32" s="11">
        <v>28</v>
      </c>
      <c r="B32" s="8" t="str" cm="1">
        <f t="array" ref="B32">_xlfn.XLOOKUP($A32,ACT[[№]:[№]],ACT[Container No/
№ Контейнера],"",0,1)</f>
        <v>CAXU8181001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37" cm="1">
        <f t="array" ref="E32">_xlfn.XLOOKUP($A32,ACT[[№]:[№]],ACT[Date of Dispatch/ 
Дата отгрузки],"",0,1)</f>
        <v>45124</v>
      </c>
      <c r="F32" s="38" t="str" cm="1">
        <f t="array" ref="F32">_xlfn.XLOOKUP($A32,ACT[[№]:[№]],ACT[Supplier/ Поставщик],"",0,1)</f>
        <v>Erae AMS</v>
      </c>
      <c r="G32" s="38" t="str" cm="1">
        <f t="array" ref="G32">_xlfn.XLOOKUP($A32,ACT[[№]:[№]],ACT[Supplier Invoice No/                          № Инвойса Поставщика],"",0,1)</f>
        <v>DM237AU02-1(12)</v>
      </c>
      <c r="H32" s="39" cm="1">
        <f t="array" ref="H32">_xlfn.XLOOKUP($A32,ACT[[№]:[№]],ACT[CBM],"",0,1)</f>
        <v>24.812000000000001</v>
      </c>
      <c r="I32" s="39" cm="1">
        <f t="array" ref="I32">_xlfn.XLOOKUP($A32,ACT[[№]:[№]],ACT[Gross weight, kg/ Вес брутто, кг],"",0,1)</f>
        <v>3089.82</v>
      </c>
      <c r="J32" s="39" t="str" cm="1">
        <f t="array" ref="J32">_xlfn.XLOOKUP($A32,ACT[[№]:[№]],ACT[Delivery terms / Условия поставки],"",0,1)</f>
        <v>FCA</v>
      </c>
      <c r="K32" s="39" cm="1">
        <f t="array" ref="K32">_xlfn.XLOOKUP($A32,ACT[[№]:[№]],ACT[Container total CBM],"",0,1)</f>
        <v>61.497999999999998</v>
      </c>
      <c r="L32" s="40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392000</v>
      </c>
      <c r="M32" s="40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210653.88</v>
      </c>
      <c r="N32" s="40" cm="1">
        <f t="array" ref="N32">_xlfn.XLOOKUP($A32,ACT[[№]:[№]],ACT[Shoring, Banding, Sealing, Handling/ Крепление, Перевязка, Опечатование, Обработка
KRW],"",0,1)</f>
        <v>78190.60132036815</v>
      </c>
      <c r="O32" s="40" cm="1">
        <f t="array" ref="O32">_xlfn.XLOOKUP($A32,ACT[[№]:[№]],ACT[Documents Work/ Сбор за подготовку документов
KRW],"",0,1)</f>
        <v>20173.013756544929</v>
      </c>
      <c r="P32" s="40" cm="1">
        <f t="array" ref="P32">_xlfn.XLOOKUP($A32,ACT[[№]:[№]],ACT[THC/ Терминальная обработка
KRW],"",0,1)</f>
        <v>74801.535009268599</v>
      </c>
      <c r="Q32" s="40" cm="1">
        <f t="array" ref="Q32">_xlfn.XLOOKUP($A32,ACT[[№]:[№]],ACT[Wharfage/ Портовая пошлина
KRW],"",0,1)</f>
        <v>3671.4885036911778</v>
      </c>
      <c r="R32" s="40" cm="1">
        <f t="array" ref="R32">_xlfn.XLOOKUP($A32,ACT[[№]:[№]],ACT[TRUCKING CHARGE],"",0,1)</f>
        <v>0</v>
      </c>
      <c r="S32" s="40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113170.60717421706</v>
      </c>
      <c r="T32" s="40" cm="1">
        <f t="array" ref="T32">_xlfn.XLOOKUP($A32,ACT[[№]:[№]],ACT[Special Wooden Shoring / Специальное деревянное крепление],"",0,1)</f>
        <v>0</v>
      </c>
      <c r="U32" s="9"/>
      <c r="V32" s="40" cm="1">
        <f t="array" ref="V32">_xlfn.XLOOKUP($A32,ACT[[№]:[№]],ACT[Total amount/ Общая стоимость KRW (10+11+12+13+14+15+16)],"",0,1)</f>
        <v>892661.12576408987</v>
      </c>
      <c r="W32" s="40" cm="1">
        <f t="array" ref="W32">_xlfn.XLOOKUP($A32,ACT[[№]:[№]],ACT[Total amount/ Общая стоимость (17*exchange rate/ обменный курс)
 USD],"",0,1)</f>
        <v>693.98</v>
      </c>
      <c r="X32" s="9" cm="1">
        <f t="array" ref="X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32" s="12">
        <f>VLOOKUP(Шаблон_Формулы[[#This Row],[24]],Курс_840[[Дата]:[Курс]],2,0)</f>
        <v>12089</v>
      </c>
      <c r="Z32" s="42">
        <f>IFERROR(Шаблон_Формулы[[#This Row],[23]]*Шаблон_Формулы[[#This Row],[25]],"")</f>
        <v>8389524.2200000007</v>
      </c>
      <c r="AA32" s="13" t="str" cm="1">
        <f t="array" ref="AA32">ACT_number[№ исходящего акта]</f>
        <v>468 LCL</v>
      </c>
    </row>
    <row r="33" spans="1:27" s="8" customFormat="1" ht="12">
      <c r="A33" s="11">
        <v>29</v>
      </c>
      <c r="B33" s="8" t="str" cm="1">
        <f t="array" ref="B33">_xlfn.XLOOKUP($A33,ACT[[№]:[№]],ACT[Container No/
№ Контейнера],"",0,1)</f>
        <v>CAXU8181001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37" cm="1">
        <f t="array" ref="E33">_xlfn.XLOOKUP($A33,ACT[[№]:[№]],ACT[Date of Dispatch/ 
Дата отгрузки],"",0,1)</f>
        <v>45124</v>
      </c>
      <c r="F33" s="38" t="str" cm="1">
        <f t="array" ref="F33">_xlfn.XLOOKUP($A33,ACT[[№]:[№]],ACT[Supplier/ Поставщик],"",0,1)</f>
        <v>Erae AMS</v>
      </c>
      <c r="G33" s="38" t="str" cm="1">
        <f t="array" ref="G33">_xlfn.XLOOKUP($A33,ACT[[№]:[№]],ACT[Supplier Invoice No/                          № Инвойса Поставщика],"",0,1)</f>
        <v>DM237AU02-1(13)</v>
      </c>
      <c r="H33" s="39" cm="1">
        <f t="array" ref="H33">_xlfn.XLOOKUP($A33,ACT[[№]:[№]],ACT[CBM],"",0,1)</f>
        <v>14.026999999999999</v>
      </c>
      <c r="I33" s="39" cm="1">
        <f t="array" ref="I33">_xlfn.XLOOKUP($A33,ACT[[№]:[№]],ACT[Gross weight, kg/ Вес брутто, кг],"",0,1)</f>
        <v>12019.8</v>
      </c>
      <c r="J33" s="39" t="str" cm="1">
        <f t="array" ref="J33">_xlfn.XLOOKUP($A33,ACT[[№]:[№]],ACT[Delivery terms / Условия поставки],"",0,1)</f>
        <v>FCA</v>
      </c>
      <c r="K33" s="39" cm="1">
        <f t="array" ref="K33">_xlfn.XLOOKUP($A33,ACT[[№]:[№]],ACT[Container total CBM],"",0,1)</f>
        <v>61.497999999999998</v>
      </c>
      <c r="L33" s="40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624000</v>
      </c>
      <c r="M33" s="40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119089.23</v>
      </c>
      <c r="N33" s="40" cm="1">
        <f t="array" ref="N33">_xlfn.XLOOKUP($A33,ACT[[№]:[№]],ACT[Shoring, Banding, Sealing, Handling/ Крепление, Перевязка, Опечатование, Обработка
KRW],"",0,1)</f>
        <v>44203.593612800418</v>
      </c>
      <c r="O33" s="40" cm="1">
        <f t="array" ref="O33">_xlfn.XLOOKUP($A33,ACT[[№]:[№]],ACT[Documents Work/ Сбор за подготовку документов
KRW],"",0,1)</f>
        <v>11404.435916615172</v>
      </c>
      <c r="P33" s="40" cm="1">
        <f t="array" ref="P33">_xlfn.XLOOKUP($A33,ACT[[№]:[№]],ACT[THC/ Терминальная обработка
KRW],"",0,1)</f>
        <v>42287.648378809063</v>
      </c>
      <c r="Q33" s="40" cm="1">
        <f t="array" ref="Q33">_xlfn.XLOOKUP($A33,ACT[[№]:[№]],ACT[Wharfage/ Портовая пошлина
KRW],"",0,1)</f>
        <v>2075.6073368239618</v>
      </c>
      <c r="R33" s="40" cm="1">
        <f t="array" ref="R33">_xlfn.XLOOKUP($A33,ACT[[№]:[№]],ACT[TRUCKING CHARGE],"",0,1)</f>
        <v>0</v>
      </c>
      <c r="S33" s="40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63978.885492211128</v>
      </c>
      <c r="T33" s="40" cm="1">
        <f t="array" ref="T33">_xlfn.XLOOKUP($A33,ACT[[№]:[№]],ACT[Special Wooden Shoring / Специальное деревянное крепление],"",0,1)</f>
        <v>0</v>
      </c>
      <c r="U33" s="9"/>
      <c r="V33" s="40" cm="1">
        <f t="array" ref="V33">_xlfn.XLOOKUP($A33,ACT[[№]:[№]],ACT[Total amount/ Общая стоимость KRW (10+11+12+13+14+15+16)],"",0,1)</f>
        <v>907039.40073725989</v>
      </c>
      <c r="W33" s="40" cm="1">
        <f t="array" ref="W33">_xlfn.XLOOKUP($A33,ACT[[№]:[№]],ACT[Total amount/ Общая стоимость (17*exchange rate/ обменный курс)
 USD],"",0,1)</f>
        <v>705.15</v>
      </c>
      <c r="X33" s="9" cm="1">
        <f t="array" ref="X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33" s="12">
        <f>VLOOKUP(Шаблон_Формулы[[#This Row],[24]],Курс_840[[Дата]:[Курс]],2,0)</f>
        <v>12089</v>
      </c>
      <c r="Z33" s="42">
        <f>IFERROR(Шаблон_Формулы[[#This Row],[23]]*Шаблон_Формулы[[#This Row],[25]],"")</f>
        <v>8524558.3499999996</v>
      </c>
      <c r="AA33" s="13" t="str" cm="1">
        <f t="array" ref="AA33">ACT_number[№ исходящего акта]</f>
        <v>468 LCL</v>
      </c>
    </row>
    <row r="34" spans="1:27" s="8" customFormat="1" ht="12">
      <c r="A34" s="11">
        <v>30</v>
      </c>
      <c r="B34" s="8" t="str" cm="1">
        <f t="array" ref="B34">_xlfn.XLOOKUP($A34,ACT[[№]:[№]],ACT[Container No/
№ Контейнера],"",0,1)</f>
        <v>CAXU8181001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37" cm="1">
        <f t="array" ref="E34">_xlfn.XLOOKUP($A34,ACT[[№]:[№]],ACT[Date of Dispatch/ 
Дата отгрузки],"",0,1)</f>
        <v>45124</v>
      </c>
      <c r="F34" s="38" t="str" cm="1">
        <f t="array" ref="F34">_xlfn.XLOOKUP($A34,ACT[[№]:[№]],ACT[Supplier/ Поставщик],"",0,1)</f>
        <v>Erae AMS</v>
      </c>
      <c r="G34" s="38" t="str" cm="1">
        <f t="array" ref="G34">_xlfn.XLOOKUP($A34,ACT[[№]:[№]],ACT[Supplier Invoice No/                          № Инвойса Поставщика],"",0,1)</f>
        <v>DM237WO02(2)</v>
      </c>
      <c r="H34" s="39" cm="1">
        <f t="array" ref="H34">_xlfn.XLOOKUP($A34,ACT[[№]:[№]],ACT[CBM],"",0,1)</f>
        <v>22.658999999999999</v>
      </c>
      <c r="I34" s="39" cm="1">
        <f t="array" ref="I34">_xlfn.XLOOKUP($A34,ACT[[№]:[№]],ACT[Gross weight, kg/ Вес брутто, кг],"",0,1)</f>
        <v>6741</v>
      </c>
      <c r="J34" s="39" t="str" cm="1">
        <f t="array" ref="J34">_xlfn.XLOOKUP($A34,ACT[[№]:[№]],ACT[Delivery terms / Условия поставки],"",0,1)</f>
        <v>FCA</v>
      </c>
      <c r="K34" s="39" cm="1">
        <f t="array" ref="K34">_xlfn.XLOOKUP($A34,ACT[[№]:[№]],ACT[Container total CBM],"",0,1)</f>
        <v>61.497999999999998</v>
      </c>
      <c r="L34" s="40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392000</v>
      </c>
      <c r="M34" s="40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192374.91</v>
      </c>
      <c r="N34" s="40" cm="1">
        <f t="array" ref="N34">_xlfn.XLOOKUP($A34,ACT[[№]:[№]],ACT[Shoring, Banding, Sealing, Handling/ Крепление, Перевязка, Опечатование, Обработка
KRW],"",0,1)</f>
        <v>71405.805066831439</v>
      </c>
      <c r="O34" s="40" cm="1">
        <f t="array" ref="O34">_xlfn.XLOOKUP($A34,ACT[[№]:[№]],ACT[Documents Work/ Сбор за подготовку документов
KRW],"",0,1)</f>
        <v>18422.550326839897</v>
      </c>
      <c r="P34" s="40" cm="1">
        <f t="array" ref="P34">_xlfn.XLOOKUP($A34,ACT[[№]:[№]],ACT[THC/ Терминальная обработка
KRW],"",0,1)</f>
        <v>68310.816611922346</v>
      </c>
      <c r="Q34" s="40" cm="1">
        <f t="array" ref="Q34">_xlfn.XLOOKUP($A34,ACT[[№]:[№]],ACT[Wharfage/ Портовая пошлина
KRW],"",0,1)</f>
        <v>3352.9041594848613</v>
      </c>
      <c r="R34" s="40" cm="1">
        <f t="array" ref="R34">_xlfn.XLOOKUP($A34,ACT[[№]:[№]],ACT[TRUCKING CHARGE],"",0,1)</f>
        <v>0</v>
      </c>
      <c r="S34" s="40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103350.50733357183</v>
      </c>
      <c r="T34" s="40" cm="1">
        <f t="array" ref="T34">_xlfn.XLOOKUP($A34,ACT[[№]:[№]],ACT[Special Wooden Shoring / Специальное деревянное крепление],"",0,1)</f>
        <v>0</v>
      </c>
      <c r="U34" s="9"/>
      <c r="V34" s="40" cm="1">
        <f t="array" ref="V34">_xlfn.XLOOKUP($A34,ACT[[№]:[№]],ACT[Total amount/ Общая стоимость KRW (10+11+12+13+14+15+16)],"",0,1)</f>
        <v>849217.49349865038</v>
      </c>
      <c r="W34" s="40" cm="1">
        <f t="array" ref="W34">_xlfn.XLOOKUP($A34,ACT[[№]:[№]],ACT[Total amount/ Общая стоимость (17*exchange rate/ обменный курс)
 USD],"",0,1)</f>
        <v>660.2</v>
      </c>
      <c r="X34" s="9" cm="1">
        <f t="array" ref="X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34" s="12">
        <f>VLOOKUP(Шаблон_Формулы[[#This Row],[24]],Курс_840[[Дата]:[Курс]],2,0)</f>
        <v>12089</v>
      </c>
      <c r="Z34" s="42">
        <f>IFERROR(Шаблон_Формулы[[#This Row],[23]]*Шаблон_Формулы[[#This Row],[25]],"")</f>
        <v>7981157.8000000007</v>
      </c>
      <c r="AA34" s="13" t="str" cm="1">
        <f t="array" ref="AA34">ACT_number[№ исходящего акта]</f>
        <v>468 LCL</v>
      </c>
    </row>
    <row r="35" spans="1:27" s="8" customFormat="1" ht="12">
      <c r="A35" s="11">
        <v>31</v>
      </c>
      <c r="B35" s="8" t="str" cm="1">
        <f t="array" ref="B35">_xlfn.XLOOKUP($A35,ACT[[№]:[№]],ACT[Container No/
№ Контейнера],"",0,1)</f>
        <v>BMOU4661377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37" cm="1">
        <f t="array" ref="E35">_xlfn.XLOOKUP($A35,ACT[[№]:[№]],ACT[Date of Dispatch/ 
Дата отгрузки],"",0,1)</f>
        <v>45124</v>
      </c>
      <c r="F35" s="38" t="str" cm="1">
        <f t="array" ref="F35">_xlfn.XLOOKUP($A35,ACT[[№]:[№]],ACT[Supplier/ Поставщик],"",0,1)</f>
        <v>Erae AMS</v>
      </c>
      <c r="G35" s="38" t="str" cm="1">
        <f t="array" ref="G35">_xlfn.XLOOKUP($A35,ACT[[№]:[№]],ACT[Supplier Invoice No/                          № Инвойса Поставщика],"",0,1)</f>
        <v>DM237AU02-1(14)</v>
      </c>
      <c r="H35" s="39" cm="1">
        <f t="array" ref="H35">_xlfn.XLOOKUP($A35,ACT[[№]:[№]],ACT[CBM],"",0,1)</f>
        <v>10.79</v>
      </c>
      <c r="I35" s="39" cm="1">
        <f t="array" ref="I35">_xlfn.XLOOKUP($A35,ACT[[№]:[№]],ACT[Gross weight, kg/ Вес брутто, кг],"",0,1)</f>
        <v>8614</v>
      </c>
      <c r="J35" s="39" t="str" cm="1">
        <f t="array" ref="J35">_xlfn.XLOOKUP($A35,ACT[[№]:[№]],ACT[Delivery terms / Условия поставки],"",0,1)</f>
        <v>FCA</v>
      </c>
      <c r="K35" s="39" cm="1">
        <f t="array" ref="K35">_xlfn.XLOOKUP($A35,ACT[[№]:[№]],ACT[Container total CBM],"",0,1)</f>
        <v>63.65</v>
      </c>
      <c r="L35" s="40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392000</v>
      </c>
      <c r="M35" s="40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91607.099999999991</v>
      </c>
      <c r="N35" s="40" cm="1">
        <f t="array" ref="N35">_xlfn.XLOOKUP($A35,ACT[[№]:[№]],ACT[Shoring, Banding, Sealing, Handling/ Крепление, Перевязка, Опечатование, Обработка
KRW],"",0,1)</f>
        <v>32853.13432835821</v>
      </c>
      <c r="O35" s="40" cm="1">
        <f t="array" ref="O35">_xlfn.XLOOKUP($A35,ACT[[№]:[№]],ACT[Documents Work/ Сбор за подготовку документов
KRW],"",0,1)</f>
        <v>8476.0408483896299</v>
      </c>
      <c r="P35" s="40" cm="1">
        <f t="array" ref="P35">_xlfn.XLOOKUP($A35,ACT[[№]:[№]],ACT[THC/ Терминальная обработка
KRW],"",0,1)</f>
        <v>31429.15946582875</v>
      </c>
      <c r="Q35" s="40" cm="1">
        <f t="array" ref="Q35">_xlfn.XLOOKUP($A35,ACT[[№]:[№]],ACT[Wharfage/ Портовая пошлина
KRW],"",0,1)</f>
        <v>1542.6394344069129</v>
      </c>
      <c r="R35" s="40" cm="1">
        <f t="array" ref="R35">_xlfn.XLOOKUP($A35,ACT[[№]:[№]],ACT[TRUCKING CHARGE],"",0,1)</f>
        <v>0</v>
      </c>
      <c r="S35" s="40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47550.589159465831</v>
      </c>
      <c r="T35" s="40" cm="1">
        <f t="array" ref="T35">_xlfn.XLOOKUP($A35,ACT[[№]:[№]],ACT[Special Wooden Shoring / Специальное деревянное крепление],"",0,1)</f>
        <v>0</v>
      </c>
      <c r="U35" s="9"/>
      <c r="V35" s="40" cm="1">
        <f t="array" ref="V35">_xlfn.XLOOKUP($A35,ACT[[№]:[№]],ACT[Total amount/ Общая стоимость KRW (10+11+12+13+14+15+16)],"",0,1)</f>
        <v>605458.66323644936</v>
      </c>
      <c r="W35" s="40" cm="1">
        <f t="array" ref="W35">_xlfn.XLOOKUP($A35,ACT[[№]:[№]],ACT[Total amount/ Общая стоимость (17*exchange rate/ обменный курс)
 USD],"",0,1)</f>
        <v>470.7</v>
      </c>
      <c r="X35" s="9" cm="1">
        <f t="array" ref="X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35" s="12">
        <f>VLOOKUP(Шаблон_Формулы[[#This Row],[24]],Курс_840[[Дата]:[Курс]],2,0)</f>
        <v>12089</v>
      </c>
      <c r="Z35" s="42">
        <f>IFERROR(Шаблон_Формулы[[#This Row],[23]]*Шаблон_Формулы[[#This Row],[25]],"")</f>
        <v>5690292.2999999998</v>
      </c>
      <c r="AA35" s="13" t="str" cm="1">
        <f t="array" ref="AA35">ACT_number[№ исходящего акта]</f>
        <v>468 LCL</v>
      </c>
    </row>
    <row r="36" spans="1:27" s="8" customFormat="1" ht="12">
      <c r="A36" s="11">
        <v>32</v>
      </c>
      <c r="B36" s="8" t="str" cm="1">
        <f t="array" ref="B36">_xlfn.XLOOKUP($A36,ACT[[№]:[№]],ACT[Container No/
№ Контейнера],"",0,1)</f>
        <v>BMOU4661377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37" cm="1">
        <f t="array" ref="E36">_xlfn.XLOOKUP($A36,ACT[[№]:[№]],ACT[Date of Dispatch/ 
Дата отгрузки],"",0,1)</f>
        <v>45124</v>
      </c>
      <c r="F36" s="38" t="str" cm="1">
        <f t="array" ref="F36">_xlfn.XLOOKUP($A36,ACT[[№]:[№]],ACT[Supplier/ Поставщик],"",0,1)</f>
        <v>Erae AMS</v>
      </c>
      <c r="G36" s="38" t="str" cm="1">
        <f t="array" ref="G36">_xlfn.XLOOKUP($A36,ACT[[№]:[№]],ACT[Supplier Invoice No/                          № Инвойса Поставщика],"",0,1)</f>
        <v>DM237AU02-1(15)</v>
      </c>
      <c r="H36" s="39" cm="1">
        <f t="array" ref="H36">_xlfn.XLOOKUP($A36,ACT[[№]:[№]],ACT[CBM],"",0,1)</f>
        <v>8.6300000000000008</v>
      </c>
      <c r="I36" s="39" cm="1">
        <f t="array" ref="I36">_xlfn.XLOOKUP($A36,ACT[[№]:[№]],ACT[Gross weight, kg/ Вес брутто, кг],"",0,1)</f>
        <v>4832</v>
      </c>
      <c r="J36" s="39" t="str" cm="1">
        <f t="array" ref="J36">_xlfn.XLOOKUP($A36,ACT[[№]:[№]],ACT[Delivery terms / Условия поставки],"",0,1)</f>
        <v>FCA</v>
      </c>
      <c r="K36" s="39" cm="1">
        <f t="array" ref="K36">_xlfn.XLOOKUP($A36,ACT[[№]:[№]],ACT[Container total CBM],"",0,1)</f>
        <v>63.65</v>
      </c>
      <c r="L36" s="40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332000</v>
      </c>
      <c r="M36" s="40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73268.700000000012</v>
      </c>
      <c r="N36" s="40" cm="1">
        <f t="array" ref="N36">_xlfn.XLOOKUP($A36,ACT[[№]:[№]],ACT[Shoring, Banding, Sealing, Handling/ Крепление, Перевязка, Опечатование, Обработка
KRW],"",0,1)</f>
        <v>26276.417910447766</v>
      </c>
      <c r="O36" s="40" cm="1">
        <f t="array" ref="O36">_xlfn.XLOOKUP($A36,ACT[[№]:[№]],ACT[Documents Work/ Сбор за подготовку документов
KRW],"",0,1)</f>
        <v>6779.2615868028288</v>
      </c>
      <c r="P36" s="40" cm="1">
        <f t="array" ref="P36">_xlfn.XLOOKUP($A36,ACT[[№]:[№]],ACT[THC/ Терминальная обработка
KRW],"",0,1)</f>
        <v>25137.501963864888</v>
      </c>
      <c r="Q36" s="40" cm="1">
        <f t="array" ref="Q36">_xlfn.XLOOKUP($A36,ACT[[№]:[№]],ACT[Wharfage/ Портовая пошлина
KRW],"",0,1)</f>
        <v>1233.8256087981149</v>
      </c>
      <c r="R36" s="40" cm="1">
        <f t="array" ref="R36">_xlfn.XLOOKUP($A36,ACT[[№]:[№]],ACT[TRUCKING CHARGE],"",0,1)</f>
        <v>0</v>
      </c>
      <c r="S36" s="40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38031.657501963869</v>
      </c>
      <c r="T36" s="40" cm="1">
        <f t="array" ref="T36">_xlfn.XLOOKUP($A36,ACT[[№]:[№]],ACT[Special Wooden Shoring / Специальное деревянное крепление],"",0,1)</f>
        <v>0</v>
      </c>
      <c r="U36" s="9"/>
      <c r="V36" s="40" cm="1">
        <f t="array" ref="V36">_xlfn.XLOOKUP($A36,ACT[[№]:[№]],ACT[Total amount/ Общая стоимость KRW (10+11+12+13+14+15+16)],"",0,1)</f>
        <v>502727.36457187752</v>
      </c>
      <c r="W36" s="40" cm="1">
        <f t="array" ref="W36">_xlfn.XLOOKUP($A36,ACT[[№]:[№]],ACT[Total amount/ Общая стоимость (17*exchange rate/ обменный курс)
 USD],"",0,1)</f>
        <v>390.83</v>
      </c>
      <c r="X36" s="9" cm="1">
        <f t="array" ref="X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36" s="12">
        <f>VLOOKUP(Шаблон_Формулы[[#This Row],[24]],Курс_840[[Дата]:[Курс]],2,0)</f>
        <v>12089</v>
      </c>
      <c r="Z36" s="42">
        <f>IFERROR(Шаблон_Формулы[[#This Row],[23]]*Шаблон_Формулы[[#This Row],[25]],"")</f>
        <v>4724743.87</v>
      </c>
      <c r="AA36" s="13" t="str" cm="1">
        <f t="array" ref="AA36">ACT_number[№ исходящего акта]</f>
        <v>468 LCL</v>
      </c>
    </row>
    <row r="37" spans="1:27" s="8" customFormat="1" ht="12">
      <c r="A37" s="11">
        <v>33</v>
      </c>
      <c r="B37" s="8" t="str" cm="1">
        <f t="array" ref="B37">_xlfn.XLOOKUP($A37,ACT[[№]:[№]],ACT[Container No/
№ Контейнера],"",0,1)</f>
        <v>BMOU4661377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37" cm="1">
        <f t="array" ref="E37">_xlfn.XLOOKUP($A37,ACT[[№]:[№]],ACT[Date of Dispatch/ 
Дата отгрузки],"",0,1)</f>
        <v>45124</v>
      </c>
      <c r="F37" s="38" t="str" cm="1">
        <f t="array" ref="F37">_xlfn.XLOOKUP($A37,ACT[[№]:[№]],ACT[Supplier/ Поставщик],"",0,1)</f>
        <v>Erae AMS</v>
      </c>
      <c r="G37" s="38" t="str" cm="1">
        <f t="array" ref="G37">_xlfn.XLOOKUP($A37,ACT[[№]:[№]],ACT[Supplier Invoice No/                          № Инвойса Поставщика],"",0,1)</f>
        <v>DM237WO02(3)</v>
      </c>
      <c r="H37" s="39" cm="1">
        <f t="array" ref="H37">_xlfn.XLOOKUP($A37,ACT[[№]:[№]],ACT[CBM],"",0,1)</f>
        <v>25.890999999999998</v>
      </c>
      <c r="I37" s="39" cm="1">
        <f t="array" ref="I37">_xlfn.XLOOKUP($A37,ACT[[№]:[№]],ACT[Gross weight, kg/ Вес брутто, кг],"",0,1)</f>
        <v>4368</v>
      </c>
      <c r="J37" s="39" t="str" cm="1">
        <f t="array" ref="J37">_xlfn.XLOOKUP($A37,ACT[[№]:[№]],ACT[Delivery terms / Условия поставки],"",0,1)</f>
        <v>FCA</v>
      </c>
      <c r="K37" s="39" cm="1">
        <f t="array" ref="K37">_xlfn.XLOOKUP($A37,ACT[[№]:[№]],ACT[Container total CBM],"",0,1)</f>
        <v>63.65</v>
      </c>
      <c r="L37" s="40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392000</v>
      </c>
      <c r="M37" s="40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219814.59</v>
      </c>
      <c r="N37" s="40" cm="1">
        <f t="array" ref="N37">_xlfn.XLOOKUP($A37,ACT[[№]:[№]],ACT[Shoring, Banding, Sealing, Handling/ Крепление, Перевязка, Опечатование, Обработка
KRW],"",0,1)</f>
        <v>78832.298507462678</v>
      </c>
      <c r="O37" s="40" cm="1">
        <f t="array" ref="O37">_xlfn.XLOOKUP($A37,ACT[[№]:[№]],ACT[Documents Work/ Сбор за подготовку документов
KRW],"",0,1)</f>
        <v>20338.570306362923</v>
      </c>
      <c r="P37" s="40" cm="1">
        <f t="array" ref="P37">_xlfn.XLOOKUP($A37,ACT[[№]:[№]],ACT[THC/ Терминальная обработка
KRW],"",0,1)</f>
        <v>75415.418695993707</v>
      </c>
      <c r="Q37" s="40" cm="1">
        <f t="array" ref="Q37">_xlfn.XLOOKUP($A37,ACT[[№]:[№]],ACT[Wharfage/ Портовая пошлина
KRW],"",0,1)</f>
        <v>3701.6197957580512</v>
      </c>
      <c r="R37" s="40" cm="1">
        <f t="array" ref="R37">_xlfn.XLOOKUP($A37,ACT[[№]:[№]],ACT[TRUCKING CHARGE],"",0,1)</f>
        <v>0</v>
      </c>
      <c r="S37" s="40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114099.379418696</v>
      </c>
      <c r="T37" s="40" cm="1">
        <f t="array" ref="T37">_xlfn.XLOOKUP($A37,ACT[[№]:[№]],ACT[Special Wooden Shoring / Специальное деревянное крепление],"",0,1)</f>
        <v>0</v>
      </c>
      <c r="U37" s="9"/>
      <c r="V37" s="40" cm="1">
        <f t="array" ref="V37">_xlfn.XLOOKUP($A37,ACT[[№]:[№]],ACT[Total amount/ Общая стоимость KRW (10+11+12+13+14+15+16)],"",0,1)</f>
        <v>904201.87672427343</v>
      </c>
      <c r="W37" s="40" cm="1">
        <f t="array" ref="W37">_xlfn.XLOOKUP($A37,ACT[[№]:[№]],ACT[Total amount/ Общая стоимость (17*exchange rate/ обменный курс)
 USD],"",0,1)</f>
        <v>702.95</v>
      </c>
      <c r="X37" s="9" cm="1">
        <f t="array" ref="X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37" s="12">
        <f>VLOOKUP(Шаблон_Формулы[[#This Row],[24]],Курс_840[[Дата]:[Курс]],2,0)</f>
        <v>12089</v>
      </c>
      <c r="Z37" s="42">
        <f>IFERROR(Шаблон_Формулы[[#This Row],[23]]*Шаблон_Формулы[[#This Row],[25]],"")</f>
        <v>8497962.5500000007</v>
      </c>
      <c r="AA37" s="13" t="str" cm="1">
        <f t="array" ref="AA37">ACT_number[№ исходящего акта]</f>
        <v>468 LCL</v>
      </c>
    </row>
    <row r="38" spans="1:27" s="8" customFormat="1" ht="12">
      <c r="A38" s="11">
        <v>34</v>
      </c>
      <c r="B38" s="8" t="str" cm="1">
        <f t="array" ref="B38">_xlfn.XLOOKUP($A38,ACT[[№]:[№]],ACT[Container No/
№ Контейнера],"",0,1)</f>
        <v>BMOU4661377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37" cm="1">
        <f t="array" ref="E38">_xlfn.XLOOKUP($A38,ACT[[№]:[№]],ACT[Date of Dispatch/ 
Дата отгрузки],"",0,1)</f>
        <v>45124</v>
      </c>
      <c r="F38" s="38" t="str" cm="1">
        <f t="array" ref="F38">_xlfn.XLOOKUP($A38,ACT[[№]:[№]],ACT[Supplier/ Поставщик],"",0,1)</f>
        <v>Erae AMS</v>
      </c>
      <c r="G38" s="38" t="str" cm="1">
        <f t="array" ref="G38">_xlfn.XLOOKUP($A38,ACT[[№]:[№]],ACT[Supplier Invoice No/                          № Инвойса Поставщика],"",0,1)</f>
        <v>DM237WO02(4)</v>
      </c>
      <c r="H38" s="39" cm="1">
        <f t="array" ref="H38">_xlfn.XLOOKUP($A38,ACT[[№]:[№]],ACT[CBM],"",0,1)</f>
        <v>18.338999999999999</v>
      </c>
      <c r="I38" s="39" cm="1">
        <f t="array" ref="I38">_xlfn.XLOOKUP($A38,ACT[[№]:[№]],ACT[Gross weight, kg/ Вес брутто, кг],"",0,1)</f>
        <v>3094</v>
      </c>
      <c r="J38" s="39" t="str" cm="1">
        <f t="array" ref="J38">_xlfn.XLOOKUP($A38,ACT[[№]:[№]],ACT[Delivery terms / Условия поставки],"",0,1)</f>
        <v>FCA</v>
      </c>
      <c r="K38" s="39" cm="1">
        <f t="array" ref="K38">_xlfn.XLOOKUP($A38,ACT[[№]:[№]],ACT[Container total CBM],"",0,1)</f>
        <v>63.65</v>
      </c>
      <c r="L38" s="40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376000</v>
      </c>
      <c r="M38" s="40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155698.10999999999</v>
      </c>
      <c r="N38" s="40" cm="1">
        <f t="array" ref="N38">_xlfn.XLOOKUP($A38,ACT[[№]:[№]],ACT[Shoring, Banding, Sealing, Handling/ Крепление, Перевязка, Опечатование, Обработка
KRW],"",0,1)</f>
        <v>55838.149253731339</v>
      </c>
      <c r="O38" s="40" cm="1">
        <f t="array" ref="O38">_xlfn.XLOOKUP($A38,ACT[[№]:[№]],ACT[Documents Work/ Сбор за подготовку документов
KRW],"",0,1)</f>
        <v>14406.127258444618</v>
      </c>
      <c r="P38" s="40" cm="1">
        <f t="array" ref="P38">_xlfn.XLOOKUP($A38,ACT[[№]:[№]],ACT[THC/ Терминальная обработка
KRW],"",0,1)</f>
        <v>53417.91987431264</v>
      </c>
      <c r="Q38" s="40" cm="1">
        <f t="array" ref="Q38">_xlfn.XLOOKUP($A38,ACT[[№]:[№]],ACT[Wharfage/ Портовая пошлина
KRW],"",0,1)</f>
        <v>2621.9151610369204</v>
      </c>
      <c r="R38" s="40" cm="1">
        <f t="array" ref="R38">_xlfn.XLOOKUP($A38,ACT[[№]:[№]],ACT[TRUCKING CHARGE],"",0,1)</f>
        <v>0</v>
      </c>
      <c r="S38" s="40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80818.373919874299</v>
      </c>
      <c r="T38" s="40" cm="1">
        <f t="array" ref="T38">_xlfn.XLOOKUP($A38,ACT[[№]:[№]],ACT[Special Wooden Shoring / Специальное деревянное крепление],"",0,1)</f>
        <v>0</v>
      </c>
      <c r="U38" s="9"/>
      <c r="V38" s="40" cm="1">
        <f t="array" ref="V38">_xlfn.XLOOKUP($A38,ACT[[№]:[№]],ACT[Total amount/ Общая стоимость KRW (10+11+12+13+14+15+16)],"",0,1)</f>
        <v>738800.59546739981</v>
      </c>
      <c r="W38" s="40" cm="1">
        <f t="array" ref="W38">_xlfn.XLOOKUP($A38,ACT[[№]:[№]],ACT[Total amount/ Общая стоимость (17*exchange rate/ обменный курс)
 USD],"",0,1)</f>
        <v>574.36</v>
      </c>
      <c r="X38" s="9" cm="1">
        <f t="array" ref="X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38" s="12">
        <f>VLOOKUP(Шаблон_Формулы[[#This Row],[24]],Курс_840[[Дата]:[Курс]],2,0)</f>
        <v>12089</v>
      </c>
      <c r="Z38" s="42">
        <f>IFERROR(Шаблон_Формулы[[#This Row],[23]]*Шаблон_Формулы[[#This Row],[25]],"")</f>
        <v>6943438.04</v>
      </c>
      <c r="AA38" s="13" t="str" cm="1">
        <f t="array" ref="AA38">ACT_number[№ исходящего акта]</f>
        <v>468 LCL</v>
      </c>
    </row>
    <row r="39" spans="1:27" s="8" customFormat="1" ht="12">
      <c r="A39" s="11">
        <v>35</v>
      </c>
      <c r="B39" s="8" t="str" cm="1">
        <f t="array" ref="B39">_xlfn.XLOOKUP($A39,ACT[[№]:[№]],ACT[Container No/
№ Контейнера],"",0,1)</f>
        <v>BMOU4601887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37" cm="1">
        <f t="array" ref="E39">_xlfn.XLOOKUP($A39,ACT[[№]:[№]],ACT[Date of Dispatch/ 
Дата отгрузки],"",0,1)</f>
        <v>45124</v>
      </c>
      <c r="F39" s="38" t="str" cm="1">
        <f t="array" ref="F39">_xlfn.XLOOKUP($A39,ACT[[№]:[№]],ACT[Supplier/ Поставщик],"",0,1)</f>
        <v>Erae AMS</v>
      </c>
      <c r="G39" s="38" t="str" cm="1">
        <f t="array" ref="G39">_xlfn.XLOOKUP($A39,ACT[[№]:[№]],ACT[Supplier Invoice No/                          № Инвойса Поставщика],"",0,1)</f>
        <v>DM237WO02(5)</v>
      </c>
      <c r="H39" s="39" cm="1">
        <f t="array" ref="H39">_xlfn.XLOOKUP($A39,ACT[[№]:[№]],ACT[CBM],"",0,1)</f>
        <v>7.5519999999999996</v>
      </c>
      <c r="I39" s="39" cm="1">
        <f t="array" ref="I39">_xlfn.XLOOKUP($A39,ACT[[№]:[№]],ACT[Gross weight, kg/ Вес брутто, кг],"",0,1)</f>
        <v>1274</v>
      </c>
      <c r="J39" s="39" t="str" cm="1">
        <f t="array" ref="J39">_xlfn.XLOOKUP($A39,ACT[[№]:[№]],ACT[Delivery terms / Условия поставки],"",0,1)</f>
        <v>FCA</v>
      </c>
      <c r="K39" s="39" cm="1">
        <f t="array" ref="K39">_xlfn.XLOOKUP($A39,ACT[[№]:[№]],ACT[Container total CBM],"",0,1)</f>
        <v>64.295999999999992</v>
      </c>
      <c r="L39" s="40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332000</v>
      </c>
      <c r="M39" s="40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64116.480000000003</v>
      </c>
      <c r="N39" s="40" cm="1">
        <f t="array" ref="N39">_xlfn.XLOOKUP($A39,ACT[[№]:[№]],ACT[Shoring, Banding, Sealing, Handling/ Крепление, Перевязка, Опечатование, Обработка
KRW],"",0,1)</f>
        <v>22763.120567375889</v>
      </c>
      <c r="O39" s="40" cm="1">
        <f t="array" ref="O39">_xlfn.XLOOKUP($A39,ACT[[№]:[№]],ACT[Documents Work/ Сбор за подготовку документов
KRW],"",0,1)</f>
        <v>5872.8381236779896</v>
      </c>
      <c r="P39" s="40" cm="1">
        <f t="array" ref="P39">_xlfn.XLOOKUP($A39,ACT[[№]:[№]],ACT[THC/ Терминальная обработка
KRW],"",0,1)</f>
        <v>21776.483762597985</v>
      </c>
      <c r="Q39" s="40" cm="1">
        <f t="array" ref="Q39">_xlfn.XLOOKUP($A39,ACT[[№]:[№]],ACT[Wharfage/ Портовая пошлина
KRW],"",0,1)</f>
        <v>1068.8565385093941</v>
      </c>
      <c r="R39" s="40" cm="1">
        <f t="array" ref="R39">_xlfn.XLOOKUP($A39,ACT[[№]:[№]],ACT[TRUCKING CHARGE],"",0,1)</f>
        <v>0</v>
      </c>
      <c r="S39" s="40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32946.621873833523</v>
      </c>
      <c r="T39" s="40" cm="1">
        <f t="array" ref="T39">_xlfn.XLOOKUP($A39,ACT[[№]:[№]],ACT[Special Wooden Shoring / Специальное деревянное крепление],"",0,1)</f>
        <v>0</v>
      </c>
      <c r="U39" s="9"/>
      <c r="V39" s="40" cm="1">
        <f t="array" ref="V39">_xlfn.XLOOKUP($A39,ACT[[№]:[№]],ACT[Total amount/ Общая стоимость KRW (10+11+12+13+14+15+16)],"",0,1)</f>
        <v>480544.4008659948</v>
      </c>
      <c r="W39" s="40" cm="1">
        <f t="array" ref="W39">_xlfn.XLOOKUP($A39,ACT[[№]:[№]],ACT[Total amount/ Общая стоимость (17*exchange rate/ обменный курс)
 USD],"",0,1)</f>
        <v>373.59</v>
      </c>
      <c r="X39" s="9" cm="1">
        <f t="array" ref="X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39" s="12">
        <f>VLOOKUP(Шаблон_Формулы[[#This Row],[24]],Курс_840[[Дата]:[Курс]],2,0)</f>
        <v>12089</v>
      </c>
      <c r="Z39" s="42">
        <f>IFERROR(Шаблон_Формулы[[#This Row],[23]]*Шаблон_Формулы[[#This Row],[25]],"")</f>
        <v>4516329.51</v>
      </c>
      <c r="AA39" s="13" t="str" cm="1">
        <f t="array" ref="AA39">ACT_number[№ исходящего акта]</f>
        <v>468 LCL</v>
      </c>
    </row>
    <row r="40" spans="1:27" s="8" customFormat="1" ht="12">
      <c r="A40" s="11">
        <v>36</v>
      </c>
      <c r="B40" s="8" t="str" cm="1">
        <f t="array" ref="B40">_xlfn.XLOOKUP($A40,ACT[[№]:[№]],ACT[Container No/
№ Контейнера],"",0,1)</f>
        <v>BMOU4601887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37" cm="1">
        <f t="array" ref="E40">_xlfn.XLOOKUP($A40,ACT[[№]:[№]],ACT[Date of Dispatch/ 
Дата отгрузки],"",0,1)</f>
        <v>45124</v>
      </c>
      <c r="F40" s="38" t="str" cm="1">
        <f t="array" ref="F40">_xlfn.XLOOKUP($A40,ACT[[№]:[№]],ACT[Supplier/ Поставщик],"",0,1)</f>
        <v>Erae AMS</v>
      </c>
      <c r="G40" s="38" t="str" cm="1">
        <f t="array" ref="G40">_xlfn.XLOOKUP($A40,ACT[[№]:[№]],ACT[Supplier Invoice No/                          № Инвойса Поставщика],"",0,1)</f>
        <v>DM237WO02(6)</v>
      </c>
      <c r="H40" s="39" cm="1">
        <f t="array" ref="H40">_xlfn.XLOOKUP($A40,ACT[[№]:[№]],ACT[CBM],"",0,1)</f>
        <v>56.744</v>
      </c>
      <c r="I40" s="39" cm="1">
        <f t="array" ref="I40">_xlfn.XLOOKUP($A40,ACT[[№]:[№]],ACT[Gross weight, kg/ Вес брутто, кг],"",0,1)</f>
        <v>9696.5</v>
      </c>
      <c r="J40" s="39" t="str" cm="1">
        <f t="array" ref="J40">_xlfn.XLOOKUP($A40,ACT[[№]:[№]],ACT[Delivery terms / Условия поставки],"",0,1)</f>
        <v>FCA</v>
      </c>
      <c r="K40" s="39" cm="1">
        <f t="array" ref="K40">_xlfn.XLOOKUP($A40,ACT[[№]:[№]],ACT[Container total CBM],"",0,1)</f>
        <v>64.295999999999992</v>
      </c>
      <c r="L40" s="40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784000</v>
      </c>
      <c r="M40" s="40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481756.56</v>
      </c>
      <c r="N40" s="40" cm="1">
        <f t="array" ref="N40">_xlfn.XLOOKUP($A40,ACT[[№]:[№]],ACT[Shoring, Banding, Sealing, Handling/ Крепление, Перевязка, Опечатование, Обработка
KRW],"",0,1)</f>
        <v>171036.87943262415</v>
      </c>
      <c r="O40" s="40" cm="1">
        <f t="array" ref="O40">_xlfn.XLOOKUP($A40,ACT[[№]:[№]],ACT[Documents Work/ Сбор за подготовку документов
KRW],"",0,1)</f>
        <v>44127.161876322018</v>
      </c>
      <c r="P40" s="40" cm="1">
        <f t="array" ref="P40">_xlfn.XLOOKUP($A40,ACT[[№]:[№]],ACT[THC/ Терминальная обработка
KRW],"",0,1)</f>
        <v>163623.51623740204</v>
      </c>
      <c r="Q40" s="40" cm="1">
        <f t="array" ref="Q40">_xlfn.XLOOKUP($A40,ACT[[№]:[№]],ACT[Wharfage/ Портовая пошлина
KRW],"",0,1)</f>
        <v>8031.1434614906084</v>
      </c>
      <c r="R40" s="40" cm="1">
        <f t="array" ref="R40">_xlfn.XLOOKUP($A40,ACT[[№]:[№]],ACT[TRUCKING CHARGE],"",0,1)</f>
        <v>0</v>
      </c>
      <c r="S40" s="40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247553.37812616653</v>
      </c>
      <c r="T40" s="40" cm="1">
        <f t="array" ref="T40">_xlfn.XLOOKUP($A40,ACT[[№]:[№]],ACT[Special Wooden Shoring / Специальное деревянное крепление],"",0,1)</f>
        <v>0</v>
      </c>
      <c r="U40" s="9"/>
      <c r="V40" s="40" cm="1">
        <f t="array" ref="V40">_xlfn.XLOOKUP($A40,ACT[[№]:[№]],ACT[Total amount/ Общая стоимость KRW (10+11+12+13+14+15+16)],"",0,1)</f>
        <v>1900128.6391340056</v>
      </c>
      <c r="W40" s="40" cm="1">
        <f t="array" ref="W40">_xlfn.XLOOKUP($A40,ACT[[№]:[№]],ACT[Total amount/ Общая стоимость (17*exchange rate/ обменный курс)
 USD],"",0,1)</f>
        <v>1477.21</v>
      </c>
      <c r="X40" s="9" cm="1">
        <f t="array" ref="X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40" s="12">
        <f>VLOOKUP(Шаблон_Формулы[[#This Row],[24]],Курс_840[[Дата]:[Курс]],2,0)</f>
        <v>12089</v>
      </c>
      <c r="Z40" s="42">
        <f>IFERROR(Шаблон_Формулы[[#This Row],[23]]*Шаблон_Формулы[[#This Row],[25]],"")</f>
        <v>17857991.690000001</v>
      </c>
      <c r="AA40" s="13" t="str" cm="1">
        <f t="array" ref="AA40">ACT_number[№ исходящего акта]</f>
        <v>468 LCL</v>
      </c>
    </row>
    <row r="41" spans="1:27" s="8" customFormat="1" ht="12">
      <c r="A41" s="11">
        <v>37</v>
      </c>
      <c r="B41" s="8" t="str" cm="1">
        <f t="array" ref="B41">_xlfn.XLOOKUP($A41,ACT[[№]:[№]],ACT[Container No/
№ Контейнера],"",0,1)</f>
        <v>FFAU4758115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37" cm="1">
        <f t="array" ref="E41">_xlfn.XLOOKUP($A41,ACT[[№]:[№]],ACT[Date of Dispatch/ 
Дата отгрузки],"",0,1)</f>
        <v>45124</v>
      </c>
      <c r="F41" s="38" t="str" cm="1">
        <f t="array" ref="F41">_xlfn.XLOOKUP($A41,ACT[[№]:[№]],ACT[Supplier/ Поставщик],"",0,1)</f>
        <v>Erae AMS</v>
      </c>
      <c r="G41" s="38" t="str" cm="1">
        <f t="array" ref="G41">_xlfn.XLOOKUP($A41,ACT[[№]:[№]],ACT[Supplier Invoice No/                          № Инвойса Поставщика],"",0,1)</f>
        <v>DM237WO02(7)</v>
      </c>
      <c r="H41" s="39" cm="1">
        <f t="array" ref="H41">_xlfn.XLOOKUP($A41,ACT[[№]:[№]],ACT[CBM],"",0,1)</f>
        <v>66.432000000000002</v>
      </c>
      <c r="I41" s="39" cm="1">
        <f t="array" ref="I41">_xlfn.XLOOKUP($A41,ACT[[№]:[№]],ACT[Gross weight, kg/ Вес брутто, кг],"",0,1)</f>
        <v>11352</v>
      </c>
      <c r="J41" s="39" t="str" cm="1">
        <f t="array" ref="J41">_xlfn.XLOOKUP($A41,ACT[[№]:[№]],ACT[Delivery terms / Условия поставки],"",0,1)</f>
        <v>FCA</v>
      </c>
      <c r="K41" s="39" cm="1">
        <f t="array" ref="K41">_xlfn.XLOOKUP($A41,ACT[[№]:[№]],ACT[Container total CBM],"",0,1)</f>
        <v>66.432000000000002</v>
      </c>
      <c r="L41" s="40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1016000</v>
      </c>
      <c r="M41" s="40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564007.68000000005</v>
      </c>
      <c r="N41" s="40" cm="1">
        <f t="array" ref="N41">_xlfn.XLOOKUP($A41,ACT[[№]:[№]],ACT[Shoring, Banding, Sealing, Handling/ Крепление, Перевязка, Опечатование, Обработка
KRW],"",0,1)</f>
        <v>193800</v>
      </c>
      <c r="O41" s="40" cm="1">
        <f t="array" ref="O41">_xlfn.XLOOKUP($A41,ACT[[№]:[№]],ACT[Documents Work/ Сбор за подготовку документов
KRW],"",0,1)</f>
        <v>50000</v>
      </c>
      <c r="P41" s="40" cm="1">
        <f t="array" ref="P41">_xlfn.XLOOKUP($A41,ACT[[№]:[№]],ACT[THC/ Терминальная обработка
KRW],"",0,1)</f>
        <v>185400</v>
      </c>
      <c r="Q41" s="40" cm="1">
        <f t="array" ref="Q41">_xlfn.XLOOKUP($A41,ACT[[№]:[№]],ACT[Wharfage/ Портовая пошлина
KRW],"",0,1)</f>
        <v>9100</v>
      </c>
      <c r="R41" s="40" cm="1">
        <f t="array" ref="R41">_xlfn.XLOOKUP($A41,ACT[[№]:[№]],ACT[TRUCKING CHARGE],"",0,1)</f>
        <v>0</v>
      </c>
      <c r="S41" s="40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1" s="40" cm="1">
        <f t="array" ref="T41">_xlfn.XLOOKUP($A41,ACT[[№]:[№]],ACT[Special Wooden Shoring / Специальное деревянное крепление],"",0,1)</f>
        <v>0</v>
      </c>
      <c r="U41" s="9"/>
      <c r="V41" s="40" cm="1">
        <f t="array" ref="V41">_xlfn.XLOOKUP($A41,ACT[[№]:[№]],ACT[Total amount/ Общая стоимость KRW (10+11+12+13+14+15+16)],"",0,1)</f>
        <v>2298807.6800000002</v>
      </c>
      <c r="W41" s="40" cm="1">
        <f t="array" ref="W41">_xlfn.XLOOKUP($A41,ACT[[№]:[№]],ACT[Total amount/ Общая стоимость (17*exchange rate/ обменный курс)
 USD],"",0,1)</f>
        <v>1787.15</v>
      </c>
      <c r="X41" s="9" cm="1">
        <f t="array" ref="X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41" s="12">
        <f>VLOOKUP(Шаблон_Формулы[[#This Row],[24]],Курс_840[[Дата]:[Курс]],2,0)</f>
        <v>12089</v>
      </c>
      <c r="Z41" s="42">
        <f>IFERROR(Шаблон_Формулы[[#This Row],[23]]*Шаблон_Формулы[[#This Row],[25]],"")</f>
        <v>21604856.350000001</v>
      </c>
      <c r="AA41" s="13" t="str" cm="1">
        <f t="array" ref="AA41">ACT_number[№ исходящего акта]</f>
        <v>468 LCL</v>
      </c>
    </row>
    <row r="42" spans="1:27" s="8" customFormat="1" ht="12">
      <c r="A42" s="11">
        <v>38</v>
      </c>
      <c r="B42" s="8" t="str" cm="1">
        <f t="array" ref="B42">_xlfn.XLOOKUP($A42,ACT[[№]:[№]],ACT[Container No/
№ Контейнера],"",0,1)</f>
        <v>BMOU4145766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37" cm="1">
        <f t="array" ref="E42">_xlfn.XLOOKUP($A42,ACT[[№]:[№]],ACT[Date of Dispatch/ 
Дата отгрузки],"",0,1)</f>
        <v>45124</v>
      </c>
      <c r="F42" s="38" t="str" cm="1">
        <f t="array" ref="F42">_xlfn.XLOOKUP($A42,ACT[[№]:[№]],ACT[Supplier/ Поставщик],"",0,1)</f>
        <v>Cosmo Eng</v>
      </c>
      <c r="G42" s="38" t="str" cm="1">
        <f t="array" ref="G42">_xlfn.XLOOKUP($A42,ACT[[№]:[№]],ACT[Supplier Invoice No/                          № Инвойса Поставщика],"",0,1)</f>
        <v>GUZ230702(1)</v>
      </c>
      <c r="H42" s="39" cm="1">
        <f t="array" ref="H42">_xlfn.XLOOKUP($A42,ACT[[№]:[№]],ACT[CBM],"",0,1)</f>
        <v>54.673999999999999</v>
      </c>
      <c r="I42" s="39" cm="1">
        <f t="array" ref="I42">_xlfn.XLOOKUP($A42,ACT[[№]:[№]],ACT[Gross weight, kg/ Вес брутто, кг],"",0,1)</f>
        <v>3815</v>
      </c>
      <c r="J42" s="39" t="str" cm="1">
        <f t="array" ref="J42">_xlfn.XLOOKUP($A42,ACT[[№]:[№]],ACT[Delivery terms / Условия поставки],"",0,1)</f>
        <v>FCA</v>
      </c>
      <c r="K42" s="39" cm="1">
        <f t="array" ref="K42">_xlfn.XLOOKUP($A42,ACT[[№]:[№]],ACT[Container total CBM],"",0,1)</f>
        <v>54.673999999999999</v>
      </c>
      <c r="L42" s="40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1504000</v>
      </c>
      <c r="M42" s="40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464182.26</v>
      </c>
      <c r="N42" s="40" cm="1">
        <f t="array" ref="N42">_xlfn.XLOOKUP($A42,ACT[[№]:[№]],ACT[Shoring, Banding, Sealing, Handling/ Крепление, Перевязка, Опечатование, Обработка
KRW],"",0,1)</f>
        <v>193800</v>
      </c>
      <c r="O42" s="40" cm="1">
        <f t="array" ref="O42">_xlfn.XLOOKUP($A42,ACT[[№]:[№]],ACT[Documents Work/ Сбор за подготовку документов
KRW],"",0,1)</f>
        <v>50000</v>
      </c>
      <c r="P42" s="40" cm="1">
        <f t="array" ref="P42">_xlfn.XLOOKUP($A42,ACT[[№]:[№]],ACT[THC/ Терминальная обработка
KRW],"",0,1)</f>
        <v>185400</v>
      </c>
      <c r="Q42" s="40" cm="1">
        <f t="array" ref="Q42">_xlfn.XLOOKUP($A42,ACT[[№]:[№]],ACT[Wharfage/ Портовая пошлина
KRW],"",0,1)</f>
        <v>9100</v>
      </c>
      <c r="R42" s="40" cm="1">
        <f t="array" ref="R42">_xlfn.XLOOKUP($A42,ACT[[№]:[№]],ACT[TRUCKING CHARGE],"",0,1)</f>
        <v>0</v>
      </c>
      <c r="S42" s="40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2" s="40" cm="1">
        <f t="array" ref="T42">_xlfn.XLOOKUP($A42,ACT[[№]:[№]],ACT[Special Wooden Shoring / Специальное деревянное крепление],"",0,1)</f>
        <v>0</v>
      </c>
      <c r="U42" s="9"/>
      <c r="V42" s="40" cm="1">
        <f t="array" ref="V42">_xlfn.XLOOKUP($A42,ACT[[№]:[№]],ACT[Total amount/ Общая стоимость KRW (10+11+12+13+14+15+16)],"",0,1)</f>
        <v>2686982.26</v>
      </c>
      <c r="W42" s="40" cm="1">
        <f t="array" ref="W42">_xlfn.XLOOKUP($A42,ACT[[№]:[№]],ACT[Total amount/ Общая стоимость (17*exchange rate/ обменный курс)
 USD],"",0,1)</f>
        <v>2088.92</v>
      </c>
      <c r="X42" s="9" cm="1">
        <f t="array" ref="X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42" s="12">
        <f>VLOOKUP(Шаблон_Формулы[[#This Row],[24]],Курс_840[[Дата]:[Курс]],2,0)</f>
        <v>12089</v>
      </c>
      <c r="Z42" s="42">
        <f>IFERROR(Шаблон_Формулы[[#This Row],[23]]*Шаблон_Формулы[[#This Row],[25]],"")</f>
        <v>25252953.880000003</v>
      </c>
      <c r="AA42" s="13" t="str" cm="1">
        <f t="array" ref="AA42">ACT_number[№ исходящего акта]</f>
        <v>468 LCL</v>
      </c>
    </row>
    <row r="43" spans="1:27" s="8" customFormat="1" ht="12">
      <c r="A43" s="11">
        <v>39</v>
      </c>
      <c r="B43" s="8" t="str" cm="1">
        <f t="array" ref="B43">_xlfn.XLOOKUP($A43,ACT[[№]:[№]],ACT[Container No/
№ Контейнера],"",0,1)</f>
        <v>MOTU0795283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37" cm="1">
        <f t="array" ref="E43">_xlfn.XLOOKUP($A43,ACT[[№]:[№]],ACT[Date of Dispatch/ 
Дата отгрузки],"",0,1)</f>
        <v>45124</v>
      </c>
      <c r="F43" s="38" t="str" cm="1">
        <f t="array" ref="F43">_xlfn.XLOOKUP($A43,ACT[[№]:[№]],ACT[Supplier/ Поставщик],"",0,1)</f>
        <v>Hanyang Precision</v>
      </c>
      <c r="G43" s="38" t="str" cm="1">
        <f t="array" ref="G43">_xlfn.XLOOKUP($A43,ACT[[№]:[№]],ACT[Supplier Invoice No/                          № Инвойса Поставщика],"",0,1)</f>
        <v>HY230710U(1)</v>
      </c>
      <c r="H43" s="39" cm="1">
        <f t="array" ref="H43">_xlfn.XLOOKUP($A43,ACT[[№]:[№]],ACT[CBM],"",0,1)</f>
        <v>3.7370000000000001</v>
      </c>
      <c r="I43" s="39" cm="1">
        <f t="array" ref="I43">_xlfn.XLOOKUP($A43,ACT[[№]:[№]],ACT[Gross weight, kg/ Вес брутто, кг],"",0,1)</f>
        <v>1605</v>
      </c>
      <c r="J43" s="39" t="str" cm="1">
        <f t="array" ref="J43">_xlfn.XLOOKUP($A43,ACT[[№]:[№]],ACT[Delivery terms / Условия поставки],"",0,1)</f>
        <v>FCA</v>
      </c>
      <c r="K43" s="39" cm="1">
        <f t="array" ref="K43">_xlfn.XLOOKUP($A43,ACT[[№]:[№]],ACT[Container total CBM],"",0,1)</f>
        <v>58.664999999999999</v>
      </c>
      <c r="L43" s="40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478000</v>
      </c>
      <c r="M43" s="40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31727.13</v>
      </c>
      <c r="N43" s="40" cm="1">
        <f t="array" ref="N43">_xlfn.XLOOKUP($A43,ACT[[№]:[№]],ACT[Shoring, Banding, Sealing, Handling/ Крепление, Перевязка, Опечатование, Обработка
KRW],"",0,1)</f>
        <v>12345.190488366148</v>
      </c>
      <c r="O43" s="40" cm="1">
        <f t="array" ref="O43">_xlfn.XLOOKUP($A43,ACT[[№]:[№]],ACT[Documents Work/ Сбор за подготовку документов
KRW],"",0,1)</f>
        <v>3185.03366572914</v>
      </c>
      <c r="P43" s="40" cm="1">
        <f t="array" ref="P43">_xlfn.XLOOKUP($A43,ACT[[№]:[№]],ACT[THC/ Терминальная обработка
KRW],"",0,1)</f>
        <v>11810.104832523652</v>
      </c>
      <c r="Q43" s="40" cm="1">
        <f t="array" ref="Q43">_xlfn.XLOOKUP($A43,ACT[[№]:[№]],ACT[Wharfage/ Портовая пошлина
KRW],"",0,1)</f>
        <v>579.67612716270355</v>
      </c>
      <c r="R43" s="40" cm="1">
        <f t="array" ref="R43">_xlfn.XLOOKUP($A43,ACT[[№]:[№]],ACT[TRUCKING CHARGE],"",0,1)</f>
        <v>0</v>
      </c>
      <c r="S43" s="40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17868.038864740476</v>
      </c>
      <c r="T43" s="40" cm="1">
        <f t="array" ref="T43">_xlfn.XLOOKUP($A43,ACT[[№]:[№]],ACT[Special Wooden Shoring / Специальное деревянное крепление],"",0,1)</f>
        <v>0</v>
      </c>
      <c r="U43" s="9"/>
      <c r="V43" s="40" cm="1">
        <f t="array" ref="V43">_xlfn.XLOOKUP($A43,ACT[[№]:[№]],ACT[Total amount/ Общая стоимость KRW (10+11+12+13+14+15+16)],"",0,1)</f>
        <v>555515.17397852207</v>
      </c>
      <c r="W43" s="40" cm="1">
        <f t="array" ref="W43">_xlfn.XLOOKUP($A43,ACT[[№]:[№]],ACT[Total amount/ Общая стоимость (17*exchange rate/ обменный курс)
 USD],"",0,1)</f>
        <v>431.87</v>
      </c>
      <c r="X43" s="9" cm="1">
        <f t="array" ref="X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43" s="12">
        <f>VLOOKUP(Шаблон_Формулы[[#This Row],[24]],Курс_840[[Дата]:[Курс]],2,0)</f>
        <v>12089</v>
      </c>
      <c r="Z43" s="42">
        <f>IFERROR(Шаблон_Формулы[[#This Row],[23]]*Шаблон_Формулы[[#This Row],[25]],"")</f>
        <v>5220876.43</v>
      </c>
      <c r="AA43" s="13" t="str" cm="1">
        <f t="array" ref="AA43">ACT_number[№ исходящего акта]</f>
        <v>468 LCL</v>
      </c>
    </row>
    <row r="44" spans="1:27" s="8" customFormat="1" ht="12">
      <c r="A44" s="11">
        <v>40</v>
      </c>
      <c r="B44" s="8" t="str" cm="1">
        <f t="array" ref="B44">_xlfn.XLOOKUP($A44,ACT[[№]:[№]],ACT[Container No/
№ Контейнера],"",0,1)</f>
        <v>MOTU0795283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37" cm="1">
        <f t="array" ref="E44">_xlfn.XLOOKUP($A44,ACT[[№]:[№]],ACT[Date of Dispatch/ 
Дата отгрузки],"",0,1)</f>
        <v>45124</v>
      </c>
      <c r="F44" s="38" t="str" cm="1">
        <f t="array" ref="F44">_xlfn.XLOOKUP($A44,ACT[[№]:[№]],ACT[Supplier/ Поставщик],"",0,1)</f>
        <v>Cosmo Eng</v>
      </c>
      <c r="G44" s="38" t="str" cm="1">
        <f t="array" ref="G44">_xlfn.XLOOKUP($A44,ACT[[№]:[№]],ACT[Supplier Invoice No/                          № Инвойса Поставщика],"",0,1)</f>
        <v>GUZ230702(2)</v>
      </c>
      <c r="H44" s="39" cm="1">
        <f t="array" ref="H44">_xlfn.XLOOKUP($A44,ACT[[№]:[№]],ACT[CBM],"",0,1)</f>
        <v>13.667999999999999</v>
      </c>
      <c r="I44" s="39" cm="1">
        <f t="array" ref="I44">_xlfn.XLOOKUP($A44,ACT[[№]:[№]],ACT[Gross weight, kg/ Вес брутто, кг],"",0,1)</f>
        <v>954.2</v>
      </c>
      <c r="J44" s="39" t="str" cm="1">
        <f t="array" ref="J44">_xlfn.XLOOKUP($A44,ACT[[№]:[№]],ACT[Delivery terms / Условия поставки],"",0,1)</f>
        <v>FCA</v>
      </c>
      <c r="K44" s="39" cm="1">
        <f t="array" ref="K44">_xlfn.XLOOKUP($A44,ACT[[№]:[№]],ACT[Container total CBM],"",0,1)</f>
        <v>58.664999999999999</v>
      </c>
      <c r="L44" s="40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632500</v>
      </c>
      <c r="M44" s="40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116041.32</v>
      </c>
      <c r="N44" s="40" cm="1">
        <f t="array" ref="N44">_xlfn.XLOOKUP($A44,ACT[[№]:[№]],ACT[Shoring, Banding, Sealing, Handling/ Крепление, Перевязка, Опечатование, Обработка
KRW],"",0,1)</f>
        <v>45152.278189721299</v>
      </c>
      <c r="O44" s="40" cm="1">
        <f t="array" ref="O44">_xlfn.XLOOKUP($A44,ACT[[№]:[№]],ACT[Documents Work/ Сбор за подготовку документов
KRW],"",0,1)</f>
        <v>11649.19457939146</v>
      </c>
      <c r="P44" s="40" cm="1">
        <f t="array" ref="P44">_xlfn.XLOOKUP($A44,ACT[[№]:[№]],ACT[THC/ Терминальная обработка
KRW],"",0,1)</f>
        <v>43195.213500383536</v>
      </c>
      <c r="Q44" s="40" cm="1">
        <f t="array" ref="Q44">_xlfn.XLOOKUP($A44,ACT[[№]:[№]],ACT[Wharfage/ Портовая пошлина
KRW],"",0,1)</f>
        <v>2120.1534134492458</v>
      </c>
      <c r="R44" s="40" cm="1">
        <f t="array" ref="R44">_xlfn.XLOOKUP($A44,ACT[[№]:[№]],ACT[TRUCKING CHARGE],"",0,1)</f>
        <v>0</v>
      </c>
      <c r="S44" s="40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65351.981590386087</v>
      </c>
      <c r="T44" s="40" cm="1">
        <f t="array" ref="T44">_xlfn.XLOOKUP($A44,ACT[[№]:[№]],ACT[Special Wooden Shoring / Специальное деревянное крепление],"",0,1)</f>
        <v>0</v>
      </c>
      <c r="U44" s="9"/>
      <c r="V44" s="40" cm="1">
        <f t="array" ref="V44">_xlfn.XLOOKUP($A44,ACT[[№]:[№]],ACT[Total amount/ Общая стоимость KRW (10+11+12+13+14+15+16)],"",0,1)</f>
        <v>916010.14127333171</v>
      </c>
      <c r="W44" s="40" cm="1">
        <f t="array" ref="W44">_xlfn.XLOOKUP($A44,ACT[[№]:[№]],ACT[Total amount/ Общая стоимость (17*exchange rate/ обменный курс)
 USD],"",0,1)</f>
        <v>712.13</v>
      </c>
      <c r="X44" s="9" cm="1">
        <f t="array" ref="X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44" s="12">
        <f>VLOOKUP(Шаблон_Формулы[[#This Row],[24]],Курс_840[[Дата]:[Курс]],2,0)</f>
        <v>12089</v>
      </c>
      <c r="Z44" s="42">
        <f>IFERROR(Шаблон_Формулы[[#This Row],[23]]*Шаблон_Формулы[[#This Row],[25]],"")</f>
        <v>8608939.5700000003</v>
      </c>
      <c r="AA44" s="13" t="str" cm="1">
        <f t="array" ref="AA44">ACT_number[№ исходящего акта]</f>
        <v>468 LCL</v>
      </c>
    </row>
    <row r="45" spans="1:27" s="8" customFormat="1" ht="12">
      <c r="A45" s="11">
        <v>41</v>
      </c>
      <c r="B45" s="8" t="str" cm="1">
        <f t="array" ref="B45">_xlfn.XLOOKUP($A45,ACT[[№]:[№]],ACT[Container No/
№ Контейнера],"",0,1)</f>
        <v>MOTU0795283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37" cm="1">
        <f t="array" ref="E45">_xlfn.XLOOKUP($A45,ACT[[№]:[№]],ACT[Date of Dispatch/ 
Дата отгрузки],"",0,1)</f>
        <v>45124</v>
      </c>
      <c r="F45" s="38" t="str" cm="1">
        <f t="array" ref="F45">_xlfn.XLOOKUP($A45,ACT[[№]:[№]],ACT[Supplier/ Поставщик],"",0,1)</f>
        <v>Mando Wonju</v>
      </c>
      <c r="G45" s="38" t="str" cm="1">
        <f t="array" ref="G45">_xlfn.XLOOKUP($A45,ACT[[№]:[№]],ACT[Supplier Invoice No/                          № Инвойса Поставщика],"",0,1)</f>
        <v>CKWJ2307020</v>
      </c>
      <c r="H45" s="39" cm="1">
        <f t="array" ref="H45">_xlfn.XLOOKUP($A45,ACT[[№]:[№]],ACT[CBM],"",0,1)</f>
        <v>25.8</v>
      </c>
      <c r="I45" s="39" cm="1">
        <f t="array" ref="I45">_xlfn.XLOOKUP($A45,ACT[[№]:[№]],ACT[Gross weight, kg/ Вес брутто, кг],"",0,1)</f>
        <v>4738.5600000000004</v>
      </c>
      <c r="J45" s="39" t="str" cm="1">
        <f t="array" ref="J45">_xlfn.XLOOKUP($A45,ACT[[№]:[№]],ACT[Delivery terms / Условия поставки],"",0,1)</f>
        <v>FCA</v>
      </c>
      <c r="K45" s="39" cm="1">
        <f t="array" ref="K45">_xlfn.XLOOKUP($A45,ACT[[№]:[№]],ACT[Container total CBM],"",0,1)</f>
        <v>58.664999999999999</v>
      </c>
      <c r="L45" s="40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549000</v>
      </c>
      <c r="M45" s="40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219042</v>
      </c>
      <c r="N45" s="40" cm="1">
        <f t="array" ref="N45">_xlfn.XLOOKUP($A45,ACT[[№]:[№]],ACT[Shoring, Banding, Sealing, Handling/ Крепление, Перевязка, Опечатование, Обработка
KRW],"",0,1)</f>
        <v>85230.375862950663</v>
      </c>
      <c r="O45" s="40" cm="1">
        <f t="array" ref="O45">_xlfn.XLOOKUP($A45,ACT[[№]:[№]],ACT[Documents Work/ Сбор за подготовку документов
KRW],"",0,1)</f>
        <v>21989.261058552798</v>
      </c>
      <c r="P45" s="40" cm="1">
        <f t="array" ref="P45">_xlfn.XLOOKUP($A45,ACT[[№]:[№]],ACT[THC/ Терминальная обработка
KRW],"",0,1)</f>
        <v>81536.180005113769</v>
      </c>
      <c r="Q45" s="40" cm="1">
        <f t="array" ref="Q45">_xlfn.XLOOKUP($A45,ACT[[№]:[№]],ACT[Wharfage/ Портовая пошлина
KRW],"",0,1)</f>
        <v>4002.0455126566094</v>
      </c>
      <c r="R45" s="40" cm="1">
        <f t="array" ref="R45">_xlfn.XLOOKUP($A45,ACT[[№]:[№]],ACT[TRUCKING CHARGE],"",0,1)</f>
        <v>0</v>
      </c>
      <c r="S45" s="40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123359.7545384812</v>
      </c>
      <c r="T45" s="40" cm="1">
        <f t="array" ref="T45">_xlfn.XLOOKUP($A45,ACT[[№]:[№]],ACT[Special Wooden Shoring / Специальное деревянное крепление],"",0,1)</f>
        <v>0</v>
      </c>
      <c r="U45" s="9"/>
      <c r="V45" s="40" cm="1">
        <f t="array" ref="V45">_xlfn.XLOOKUP($A45,ACT[[№]:[№]],ACT[Total amount/ Общая стоимость KRW (10+11+12+13+14+15+16)],"",0,1)</f>
        <v>1084159.616977755</v>
      </c>
      <c r="W45" s="40" cm="1">
        <f t="array" ref="W45">_xlfn.XLOOKUP($A45,ACT[[№]:[№]],ACT[Total amount/ Общая стоимость (17*exchange rate/ обменный курс)
 USD],"",0,1)</f>
        <v>842.85</v>
      </c>
      <c r="X45" s="9" cm="1">
        <f t="array" ref="X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45" s="12">
        <f>VLOOKUP(Шаблон_Формулы[[#This Row],[24]],Курс_840[[Дата]:[Курс]],2,0)</f>
        <v>12089</v>
      </c>
      <c r="Z45" s="42">
        <f>IFERROR(Шаблон_Формулы[[#This Row],[23]]*Шаблон_Формулы[[#This Row],[25]],"")</f>
        <v>10189213.65</v>
      </c>
      <c r="AA45" s="13" t="str" cm="1">
        <f t="array" ref="AA45">ACT_number[№ исходящего акта]</f>
        <v>468 LCL</v>
      </c>
    </row>
    <row r="46" spans="1:27" s="8" customFormat="1" ht="12">
      <c r="A46" s="11">
        <v>42</v>
      </c>
      <c r="B46" s="8" t="str" cm="1">
        <f t="array" ref="B46">_xlfn.XLOOKUP($A46,ACT[[№]:[№]],ACT[Container No/
№ Контейнера],"",0,1)</f>
        <v>MOTU0795283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37" cm="1">
        <f t="array" ref="E46">_xlfn.XLOOKUP($A46,ACT[[№]:[№]],ACT[Date of Dispatch/ 
Дата отгрузки],"",0,1)</f>
        <v>45124</v>
      </c>
      <c r="F46" s="38" t="str" cm="1">
        <f t="array" ref="F46">_xlfn.XLOOKUP($A46,ACT[[№]:[№]],ACT[Supplier/ Поставщик],"",0,1)</f>
        <v>DMC</v>
      </c>
      <c r="G46" s="38" t="str" cm="1">
        <f t="array" ref="G46">_xlfn.XLOOKUP($A46,ACT[[№]:[№]],ACT[Supplier Invoice No/                          № Инвойса Поставщика],"",0,1)</f>
        <v>GMUZ23-017</v>
      </c>
      <c r="H46" s="39" cm="1">
        <f t="array" ref="H46">_xlfn.XLOOKUP($A46,ACT[[№]:[№]],ACT[CBM],"",0,1)</f>
        <v>15.004</v>
      </c>
      <c r="I46" s="39" cm="1">
        <f t="array" ref="I46">_xlfn.XLOOKUP($A46,ACT[[№]:[№]],ACT[Gross weight, kg/ Вес брутто, кг],"",0,1)</f>
        <v>2040</v>
      </c>
      <c r="J46" s="39" t="str" cm="1">
        <f t="array" ref="J46">_xlfn.XLOOKUP($A46,ACT[[№]:[№]],ACT[Delivery terms / Условия поставки],"",0,1)</f>
        <v>FCA</v>
      </c>
      <c r="K46" s="39" cm="1">
        <f t="array" ref="K46">_xlfn.XLOOKUP($A46,ACT[[№]:[№]],ACT[Container total CBM],"",0,1)</f>
        <v>58.664999999999999</v>
      </c>
      <c r="L46" s="40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289000</v>
      </c>
      <c r="M46" s="40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127383.96</v>
      </c>
      <c r="N46" s="40" cm="1">
        <f t="array" ref="N46">_xlfn.XLOOKUP($A46,ACT[[№]:[№]],ACT[Shoring, Banding, Sealing, Handling/ Крепление, Перевязка, Опечатование, Обработка
KRW],"",0,1)</f>
        <v>49565.75811812836</v>
      </c>
      <c r="O46" s="40" cm="1">
        <f t="array" ref="O46">_xlfn.XLOOKUP($A46,ACT[[№]:[№]],ACT[Documents Work/ Сбор за подготовку документов
KRW],"",0,1)</f>
        <v>12787.863291570784</v>
      </c>
      <c r="P46" s="40" cm="1">
        <f t="array" ref="P46">_xlfn.XLOOKUP($A46,ACT[[№]:[№]],ACT[THC/ Терминальная обработка
KRW],"",0,1)</f>
        <v>47417.397085144461</v>
      </c>
      <c r="Q46" s="40" cm="1">
        <f t="array" ref="Q46">_xlfn.XLOOKUP($A46,ACT[[№]:[№]],ACT[Wharfage/ Портовая пошлина
KRW],"",0,1)</f>
        <v>2327.3911190658828</v>
      </c>
      <c r="R46" s="40" cm="1">
        <f t="array" ref="R46">_xlfn.XLOOKUP($A46,ACT[[№]:[№]],ACT[TRUCKING CHARGE],"",0,1)</f>
        <v>0</v>
      </c>
      <c r="S46" s="40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71739.913065712099</v>
      </c>
      <c r="T46" s="40" cm="1">
        <f t="array" ref="T46">_xlfn.XLOOKUP($A46,ACT[[№]:[№]],ACT[Special Wooden Shoring / Специальное деревянное крепление],"",0,1)</f>
        <v>0</v>
      </c>
      <c r="U46" s="9"/>
      <c r="V46" s="40" cm="1">
        <f t="array" ref="V46">_xlfn.XLOOKUP($A46,ACT[[№]:[№]],ACT[Total amount/ Общая стоимость KRW (10+11+12+13+14+15+16)],"",0,1)</f>
        <v>600222.2826796216</v>
      </c>
      <c r="W46" s="40" cm="1">
        <f t="array" ref="W46">_xlfn.XLOOKUP($A46,ACT[[№]:[№]],ACT[Total amount/ Общая стоимость (17*exchange rate/ обменный курс)
 USD],"",0,1)</f>
        <v>466.63</v>
      </c>
      <c r="X46" s="9" cm="1">
        <f t="array" ref="X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46" s="12">
        <f>VLOOKUP(Шаблон_Формулы[[#This Row],[24]],Курс_840[[Дата]:[Курс]],2,0)</f>
        <v>12089</v>
      </c>
      <c r="Z46" s="42">
        <f>IFERROR(Шаблон_Формулы[[#This Row],[23]]*Шаблон_Формулы[[#This Row],[25]],"")</f>
        <v>5641090.0700000003</v>
      </c>
      <c r="AA46" s="13" t="str" cm="1">
        <f t="array" ref="AA46">ACT_number[№ исходящего акта]</f>
        <v>468 LCL</v>
      </c>
    </row>
    <row r="47" spans="1:27" s="8" customFormat="1" ht="12">
      <c r="A47" s="11">
        <v>43</v>
      </c>
      <c r="B47" s="8" t="str" cm="1">
        <f t="array" ref="B47">_xlfn.XLOOKUP($A47,ACT[[№]:[№]],ACT[Container No/
№ Контейнера],"",0,1)</f>
        <v>MOTU0795283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37" cm="1">
        <f t="array" ref="E47">_xlfn.XLOOKUP($A47,ACT[[№]:[№]],ACT[Date of Dispatch/ 
Дата отгрузки],"",0,1)</f>
        <v>45124</v>
      </c>
      <c r="F47" s="38" t="str" cm="1">
        <f t="array" ref="F47">_xlfn.XLOOKUP($A47,ACT[[№]:[№]],ACT[Supplier/ Поставщик],"",0,1)</f>
        <v>ALPS</v>
      </c>
      <c r="G47" s="38" t="str" cm="1">
        <f t="array" ref="G47">_xlfn.XLOOKUP($A47,ACT[[№]:[№]],ACT[Supplier Invoice No/                          № Инвойса Поставщика],"",0,1)</f>
        <v>61960098</v>
      </c>
      <c r="H47" s="39" cm="1">
        <f t="array" ref="H47">_xlfn.XLOOKUP($A47,ACT[[№]:[№]],ACT[CBM],"",0,1)</f>
        <v>0.45600000000000002</v>
      </c>
      <c r="I47" s="39" cm="1">
        <f t="array" ref="I47">_xlfn.XLOOKUP($A47,ACT[[№]:[№]],ACT[Gross weight, kg/ Вес брутто, кг],"",0,1)</f>
        <v>85</v>
      </c>
      <c r="J47" s="39" t="str" cm="1">
        <f t="array" ref="J47">_xlfn.XLOOKUP($A47,ACT[[№]:[№]],ACT[Delivery terms / Условия поставки],"",0,1)</f>
        <v>FCA</v>
      </c>
      <c r="K47" s="39" cm="1">
        <f t="array" ref="K47">_xlfn.XLOOKUP($A47,ACT[[№]:[№]],ACT[Container total CBM],"",0,1)</f>
        <v>58.664999999999999</v>
      </c>
      <c r="L47" s="40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265000</v>
      </c>
      <c r="M47" s="40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3871.44</v>
      </c>
      <c r="N47" s="40" cm="1">
        <f t="array" ref="N47">_xlfn.XLOOKUP($A47,ACT[[№]:[№]],ACT[Shoring, Banding, Sealing, Handling/ Крепление, Перевязка, Опечатование, Обработка
KRW],"",0,1)</f>
        <v>1506.3973408335469</v>
      </c>
      <c r="O47" s="40" cm="1">
        <f t="array" ref="O47">_xlfn.XLOOKUP($A47,ACT[[№]:[№]],ACT[Documents Work/ Сбор за подготовку документов
KRW],"",0,1)</f>
        <v>388.64740475581698</v>
      </c>
      <c r="P47" s="40" cm="1">
        <f t="array" ref="P47">_xlfn.XLOOKUP($A47,ACT[[№]:[№]],ACT[THC/ Терминальная обработка
KRW],"",0,1)</f>
        <v>1441.1045768345691</v>
      </c>
      <c r="Q47" s="40" cm="1">
        <f t="array" ref="Q47">_xlfn.XLOOKUP($A47,ACT[[№]:[№]],ACT[Wharfage/ Портовая пошлина
KRW],"",0,1)</f>
        <v>70.733827665558692</v>
      </c>
      <c r="R47" s="40" cm="1">
        <f t="array" ref="R47">_xlfn.XLOOKUP($A47,ACT[[№]:[№]],ACT[TRUCKING CHARGE],"",0,1)</f>
        <v>0</v>
      </c>
      <c r="S47" s="40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2180.3119406801334</v>
      </c>
      <c r="T47" s="40" cm="1">
        <f t="array" ref="T47">_xlfn.XLOOKUP($A47,ACT[[№]:[№]],ACT[Special Wooden Shoring / Специальное деревянное крепление],"",0,1)</f>
        <v>0</v>
      </c>
      <c r="U47" s="9"/>
      <c r="V47" s="40" cm="1">
        <f t="array" ref="V47">_xlfn.XLOOKUP($A47,ACT[[№]:[№]],ACT[Total amount/ Общая стоимость KRW (10+11+12+13+14+15+16)],"",0,1)</f>
        <v>274458.63509076968</v>
      </c>
      <c r="W47" s="40" cm="1">
        <f t="array" ref="W47">_xlfn.XLOOKUP($A47,ACT[[№]:[№]],ACT[Total amount/ Общая стоимость (17*exchange rate/ обменный курс)
 USD],"",0,1)</f>
        <v>213.37</v>
      </c>
      <c r="X47" s="9" cm="1">
        <f t="array" ref="X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47" s="12">
        <f>VLOOKUP(Шаблон_Формулы[[#This Row],[24]],Курс_840[[Дата]:[Курс]],2,0)</f>
        <v>12089</v>
      </c>
      <c r="Z47" s="42">
        <f>IFERROR(Шаблон_Формулы[[#This Row],[23]]*Шаблон_Формулы[[#This Row],[25]],"")</f>
        <v>2579429.9300000002</v>
      </c>
      <c r="AA47" s="13" t="str" cm="1">
        <f t="array" ref="AA47">ACT_number[№ исходящего акта]</f>
        <v>468 LCL</v>
      </c>
    </row>
    <row r="48" spans="1:27" s="8" customFormat="1" ht="12">
      <c r="A48" s="11">
        <v>44</v>
      </c>
      <c r="B48" s="8" t="str" cm="1">
        <f t="array" ref="B48">_xlfn.XLOOKUP($A48,ACT[[№]:[№]],ACT[Container No/
№ Контейнера],"",0,1)</f>
        <v>BMOU4148894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37" cm="1">
        <f t="array" ref="E48">_xlfn.XLOOKUP($A48,ACT[[№]:[№]],ACT[Date of Dispatch/ 
Дата отгрузки],"",0,1)</f>
        <v>45124</v>
      </c>
      <c r="F48" s="38" t="str" cm="1">
        <f t="array" ref="F48">_xlfn.XLOOKUP($A48,ACT[[№]:[№]],ACT[Supplier/ Поставщик],"",0,1)</f>
        <v>Hanyang Precision</v>
      </c>
      <c r="G48" s="38" t="str" cm="1">
        <f t="array" ref="G48">_xlfn.XLOOKUP($A48,ACT[[№]:[№]],ACT[Supplier Invoice No/                          № Инвойса Поставщика],"",0,1)</f>
        <v>HY230710U(2)</v>
      </c>
      <c r="H48" s="39" cm="1">
        <f t="array" ref="H48">_xlfn.XLOOKUP($A48,ACT[[№]:[№]],ACT[CBM],"",0,1)</f>
        <v>20.183</v>
      </c>
      <c r="I48" s="39" cm="1">
        <f t="array" ref="I48">_xlfn.XLOOKUP($A48,ACT[[№]:[№]],ACT[Gross weight, kg/ Вес брутто, кг],"",0,1)</f>
        <v>8667</v>
      </c>
      <c r="J48" s="39" t="str" cm="1">
        <f t="array" ref="J48">_xlfn.XLOOKUP($A48,ACT[[№]:[№]],ACT[Delivery terms / Условия поставки],"",0,1)</f>
        <v>FCA</v>
      </c>
      <c r="K48" s="39" cm="1">
        <f t="array" ref="K48">_xlfn.XLOOKUP($A48,ACT[[№]:[№]],ACT[Container total CBM],"",0,1)</f>
        <v>66.283999999999992</v>
      </c>
      <c r="L48" s="40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752000</v>
      </c>
      <c r="M48" s="40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171353.67</v>
      </c>
      <c r="N48" s="40" cm="1">
        <f t="array" ref="N48">_xlfn.XLOOKUP($A48,ACT[[№]:[№]],ACT[Shoring, Banding, Sealing, Handling/ Крепление, Перевязка, Опечатование, Обработка
KRW],"",0,1)</f>
        <v>59010.702431959457</v>
      </c>
      <c r="O48" s="40" cm="1">
        <f t="array" ref="O48">_xlfn.XLOOKUP($A48,ACT[[№]:[№]],ACT[Documents Work/ Сбор за подготовку документов
KRW],"",0,1)</f>
        <v>15224.639430330097</v>
      </c>
      <c r="P48" s="40" cm="1">
        <f t="array" ref="P48">_xlfn.XLOOKUP($A48,ACT[[№]:[№]],ACT[THC/ Терминальная обработка
KRW],"",0,1)</f>
        <v>56452.963007664002</v>
      </c>
      <c r="Q48" s="40" cm="1">
        <f t="array" ref="Q48">_xlfn.XLOOKUP($A48,ACT[[№]:[№]],ACT[Wharfage/ Портовая пошлина
KRW],"",0,1)</f>
        <v>2770.8843763200775</v>
      </c>
      <c r="R48" s="40" cm="1">
        <f t="array" ref="R48">_xlfn.XLOOKUP($A48,ACT[[№]:[№]],ACT[TRUCKING CHARGE],"",0,1)</f>
        <v>0</v>
      </c>
      <c r="S48" s="40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85410.227204151844</v>
      </c>
      <c r="T48" s="40" cm="1">
        <f t="array" ref="T48">_xlfn.XLOOKUP($A48,ACT[[№]:[№]],ACT[Special Wooden Shoring / Специальное деревянное крепление],"",0,1)</f>
        <v>0</v>
      </c>
      <c r="U48" s="9"/>
      <c r="V48" s="40" cm="1">
        <f t="array" ref="V48">_xlfn.XLOOKUP($A48,ACT[[№]:[№]],ACT[Total amount/ Общая стоимость KRW (10+11+12+13+14+15+16)],"",0,1)</f>
        <v>1142223.0864504257</v>
      </c>
      <c r="W48" s="40" cm="1">
        <f t="array" ref="W48">_xlfn.XLOOKUP($A48,ACT[[№]:[№]],ACT[Total amount/ Общая стоимость (17*exchange rate/ обменный курс)
 USD],"",0,1)</f>
        <v>887.99</v>
      </c>
      <c r="X48" s="9" cm="1">
        <f t="array" ref="X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48" s="12">
        <f>VLOOKUP(Шаблон_Формулы[[#This Row],[24]],Курс_840[[Дата]:[Курс]],2,0)</f>
        <v>12089</v>
      </c>
      <c r="Z48" s="42">
        <f>IFERROR(Шаблон_Формулы[[#This Row],[23]]*Шаблон_Формулы[[#This Row],[25]],"")</f>
        <v>10734911.109999999</v>
      </c>
      <c r="AA48" s="13" t="str" cm="1">
        <f t="array" ref="AA48">ACT_number[№ исходящего акта]</f>
        <v>468 LCL</v>
      </c>
    </row>
    <row r="49" spans="1:27" s="8" customFormat="1" ht="12">
      <c r="A49" s="11">
        <v>45</v>
      </c>
      <c r="B49" s="8" t="str" cm="1">
        <f t="array" ref="B49">_xlfn.XLOOKUP($A49,ACT[[№]:[№]],ACT[Container No/
№ Контейнера],"",0,1)</f>
        <v>BMOU4148894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37" cm="1">
        <f t="array" ref="E49">_xlfn.XLOOKUP($A49,ACT[[№]:[№]],ACT[Date of Dispatch/ 
Дата отгрузки],"",0,1)</f>
        <v>45124</v>
      </c>
      <c r="F49" s="38" t="str" cm="1">
        <f t="array" ref="F49">_xlfn.XLOOKUP($A49,ACT[[№]:[№]],ACT[Supplier/ Поставщик],"",0,1)</f>
        <v>Humax Automotive</v>
      </c>
      <c r="G49" s="38" t="str" cm="1">
        <f t="array" ref="G49">_xlfn.XLOOKUP($A49,ACT[[№]:[№]],ACT[Supplier Invoice No/                          № Инвойса Поставщика],"",0,1)</f>
        <v>IN80473478</v>
      </c>
      <c r="H49" s="39" cm="1">
        <f t="array" ref="H49">_xlfn.XLOOKUP($A49,ACT[[№]:[№]],ACT[CBM],"",0,1)</f>
        <v>46.100999999999999</v>
      </c>
      <c r="I49" s="39" cm="1">
        <f t="array" ref="I49">_xlfn.XLOOKUP($A49,ACT[[№]:[№]],ACT[Gross weight, kg/ Вес брутто, кг],"",0,1)</f>
        <v>7084.8</v>
      </c>
      <c r="J49" s="39" t="str" cm="1">
        <f t="array" ref="J49">_xlfn.XLOOKUP($A49,ACT[[№]:[№]],ACT[Delivery terms / Условия поставки],"",0,1)</f>
        <v>FCA</v>
      </c>
      <c r="K49" s="39" cm="1">
        <f t="array" ref="K49">_xlfn.XLOOKUP($A49,ACT[[№]:[№]],ACT[Container total CBM],"",0,1)</f>
        <v>66.283999999999992</v>
      </c>
      <c r="L49" s="40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1066000</v>
      </c>
      <c r="M49" s="40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391397.49</v>
      </c>
      <c r="N49" s="40" cm="1">
        <f t="array" ref="N49">_xlfn.XLOOKUP($A49,ACT[[№]:[№]],ACT[Shoring, Banding, Sealing, Handling/ Крепление, Перевязка, Опечатование, Обработка
KRW],"",0,1)</f>
        <v>134789.29756804058</v>
      </c>
      <c r="O49" s="40" cm="1">
        <f t="array" ref="O49">_xlfn.XLOOKUP($A49,ACT[[№]:[№]],ACT[Documents Work/ Сбор за подготовку документов
KRW],"",0,1)</f>
        <v>34775.360569669909</v>
      </c>
      <c r="P49" s="40" cm="1">
        <f t="array" ref="P49">_xlfn.XLOOKUP($A49,ACT[[№]:[№]],ACT[THC/ Терминальная обработка
KRW],"",0,1)</f>
        <v>128947.03699233604</v>
      </c>
      <c r="Q49" s="40" cm="1">
        <f t="array" ref="Q49">_xlfn.XLOOKUP($A49,ACT[[№]:[№]],ACT[Wharfage/ Портовая пошлина
KRW],"",0,1)</f>
        <v>6329.1156236799234</v>
      </c>
      <c r="R49" s="40" cm="1">
        <f t="array" ref="R49">_xlfn.XLOOKUP($A49,ACT[[№]:[№]],ACT[TRUCKING CHARGE],"",0,1)</f>
        <v>0</v>
      </c>
      <c r="S49" s="40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195089.7727958482</v>
      </c>
      <c r="T49" s="40" cm="1">
        <f t="array" ref="T49">_xlfn.XLOOKUP($A49,ACT[[№]:[№]],ACT[Special Wooden Shoring / Специальное деревянное крепление],"",0,1)</f>
        <v>0</v>
      </c>
      <c r="U49" s="9"/>
      <c r="V49" s="40" cm="1">
        <f t="array" ref="V49">_xlfn.XLOOKUP($A49,ACT[[№]:[№]],ACT[Total amount/ Общая стоимость KRW (10+11+12+13+14+15+16)],"",0,1)</f>
        <v>1957328.0735495747</v>
      </c>
      <c r="W49" s="40" cm="1">
        <f t="array" ref="W49">_xlfn.XLOOKUP($A49,ACT[[№]:[№]],ACT[Total amount/ Общая стоимость (17*exchange rate/ обменный курс)
 USD],"",0,1)</f>
        <v>1521.67</v>
      </c>
      <c r="X49" s="9" cm="1">
        <f t="array" ref="X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49" s="12">
        <f>VLOOKUP(Шаблон_Формулы[[#This Row],[24]],Курс_840[[Дата]:[Курс]],2,0)</f>
        <v>12089</v>
      </c>
      <c r="Z49" s="42">
        <f>IFERROR(Шаблон_Формулы[[#This Row],[23]]*Шаблон_Формулы[[#This Row],[25]],"")</f>
        <v>18395468.630000003</v>
      </c>
      <c r="AA49" s="13" t="str" cm="1">
        <f t="array" ref="AA49">ACT_number[№ исходящего акта]</f>
        <v>468 LCL</v>
      </c>
    </row>
    <row r="50" spans="1:27" s="8" customFormat="1" ht="12">
      <c r="A50" s="11">
        <v>46</v>
      </c>
      <c r="B50" s="8" t="str" cm="1">
        <f t="array" ref="B50">_xlfn.XLOOKUP($A50,ACT[[№]:[№]],ACT[Container No/
№ Контейнера],"",0,1)</f>
        <v>BMOU4600284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37" cm="1">
        <f t="array" ref="E50">_xlfn.XLOOKUP($A50,ACT[[№]:[№]],ACT[Date of Dispatch/ 
Дата отгрузки],"",0,1)</f>
        <v>45124</v>
      </c>
      <c r="F50" s="38" t="str" cm="1">
        <f t="array" ref="F50">_xlfn.XLOOKUP($A50,ACT[[№]:[№]],ACT[Supplier/ Поставщик],"",0,1)</f>
        <v>Hanyang Precision</v>
      </c>
      <c r="G50" s="38" t="str" cm="1">
        <f t="array" ref="G50">_xlfn.XLOOKUP($A50,ACT[[№]:[№]],ACT[Supplier Invoice No/                          № Инвойса Поставщика],"",0,1)</f>
        <v>HY230710U(3)</v>
      </c>
      <c r="H50" s="39" cm="1">
        <f t="array" ref="H50">_xlfn.XLOOKUP($A50,ACT[[№]:[№]],ACT[CBM],"",0,1)</f>
        <v>22.64</v>
      </c>
      <c r="I50" s="39" cm="1">
        <f t="array" ref="I50">_xlfn.XLOOKUP($A50,ACT[[№]:[№]],ACT[Gross weight, kg/ Вес брутто, кг],"",0,1)</f>
        <v>16940</v>
      </c>
      <c r="J50" s="39" t="str" cm="1">
        <f t="array" ref="J50">_xlfn.XLOOKUP($A50,ACT[[№]:[№]],ACT[Delivery terms / Условия поставки],"",0,1)</f>
        <v>FCA</v>
      </c>
      <c r="K50" s="39" cm="1">
        <f t="array" ref="K50">_xlfn.XLOOKUP($A50,ACT[[№]:[№]],ACT[Container total CBM],"",0,1)</f>
        <v>59.44</v>
      </c>
      <c r="L50" s="40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1450500</v>
      </c>
      <c r="M50" s="40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192213.6</v>
      </c>
      <c r="N50" s="40" cm="1">
        <f t="array" ref="N50">_xlfn.XLOOKUP($A50,ACT[[№]:[№]],ACT[Shoring, Banding, Sealing, Handling/ Крепление, Перевязка, Опечатование, Обработка
KRW],"",0,1)</f>
        <v>73816.150740242258</v>
      </c>
      <c r="O50" s="40" cm="1">
        <f t="array" ref="O50">_xlfn.XLOOKUP($A50,ACT[[№]:[№]],ACT[Documents Work/ Сбор за подготовку документов
KRW],"",0,1)</f>
        <v>19044.414535666219</v>
      </c>
      <c r="P50" s="40" cm="1">
        <f t="array" ref="P50">_xlfn.XLOOKUP($A50,ACT[[№]:[№]],ACT[THC/ Терминальная обработка
KRW],"",0,1)</f>
        <v>70616.689098250339</v>
      </c>
      <c r="Q50" s="40" cm="1">
        <f t="array" ref="Q50">_xlfn.XLOOKUP($A50,ACT[[№]:[№]],ACT[Wharfage/ Портовая пошлина
KRW],"",0,1)</f>
        <v>3466.0834454912515</v>
      </c>
      <c r="R50" s="40" cm="1">
        <f t="array" ref="R50">_xlfn.XLOOKUP($A50,ACT[[№]:[№]],ACT[TRUCKING CHARGE],"",0,1)</f>
        <v>0</v>
      </c>
      <c r="S50" s="40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106839.16554508748</v>
      </c>
      <c r="T50" s="40" cm="1">
        <f t="array" ref="T50">_xlfn.XLOOKUP($A50,ACT[[№]:[№]],ACT[Special Wooden Shoring / Специальное деревянное крепление],"",0,1)</f>
        <v>0</v>
      </c>
      <c r="U50" s="9"/>
      <c r="V50" s="40" cm="1">
        <f t="array" ref="V50">_xlfn.XLOOKUP($A50,ACT[[№]:[№]],ACT[Total amount/ Общая стоимость KRW (10+11+12+13+14+15+16)],"",0,1)</f>
        <v>1916496.1033647377</v>
      </c>
      <c r="W50" s="40" cm="1">
        <f t="array" ref="W50">_xlfn.XLOOKUP($A50,ACT[[№]:[№]],ACT[Total amount/ Общая стоимость (17*exchange rate/ обменный курс)
 USD],"",0,1)</f>
        <v>1489.93</v>
      </c>
      <c r="X50" s="9" cm="1">
        <f t="array" ref="X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50" s="12">
        <f>VLOOKUP(Шаблон_Формулы[[#This Row],[24]],Курс_840[[Дата]:[Курс]],2,0)</f>
        <v>12089</v>
      </c>
      <c r="Z50" s="42">
        <f>IFERROR(Шаблон_Формулы[[#This Row],[23]]*Шаблон_Формулы[[#This Row],[25]],"")</f>
        <v>18011763.77</v>
      </c>
      <c r="AA50" s="13" t="str" cm="1">
        <f t="array" ref="AA50">ACT_number[№ исходящего акта]</f>
        <v>468 LCL</v>
      </c>
    </row>
    <row r="51" spans="1:27" s="8" customFormat="1" ht="12">
      <c r="A51" s="11">
        <v>47</v>
      </c>
      <c r="B51" s="8" t="str" cm="1">
        <f t="array" ref="B51">_xlfn.XLOOKUP($A51,ACT[[№]:[№]],ACT[Container No/
№ Контейнера],"",0,1)</f>
        <v>BMOU4600284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37" cm="1">
        <f t="array" ref="E51">_xlfn.XLOOKUP($A51,ACT[[№]:[№]],ACT[Date of Dispatch/ 
Дата отгрузки],"",0,1)</f>
        <v>45124</v>
      </c>
      <c r="F51" s="38" t="str" cm="1">
        <f t="array" ref="F51">_xlfn.XLOOKUP($A51,ACT[[№]:[№]],ACT[Supplier/ Поставщик],"",0,1)</f>
        <v>Cosmo Eng</v>
      </c>
      <c r="G51" s="38" t="str" cm="1">
        <f t="array" ref="G51">_xlfn.XLOOKUP($A51,ACT[[№]:[№]],ACT[Supplier Invoice No/                          № Инвойса Поставщика],"",0,1)</f>
        <v>UZ230701</v>
      </c>
      <c r="H51" s="39" cm="1">
        <f t="array" ref="H51">_xlfn.XLOOKUP($A51,ACT[[№]:[№]],ACT[CBM],"",0,1)</f>
        <v>27.895</v>
      </c>
      <c r="I51" s="39" cm="1">
        <f t="array" ref="I51">_xlfn.XLOOKUP($A51,ACT[[№]:[№]],ACT[Gross weight, kg/ Вес брутто, кг],"",0,1)</f>
        <v>2555.09</v>
      </c>
      <c r="J51" s="39" t="str" cm="1">
        <f t="array" ref="J51">_xlfn.XLOOKUP($A51,ACT[[№]:[№]],ACT[Delivery terms / Условия поставки],"",0,1)</f>
        <v>FCA</v>
      </c>
      <c r="K51" s="39" cm="1">
        <f t="array" ref="K51">_xlfn.XLOOKUP($A51,ACT[[№]:[№]],ACT[Container total CBM],"",0,1)</f>
        <v>59.44</v>
      </c>
      <c r="L51" s="40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752000</v>
      </c>
      <c r="M51" s="40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236828.55</v>
      </c>
      <c r="N51" s="40" cm="1">
        <f t="array" ref="N51">_xlfn.XLOOKUP($A51,ACT[[№]:[№]],ACT[Shoring, Banding, Sealing, Handling/ Крепление, Перевязка, Опечатование, Обработка
KRW],"",0,1)</f>
        <v>90949.713997308208</v>
      </c>
      <c r="O51" s="40" cm="1">
        <f t="array" ref="O51">_xlfn.XLOOKUP($A51,ACT[[№]:[№]],ACT[Documents Work/ Сбор за подготовку документов
KRW],"",0,1)</f>
        <v>23464.838492597577</v>
      </c>
      <c r="P51" s="40" cm="1">
        <f t="array" ref="P51">_xlfn.XLOOKUP($A51,ACT[[№]:[№]],ACT[THC/ Терминальная обработка
KRW],"",0,1)</f>
        <v>87007.621130551823</v>
      </c>
      <c r="Q51" s="40" cm="1">
        <f t="array" ref="Q51">_xlfn.XLOOKUP($A51,ACT[[№]:[№]],ACT[Wharfage/ Портовая пошлина
KRW],"",0,1)</f>
        <v>4270.6006056527594</v>
      </c>
      <c r="R51" s="40" cm="1">
        <f t="array" ref="R51">_xlfn.XLOOKUP($A51,ACT[[№]:[№]],ACT[TRUCKING CHARGE],"",0,1)</f>
        <v>0</v>
      </c>
      <c r="S51" s="40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131637.74394347242</v>
      </c>
      <c r="T51" s="40" cm="1">
        <f t="array" ref="T51">_xlfn.XLOOKUP($A51,ACT[[№]:[№]],ACT[Special Wooden Shoring / Специальное деревянное крепление],"",0,1)</f>
        <v>0</v>
      </c>
      <c r="U51" s="9"/>
      <c r="V51" s="40" cm="1">
        <f t="array" ref="V51">_xlfn.XLOOKUP($A51,ACT[[№]:[№]],ACT[Total amount/ Общая стоимость KRW (10+11+12+13+14+15+16)],"",0,1)</f>
        <v>1326159.0681695829</v>
      </c>
      <c r="W51" s="40" cm="1">
        <f t="array" ref="W51">_xlfn.XLOOKUP($A51,ACT[[№]:[№]],ACT[Total amount/ Общая стоимость (17*exchange rate/ обменный курс)
 USD],"",0,1)</f>
        <v>1030.99</v>
      </c>
      <c r="X51" s="9" cm="1">
        <f t="array" ref="X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51" s="12">
        <f>VLOOKUP(Шаблон_Формулы[[#This Row],[24]],Курс_840[[Дата]:[Курс]],2,0)</f>
        <v>12089</v>
      </c>
      <c r="Z51" s="42">
        <f>IFERROR(Шаблон_Формулы[[#This Row],[23]]*Шаблон_Формулы[[#This Row],[25]],"")</f>
        <v>12463638.109999999</v>
      </c>
      <c r="AA51" s="13" t="str" cm="1">
        <f t="array" ref="AA51">ACT_number[№ исходящего акта]</f>
        <v>468 LCL</v>
      </c>
    </row>
    <row r="52" spans="1:27" s="8" customFormat="1" ht="12">
      <c r="A52" s="11">
        <v>48</v>
      </c>
      <c r="B52" s="8" t="str" cm="1">
        <f t="array" ref="B52">_xlfn.XLOOKUP($A52,ACT[[№]:[№]],ACT[Container No/
№ Контейнера],"",0,1)</f>
        <v>BMOU4600284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37" cm="1">
        <f t="array" ref="E52">_xlfn.XLOOKUP($A52,ACT[[№]:[№]],ACT[Date of Dispatch/ 
Дата отгрузки],"",0,1)</f>
        <v>45124</v>
      </c>
      <c r="F52" s="38" t="str" cm="1">
        <f t="array" ref="F52">_xlfn.XLOOKUP($A52,ACT[[№]:[№]],ACT[Supplier/ Поставщик],"",0,1)</f>
        <v>Cosmo Eng</v>
      </c>
      <c r="G52" s="38" t="str" cm="1">
        <f t="array" ref="G52">_xlfn.XLOOKUP($A52,ACT[[№]:[№]],ACT[Supplier Invoice No/                          № Инвойса Поставщика],"",0,1)</f>
        <v>CU230702</v>
      </c>
      <c r="H52" s="39" cm="1">
        <f t="array" ref="H52">_xlfn.XLOOKUP($A52,ACT[[№]:[№]],ACT[CBM],"",0,1)</f>
        <v>8.9049999999999994</v>
      </c>
      <c r="I52" s="39" cm="1">
        <f t="array" ref="I52">_xlfn.XLOOKUP($A52,ACT[[№]:[№]],ACT[Gross weight, kg/ Вес брутто, кг],"",0,1)</f>
        <v>684.09</v>
      </c>
      <c r="J52" s="39" t="str" cm="1">
        <f t="array" ref="J52">_xlfn.XLOOKUP($A52,ACT[[№]:[№]],ACT[Delivery terms / Условия поставки],"",0,1)</f>
        <v>FCA</v>
      </c>
      <c r="K52" s="39" cm="1">
        <f t="array" ref="K52">_xlfn.XLOOKUP($A52,ACT[[№]:[№]],ACT[Container total CBM],"",0,1)</f>
        <v>59.44</v>
      </c>
      <c r="L52" s="40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632500</v>
      </c>
      <c r="M52" s="40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75603.45</v>
      </c>
      <c r="N52" s="40" cm="1">
        <f t="array" ref="N52">_xlfn.XLOOKUP($A52,ACT[[№]:[№]],ACT[Shoring, Banding, Sealing, Handling/ Крепление, Перевязка, Опечатование, Обработка
KRW],"",0,1)</f>
        <v>29034.13526244953</v>
      </c>
      <c r="O52" s="40" cm="1">
        <f t="array" ref="O52">_xlfn.XLOOKUP($A52,ACT[[№]:[№]],ACT[Documents Work/ Сбор за подготовку документов
KRW],"",0,1)</f>
        <v>7490.7469717362046</v>
      </c>
      <c r="P52" s="40" cm="1">
        <f t="array" ref="P52">_xlfn.XLOOKUP($A52,ACT[[№]:[№]],ACT[THC/ Терминальная обработка
KRW],"",0,1)</f>
        <v>27775.689771197849</v>
      </c>
      <c r="Q52" s="40" cm="1">
        <f t="array" ref="Q52">_xlfn.XLOOKUP($A52,ACT[[№]:[№]],ACT[Wharfage/ Портовая пошлина
KRW],"",0,1)</f>
        <v>1363.3159488559893</v>
      </c>
      <c r="R52" s="40" cm="1">
        <f t="array" ref="R52">_xlfn.XLOOKUP($A52,ACT[[№]:[№]],ACT[TRUCKING CHARGE],"",0,1)</f>
        <v>0</v>
      </c>
      <c r="S52" s="40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42023.09051144011</v>
      </c>
      <c r="T52" s="40" cm="1">
        <f t="array" ref="T52">_xlfn.XLOOKUP($A52,ACT[[№]:[№]],ACT[Special Wooden Shoring / Специальное деревянное крепление],"",0,1)</f>
        <v>0</v>
      </c>
      <c r="U52" s="9"/>
      <c r="V52" s="40" cm="1">
        <f t="array" ref="V52">_xlfn.XLOOKUP($A52,ACT[[№]:[№]],ACT[Total amount/ Общая стоимость KRW (10+11+12+13+14+15+16)],"",0,1)</f>
        <v>815790.42846567952</v>
      </c>
      <c r="W52" s="40" cm="1">
        <f t="array" ref="W52">_xlfn.XLOOKUP($A52,ACT[[№]:[№]],ACT[Total amount/ Общая стоимость (17*exchange rate/ обменный курс)
 USD],"",0,1)</f>
        <v>634.22</v>
      </c>
      <c r="X52" s="9" cm="1">
        <f t="array" ref="X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52" s="12">
        <f>VLOOKUP(Шаблон_Формулы[[#This Row],[24]],Курс_840[[Дата]:[Курс]],2,0)</f>
        <v>12089</v>
      </c>
      <c r="Z52" s="42">
        <f>IFERROR(Шаблон_Формулы[[#This Row],[23]]*Шаблон_Формулы[[#This Row],[25]],"")</f>
        <v>7667085.5800000001</v>
      </c>
      <c r="AA52" s="13" t="str" cm="1">
        <f t="array" ref="AA52">ACT_number[№ исходящего акта]</f>
        <v>468 LCL</v>
      </c>
    </row>
    <row r="53" spans="1:27" s="8" customFormat="1" ht="12">
      <c r="A53" s="11">
        <v>49</v>
      </c>
      <c r="B53" s="8" t="str" cm="1">
        <f t="array" ref="B53">_xlfn.XLOOKUP($A53,ACT[[№]:[№]],ACT[Container No/
№ Контейнера],"",0,1)</f>
        <v>BMOU4128347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37" cm="1">
        <f t="array" ref="E53">_xlfn.XLOOKUP($A53,ACT[[№]:[№]],ACT[Date of Dispatch/ 
Дата отгрузки],"",0,1)</f>
        <v>45124</v>
      </c>
      <c r="F53" s="38" t="str" cm="1">
        <f t="array" ref="F53">_xlfn.XLOOKUP($A53,ACT[[№]:[№]],ACT[Supplier/ Поставщик],"",0,1)</f>
        <v>Hanyang Precision</v>
      </c>
      <c r="G53" s="38" t="str" cm="1">
        <f t="array" ref="G53">_xlfn.XLOOKUP($A53,ACT[[№]:[№]],ACT[Supplier Invoice No/                          № Инвойса Поставщика],"",0,1)</f>
        <v>HY230710U(4)</v>
      </c>
      <c r="H53" s="39" cm="1">
        <f t="array" ref="H53">_xlfn.XLOOKUP($A53,ACT[[№]:[№]],ACT[CBM],"",0,1)</f>
        <v>7.26</v>
      </c>
      <c r="I53" s="39" cm="1">
        <f t="array" ref="I53">_xlfn.XLOOKUP($A53,ACT[[№]:[№]],ACT[Gross weight, kg/ Вес брутто, кг],"",0,1)</f>
        <v>3272</v>
      </c>
      <c r="J53" s="39" t="str" cm="1">
        <f t="array" ref="J53">_xlfn.XLOOKUP($A53,ACT[[№]:[№]],ACT[Delivery terms / Условия поставки],"",0,1)</f>
        <v>FCA</v>
      </c>
      <c r="K53" s="39" cm="1">
        <f t="array" ref="K53">_xlfn.XLOOKUP($A53,ACT[[№]:[№]],ACT[Container total CBM],"",0,1)</f>
        <v>60.059999999999995</v>
      </c>
      <c r="L53" s="40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632500</v>
      </c>
      <c r="M53" s="40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61637.4</v>
      </c>
      <c r="N53" s="40" cm="1">
        <f t="array" ref="N53">_xlfn.XLOOKUP($A53,ACT[[№]:[№]],ACT[Shoring, Banding, Sealing, Handling/ Крепление, Перевязка, Опечатование, Обработка
KRW],"",0,1)</f>
        <v>23426.373626373628</v>
      </c>
      <c r="O53" s="40" cm="1">
        <f t="array" ref="O53">_xlfn.XLOOKUP($A53,ACT[[№]:[№]],ACT[Documents Work/ Сбор за подготовку документов
KRW],"",0,1)</f>
        <v>6043.9560439560437</v>
      </c>
      <c r="P53" s="40" cm="1">
        <f t="array" ref="P53">_xlfn.XLOOKUP($A53,ACT[[№]:[№]],ACT[THC/ Терминальная обработка
KRW],"",0,1)</f>
        <v>22410.989010989011</v>
      </c>
      <c r="Q53" s="40" cm="1">
        <f t="array" ref="Q53">_xlfn.XLOOKUP($A53,ACT[[№]:[№]],ACT[Wharfage/ Портовая пошлина
KRW],"",0,1)</f>
        <v>1100</v>
      </c>
      <c r="R53" s="40" cm="1">
        <f t="array" ref="R53">_xlfn.XLOOKUP($A53,ACT[[№]:[№]],ACT[TRUCKING CHARGE],"",0,1)</f>
        <v>0</v>
      </c>
      <c r="S53" s="40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33906.593406593405</v>
      </c>
      <c r="T53" s="40" cm="1">
        <f t="array" ref="T53">_xlfn.XLOOKUP($A53,ACT[[№]:[№]],ACT[Special Wooden Shoring / Специальное деревянное крепление],"",0,1)</f>
        <v>0</v>
      </c>
      <c r="U53" s="9"/>
      <c r="V53" s="40" cm="1">
        <f t="array" ref="V53">_xlfn.XLOOKUP($A53,ACT[[№]:[№]],ACT[Total amount/ Общая стоимость KRW (10+11+12+13+14+15+16)],"",0,1)</f>
        <v>781025.312087912</v>
      </c>
      <c r="W53" s="40" cm="1">
        <f t="array" ref="W53">_xlfn.XLOOKUP($A53,ACT[[№]:[№]],ACT[Total amount/ Общая стоимость (17*exchange rate/ обменный курс)
 USD],"",0,1)</f>
        <v>607.19000000000005</v>
      </c>
      <c r="X53" s="9" cm="1">
        <f t="array" ref="X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53" s="12">
        <f>VLOOKUP(Шаблон_Формулы[[#This Row],[24]],Курс_840[[Дата]:[Курс]],2,0)</f>
        <v>12089</v>
      </c>
      <c r="Z53" s="42">
        <f>IFERROR(Шаблон_Формулы[[#This Row],[23]]*Шаблон_Формулы[[#This Row],[25]],"")</f>
        <v>7340319.9100000011</v>
      </c>
      <c r="AA53" s="13" t="str" cm="1">
        <f t="array" ref="AA53">ACT_number[№ исходящего акта]</f>
        <v>468 LCL</v>
      </c>
    </row>
    <row r="54" spans="1:27" s="8" customFormat="1" ht="12">
      <c r="A54" s="11">
        <v>50</v>
      </c>
      <c r="B54" s="8" t="str" cm="1">
        <f t="array" ref="B54">_xlfn.XLOOKUP($A54,ACT[[№]:[№]],ACT[Container No/
№ Контейнера],"",0,1)</f>
        <v>BMOU4128347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37" cm="1">
        <f t="array" ref="E54">_xlfn.XLOOKUP($A54,ACT[[№]:[№]],ACT[Date of Dispatch/ 
Дата отгрузки],"",0,1)</f>
        <v>45124</v>
      </c>
      <c r="F54" s="38" t="str" cm="1">
        <f t="array" ref="F54">_xlfn.XLOOKUP($A54,ACT[[№]:[№]],ACT[Supplier/ Поставщик],"",0,1)</f>
        <v>Namyang NEXMO</v>
      </c>
      <c r="G54" s="38" t="str" cm="1">
        <f t="array" ref="G54">_xlfn.XLOOKUP($A54,ACT[[№]:[№]],ACT[Supplier Invoice No/                          № Инвойса Поставщика],"",0,1)</f>
        <v>GMUZ452</v>
      </c>
      <c r="H54" s="39" cm="1">
        <f t="array" ref="H54">_xlfn.XLOOKUP($A54,ACT[[№]:[№]],ACT[CBM],"",0,1)</f>
        <v>52.8</v>
      </c>
      <c r="I54" s="39" cm="1">
        <f t="array" ref="I54">_xlfn.XLOOKUP($A54,ACT[[№]:[№]],ACT[Gross weight, kg/ Вес брутто, кг],"",0,1)</f>
        <v>10950</v>
      </c>
      <c r="J54" s="39" t="str" cm="1">
        <f t="array" ref="J54">_xlfn.XLOOKUP($A54,ACT[[№]:[№]],ACT[Delivery terms / Условия поставки],"",0,1)</f>
        <v>FCA</v>
      </c>
      <c r="K54" s="39" cm="1">
        <f t="array" ref="K54">_xlfn.XLOOKUP($A54,ACT[[№]:[№]],ACT[Container total CBM],"",0,1)</f>
        <v>60.059999999999995</v>
      </c>
      <c r="L54" s="40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1148000</v>
      </c>
      <c r="M54" s="40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448272</v>
      </c>
      <c r="N54" s="40" cm="1">
        <f t="array" ref="N54">_xlfn.XLOOKUP($A54,ACT[[№]:[№]],ACT[Shoring, Banding, Sealing, Handling/ Крепление, Перевязка, Опечатование, Обработка
KRW],"",0,1)</f>
        <v>170373.62637362638</v>
      </c>
      <c r="O54" s="40" cm="1">
        <f t="array" ref="O54">_xlfn.XLOOKUP($A54,ACT[[№]:[№]],ACT[Documents Work/ Сбор за подготовку документов
KRW],"",0,1)</f>
        <v>43956.043956043955</v>
      </c>
      <c r="P54" s="40" cm="1">
        <f t="array" ref="P54">_xlfn.XLOOKUP($A54,ACT[[№]:[№]],ACT[THC/ Терминальная обработка
KRW],"",0,1)</f>
        <v>162989.01098901097</v>
      </c>
      <c r="Q54" s="40" cm="1">
        <f t="array" ref="Q54">_xlfn.XLOOKUP($A54,ACT[[№]:[№]],ACT[Wharfage/ Портовая пошлина
KRW],"",0,1)</f>
        <v>8000</v>
      </c>
      <c r="R54" s="40" cm="1">
        <f t="array" ref="R54">_xlfn.XLOOKUP($A54,ACT[[№]:[№]],ACT[TRUCKING CHARGE],"",0,1)</f>
        <v>0</v>
      </c>
      <c r="S54" s="40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246593.4065934066</v>
      </c>
      <c r="T54" s="40" cm="1">
        <f t="array" ref="T54">_xlfn.XLOOKUP($A54,ACT[[№]:[№]],ACT[Special Wooden Shoring / Специальное деревянное крепление],"",0,1)</f>
        <v>0</v>
      </c>
      <c r="U54" s="9"/>
      <c r="V54" s="40" cm="1">
        <f t="array" ref="V54">_xlfn.XLOOKUP($A54,ACT[[№]:[№]],ACT[Total amount/ Общая стоимость KRW (10+11+12+13+14+15+16)],"",0,1)</f>
        <v>2228184.0879120878</v>
      </c>
      <c r="W54" s="40" cm="1">
        <f t="array" ref="W54">_xlfn.XLOOKUP($A54,ACT[[№]:[№]],ACT[Total amount/ Общая стоимость (17*exchange rate/ обменный курс)
 USD],"",0,1)</f>
        <v>1732.24</v>
      </c>
      <c r="X54" s="9" cm="1">
        <f t="array" ref="X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54" s="12">
        <f>VLOOKUP(Шаблон_Формулы[[#This Row],[24]],Курс_840[[Дата]:[Курс]],2,0)</f>
        <v>12089</v>
      </c>
      <c r="Z54" s="42">
        <f>IFERROR(Шаблон_Формулы[[#This Row],[23]]*Шаблон_Формулы[[#This Row],[25]],"")</f>
        <v>20941049.359999999</v>
      </c>
      <c r="AA54" s="13" t="str" cm="1">
        <f t="array" ref="AA54">ACT_number[№ исходящего акта]</f>
        <v>468 LCL</v>
      </c>
    </row>
    <row r="55" spans="1:27" s="8" customFormat="1" ht="12">
      <c r="A55" s="11">
        <v>51</v>
      </c>
      <c r="B55" s="8" t="str" cm="1">
        <f t="array" ref="B55">_xlfn.XLOOKUP($A55,ACT[[№]:[№]],ACT[Container No/
№ Контейнера],"",0,1)</f>
        <v>HDMU6579566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37" cm="1">
        <f t="array" ref="E55">_xlfn.XLOOKUP($A55,ACT[[№]:[№]],ACT[Date of Dispatch/ 
Дата отгрузки],"",0,1)</f>
        <v>45124</v>
      </c>
      <c r="F55" s="38" t="str" cm="1">
        <f t="array" ref="F55">_xlfn.XLOOKUP($A55,ACT[[№]:[№]],ACT[Supplier/ Поставщик],"",0,1)</f>
        <v>UniTech</v>
      </c>
      <c r="G55" s="38" t="str" cm="1">
        <f t="array" ref="G55">_xlfn.XLOOKUP($A55,ACT[[№]:[№]],ACT[Supplier Invoice No/                          № Инвойса Поставщика],"",0,1)</f>
        <v>230715UZ-001 (SEA,2305)</v>
      </c>
      <c r="H55" s="39" cm="1">
        <f t="array" ref="H55">_xlfn.XLOOKUP($A55,ACT[[№]:[№]],ACT[CBM],"",0,1)</f>
        <v>26.361000000000001</v>
      </c>
      <c r="I55" s="39" cm="1">
        <f t="array" ref="I55">_xlfn.XLOOKUP($A55,ACT[[№]:[№]],ACT[Gross weight, kg/ Вес брутто, кг],"",0,1)</f>
        <v>14840</v>
      </c>
      <c r="J55" s="39" t="str" cm="1">
        <f t="array" ref="J55">_xlfn.XLOOKUP($A55,ACT[[№]:[№]],ACT[Delivery terms / Условия поставки],"",0,1)</f>
        <v>FCA</v>
      </c>
      <c r="K55" s="39" cm="1">
        <f t="array" ref="K55">_xlfn.XLOOKUP($A55,ACT[[№]:[№]],ACT[Container total CBM],"",0,1)</f>
        <v>38.360999999999997</v>
      </c>
      <c r="L55" s="40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1101000</v>
      </c>
      <c r="M55" s="40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223804.89</v>
      </c>
      <c r="N55" s="40" cm="1">
        <f t="array" ref="N55">_xlfn.XLOOKUP($A55,ACT[[№]:[№]],ACT[Shoring, Banding, Sealing, Handling/ Крепление, Перевязка, Опечатование, Обработка
KRW],"",0,1)</f>
        <v>133175.92867756312</v>
      </c>
      <c r="O55" s="40" cm="1">
        <f t="array" ref="O55">_xlfn.XLOOKUP($A55,ACT[[№]:[№]],ACT[Documents Work/ Сбор за подготовку документов
KRW],"",0,1)</f>
        <v>34359.11472589348</v>
      </c>
      <c r="P55" s="40" cm="1">
        <f t="array" ref="P55">_xlfn.XLOOKUP($A55,ACT[[№]:[№]],ACT[THC/ Терминальная обработка
KRW],"",0,1)</f>
        <v>127403.59740361302</v>
      </c>
      <c r="Q55" s="40" cm="1">
        <f t="array" ref="Q55">_xlfn.XLOOKUP($A55,ACT[[№]:[№]],ACT[Wharfage/ Портовая пошлина
KRW],"",0,1)</f>
        <v>6253.3588801126134</v>
      </c>
      <c r="R55" s="40" cm="1">
        <f t="array" ref="R55">_xlfn.XLOOKUP($A55,ACT[[№]:[№]],ACT[TRUCKING CHARGE],"",0,1)</f>
        <v>0</v>
      </c>
      <c r="S55" s="40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192754.63361226243</v>
      </c>
      <c r="T55" s="40" cm="1">
        <f t="array" ref="T55">_xlfn.XLOOKUP($A55,ACT[[№]:[№]],ACT[Special Wooden Shoring / Специальное деревянное крепление],"",0,1)</f>
        <v>0</v>
      </c>
      <c r="U55" s="9"/>
      <c r="V55" s="40" cm="1">
        <f t="array" ref="V55">_xlfn.XLOOKUP($A55,ACT[[№]:[№]],ACT[Total amount/ Общая стоимость KRW (10+11+12+13+14+15+16)],"",0,1)</f>
        <v>1818751.5232994445</v>
      </c>
      <c r="W55" s="40" cm="1">
        <f t="array" ref="W55">_xlfn.XLOOKUP($A55,ACT[[№]:[№]],ACT[Total amount/ Общая стоимость (17*exchange rate/ обменный курс)
 USD],"",0,1)</f>
        <v>1413.94</v>
      </c>
      <c r="X55" s="9" cm="1">
        <f t="array" ref="X5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55" s="12">
        <f>VLOOKUP(Шаблон_Формулы[[#This Row],[24]],Курс_840[[Дата]:[Курс]],2,0)</f>
        <v>12089</v>
      </c>
      <c r="Z55" s="42">
        <f>IFERROR(Шаблон_Формулы[[#This Row],[23]]*Шаблон_Формулы[[#This Row],[25]],"")</f>
        <v>17093120.66</v>
      </c>
      <c r="AA55" s="13" t="str" cm="1">
        <f t="array" ref="AA55">ACT_number[№ исходящего акта]</f>
        <v>468 LCL</v>
      </c>
    </row>
    <row r="56" spans="1:27" s="8" customFormat="1" ht="12">
      <c r="A56" s="11">
        <v>52</v>
      </c>
      <c r="B56" s="8" t="str" cm="1">
        <f t="array" ref="B56">_xlfn.XLOOKUP($A56,ACT[[№]:[№]],ACT[Container No/
№ Контейнера],"",0,1)</f>
        <v>HDMU6579566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37" cm="1">
        <f t="array" ref="E56">_xlfn.XLOOKUP($A56,ACT[[№]:[№]],ACT[Date of Dispatch/ 
Дата отгрузки],"",0,1)</f>
        <v>45124</v>
      </c>
      <c r="F56" s="38" t="str" cm="1">
        <f t="array" ref="F56">_xlfn.XLOOKUP($A56,ACT[[№]:[№]],ACT[Supplier/ Поставщик],"",0,1)</f>
        <v>HDC HYUNDAI ENGINEERING PLASTICS for UZKR</v>
      </c>
      <c r="G56" s="38" t="str" cm="1">
        <f t="array" ref="G56">_xlfn.XLOOKUP($A56,ACT[[№]:[№]],ACT[Supplier Invoice No/                          № Инвойса Поставщика],"",0,1)</f>
        <v>SN230712210</v>
      </c>
      <c r="H56" s="39" cm="1">
        <f t="array" ref="H56">_xlfn.XLOOKUP($A56,ACT[[№]:[№]],ACT[CBM],"",0,1)</f>
        <v>12</v>
      </c>
      <c r="I56" s="39" cm="1">
        <f t="array" ref="I56">_xlfn.XLOOKUP($A56,ACT[[№]:[№]],ACT[Gross weight, kg/ Вес брутто, кг],"",0,1)</f>
        <v>6030</v>
      </c>
      <c r="J56" s="39" t="str" cm="1">
        <f t="array" ref="J56">_xlfn.XLOOKUP($A56,ACT[[№]:[№]],ACT[Delivery terms / Условия поставки],"",0,1)</f>
        <v>FOB</v>
      </c>
      <c r="K56" s="39" cm="1">
        <f t="array" ref="K56">_xlfn.XLOOKUP($A56,ACT[[№]:[№]],ACT[Container total CBM],"",0,1)</f>
        <v>38.360999999999997</v>
      </c>
      <c r="L56" s="40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40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40" cm="1">
        <f t="array" ref="N56">_xlfn.XLOOKUP($A56,ACT[[№]:[№]],ACT[Shoring, Banding, Sealing, Handling/ Крепление, Перевязка, Опечатование, Обработка
KRW],"",0,1)</f>
        <v>0</v>
      </c>
      <c r="O56" s="40" cm="1">
        <f t="array" ref="O56">_xlfn.XLOOKUP($A56,ACT[[№]:[№]],ACT[Documents Work/ Сбор за подготовку документов
KRW],"",0,1)</f>
        <v>0</v>
      </c>
      <c r="P56" s="40" cm="1">
        <f t="array" ref="P56">_xlfn.XLOOKUP($A56,ACT[[№]:[№]],ACT[THC/ Терминальная обработка
KRW],"",0,1)</f>
        <v>0</v>
      </c>
      <c r="Q56" s="40" cm="1">
        <f t="array" ref="Q56">_xlfn.XLOOKUP($A56,ACT[[№]:[№]],ACT[Wharfage/ Портовая пошлина
KRW],"",0,1)</f>
        <v>0</v>
      </c>
      <c r="R56" s="40" cm="1">
        <f t="array" ref="R56">_xlfn.XLOOKUP($A56,ACT[[№]:[№]],ACT[TRUCKING CHARGE],"",0,1)</f>
        <v>0</v>
      </c>
      <c r="S56" s="40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40" cm="1">
        <f t="array" ref="T56">_xlfn.XLOOKUP($A56,ACT[[№]:[№]],ACT[Special Wooden Shoring / Специальное деревянное крепление],"",0,1)</f>
        <v>0</v>
      </c>
      <c r="U56" s="9"/>
      <c r="V56" s="40" cm="1">
        <f t="array" ref="V56">_xlfn.XLOOKUP($A56,ACT[[№]:[№]],ACT[Total amount/ Общая стоимость KRW (10+11+12+13+14+15+16)],"",0,1)</f>
        <v>0</v>
      </c>
      <c r="W56" s="40" cm="1">
        <f t="array" ref="W56">_xlfn.XLOOKUP($A56,ACT[[№]:[№]],ACT[Total amount/ Общая стоимость (17*exchange rate/ обменный курс)
 USD],"",0,1)</f>
        <v>0</v>
      </c>
      <c r="X56" s="9" cm="1">
        <f t="array" ref="X5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56" s="12">
        <f>VLOOKUP(Шаблон_Формулы[[#This Row],[24]],Курс_840[[Дата]:[Курс]],2,0)</f>
        <v>12089</v>
      </c>
      <c r="Z56" s="42">
        <f>IFERROR(Шаблон_Формулы[[#This Row],[23]]*Шаблон_Формулы[[#This Row],[25]],"")</f>
        <v>0</v>
      </c>
      <c r="AA56" s="13" t="str" cm="1">
        <f t="array" ref="AA56">ACT_number[№ исходящего акта]</f>
        <v>468 LCL</v>
      </c>
    </row>
    <row r="57" spans="1:27" s="8" customFormat="1" ht="12">
      <c r="A57" s="11">
        <v>53</v>
      </c>
      <c r="B57" s="8" t="str" cm="1">
        <f t="array" ref="B57">_xlfn.XLOOKUP($A57,ACT[[№]:[№]],ACT[Container No/
№ Контейнера],"",0,1)</f>
        <v>BMOU4590118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37" cm="1">
        <f t="array" ref="E57">_xlfn.XLOOKUP($A57,ACT[[№]:[№]],ACT[Date of Dispatch/ 
Дата отгрузки],"",0,1)</f>
        <v>45124</v>
      </c>
      <c r="F57" s="38" t="str" cm="1">
        <f t="array" ref="F57">_xlfn.XLOOKUP($A57,ACT[[№]:[№]],ACT[Supplier/ Поставщик],"",0,1)</f>
        <v>SNT Motiv</v>
      </c>
      <c r="G57" s="38" t="str" cm="1">
        <f t="array" ref="G57">_xlfn.XLOOKUP($A57,ACT[[№]:[№]],ACT[Supplier Invoice No/                          № Инвойса Поставщика],"",0,1)</f>
        <v>CUZ230713</v>
      </c>
      <c r="H57" s="39" cm="1">
        <f t="array" ref="H57">_xlfn.XLOOKUP($A57,ACT[[№]:[№]],ACT[CBM],"",0,1)</f>
        <v>22.79</v>
      </c>
      <c r="I57" s="39" cm="1">
        <f t="array" ref="I57">_xlfn.XLOOKUP($A57,ACT[[№]:[№]],ACT[Gross weight, kg/ Вес брутто, кг],"",0,1)</f>
        <v>1864.8</v>
      </c>
      <c r="J57" s="39" t="str" cm="1">
        <f t="array" ref="J57">_xlfn.XLOOKUP($A57,ACT[[№]:[№]],ACT[Delivery terms / Условия поставки],"",0,1)</f>
        <v>FCA</v>
      </c>
      <c r="K57" s="39" cm="1">
        <f t="array" ref="K57">_xlfn.XLOOKUP($A57,ACT[[№]:[№]],ACT[Container total CBM],"",0,1)</f>
        <v>42.854999999999997</v>
      </c>
      <c r="L57" s="40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291000</v>
      </c>
      <c r="M57" s="40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193487.1</v>
      </c>
      <c r="N57" s="40" cm="1">
        <f t="array" ref="N57">_xlfn.XLOOKUP($A57,ACT[[№]:[№]],ACT[Shoring, Banding, Sealing, Handling/ Крепление, Перевязка, Опечатование, Обработка
KRW],"",0,1)</f>
        <v>103061.53307665384</v>
      </c>
      <c r="O57" s="40" cm="1">
        <f t="array" ref="O57">_xlfn.XLOOKUP($A57,ACT[[№]:[№]],ACT[Documents Work/ Сбор за подготовку документов
KRW],"",0,1)</f>
        <v>26589.662816474156</v>
      </c>
      <c r="P57" s="40" cm="1">
        <f t="array" ref="P57">_xlfn.XLOOKUP($A57,ACT[[№]:[№]],ACT[THC/ Терминальная обработка
KRW],"",0,1)</f>
        <v>98594.469723486181</v>
      </c>
      <c r="Q57" s="40" cm="1">
        <f t="array" ref="Q57">_xlfn.XLOOKUP($A57,ACT[[№]:[№]],ACT[Wharfage/ Портовая пошлина
KRW],"",0,1)</f>
        <v>4839.318632598297</v>
      </c>
      <c r="R57" s="40" cm="1">
        <f t="array" ref="R57">_xlfn.XLOOKUP($A57,ACT[[№]:[№]],ACT[TRUCKING CHARGE],"",0,1)</f>
        <v>0</v>
      </c>
      <c r="S57" s="40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149168.00840042002</v>
      </c>
      <c r="T57" s="40" cm="1">
        <f t="array" ref="T57">_xlfn.XLOOKUP($A57,ACT[[№]:[№]],ACT[Special Wooden Shoring / Специальное деревянное крепление],"",0,1)</f>
        <v>0</v>
      </c>
      <c r="U57" s="9"/>
      <c r="V57" s="40" cm="1">
        <f t="array" ref="V57">_xlfn.XLOOKUP($A57,ACT[[№]:[№]],ACT[Total amount/ Общая стоимость KRW (10+11+12+13+14+15+16)],"",0,1)</f>
        <v>866740.0926496326</v>
      </c>
      <c r="W57" s="40" cm="1">
        <f t="array" ref="W57">_xlfn.XLOOKUP($A57,ACT[[№]:[№]],ACT[Total amount/ Общая стоимость (17*exchange rate/ обменный курс)
 USD],"",0,1)</f>
        <v>673.82</v>
      </c>
      <c r="X57" s="9" cm="1">
        <f t="array" ref="X5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57" s="12">
        <f>VLOOKUP(Шаблон_Формулы[[#This Row],[24]],Курс_840[[Дата]:[Курс]],2,0)</f>
        <v>12089</v>
      </c>
      <c r="Z57" s="42">
        <f>IFERROR(Шаблон_Формулы[[#This Row],[23]]*Шаблон_Формулы[[#This Row],[25]],"")</f>
        <v>8145809.9800000004</v>
      </c>
      <c r="AA57" s="13" t="str" cm="1">
        <f t="array" ref="AA57">ACT_number[№ исходящего акта]</f>
        <v>468 LCL</v>
      </c>
    </row>
    <row r="58" spans="1:27" s="8" customFormat="1" ht="12">
      <c r="A58" s="11">
        <v>54</v>
      </c>
      <c r="B58" s="8" t="str" cm="1">
        <f t="array" ref="B58">_xlfn.XLOOKUP($A58,ACT[[№]:[№]],ACT[Container No/
№ Контейнера],"",0,1)</f>
        <v>BMOU4590118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37" cm="1">
        <f t="array" ref="E58">_xlfn.XLOOKUP($A58,ACT[[№]:[№]],ACT[Date of Dispatch/ 
Дата отгрузки],"",0,1)</f>
        <v>45124</v>
      </c>
      <c r="F58" s="38" t="str" cm="1">
        <f t="array" ref="F58">_xlfn.XLOOKUP($A58,ACT[[№]:[№]],ACT[Supplier/ Поставщик],"",0,1)</f>
        <v>KYUNG-IN MJ SYSTEM</v>
      </c>
      <c r="G58" s="38" t="str" cm="1">
        <f t="array" ref="G58">_xlfn.XLOOKUP($A58,ACT[[№]:[№]],ACT[Supplier Invoice No/                          № Инвойса Поставщика],"",0,1)</f>
        <v>KMJ-20230712UZSW</v>
      </c>
      <c r="H58" s="39" cm="1">
        <f t="array" ref="H58">_xlfn.XLOOKUP($A58,ACT[[№]:[№]],ACT[CBM],"",0,1)</f>
        <v>0.04</v>
      </c>
      <c r="I58" s="39" cm="1">
        <f t="array" ref="I58">_xlfn.XLOOKUP($A58,ACT[[№]:[№]],ACT[Gross weight, kg/ Вес брутто, кг],"",0,1)</f>
        <v>272.2</v>
      </c>
      <c r="J58" s="39" t="str" cm="1">
        <f t="array" ref="J58">_xlfn.XLOOKUP($A58,ACT[[№]:[№]],ACT[Delivery terms / Условия поставки],"",0,1)</f>
        <v>FOB</v>
      </c>
      <c r="K58" s="39" cm="1">
        <f t="array" ref="K58">_xlfn.XLOOKUP($A58,ACT[[№]:[№]],ACT[Container total CBM],"",0,1)</f>
        <v>42.854999999999997</v>
      </c>
      <c r="L58" s="40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0</v>
      </c>
      <c r="M58" s="40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0</v>
      </c>
      <c r="N58" s="40" cm="1">
        <f t="array" ref="N58">_xlfn.XLOOKUP($A58,ACT[[№]:[№]],ACT[Shoring, Banding, Sealing, Handling/ Крепление, Перевязка, Опечатование, Обработка
KRW],"",0,1)</f>
        <v>0</v>
      </c>
      <c r="O58" s="40" cm="1">
        <f t="array" ref="O58">_xlfn.XLOOKUP($A58,ACT[[№]:[№]],ACT[Documents Work/ Сбор за подготовку документов
KRW],"",0,1)</f>
        <v>0</v>
      </c>
      <c r="P58" s="40" cm="1">
        <f t="array" ref="P58">_xlfn.XLOOKUP($A58,ACT[[№]:[№]],ACT[THC/ Терминальная обработка
KRW],"",0,1)</f>
        <v>0</v>
      </c>
      <c r="Q58" s="40" cm="1">
        <f t="array" ref="Q58">_xlfn.XLOOKUP($A58,ACT[[№]:[№]],ACT[Wharfage/ Портовая пошлина
KRW],"",0,1)</f>
        <v>0</v>
      </c>
      <c r="R58" s="40" cm="1">
        <f t="array" ref="R58">_xlfn.XLOOKUP($A58,ACT[[№]:[№]],ACT[TRUCKING CHARGE],"",0,1)</f>
        <v>0</v>
      </c>
      <c r="S58" s="40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8" s="40" cm="1">
        <f t="array" ref="T58">_xlfn.XLOOKUP($A58,ACT[[№]:[№]],ACT[Special Wooden Shoring / Специальное деревянное крепление],"",0,1)</f>
        <v>0</v>
      </c>
      <c r="U58" s="9"/>
      <c r="V58" s="40" cm="1">
        <f t="array" ref="V58">_xlfn.XLOOKUP($A58,ACT[[№]:[№]],ACT[Total amount/ Общая стоимость KRW (10+11+12+13+14+15+16)],"",0,1)</f>
        <v>0</v>
      </c>
      <c r="W58" s="40" cm="1">
        <f t="array" ref="W58">_xlfn.XLOOKUP($A58,ACT[[№]:[№]],ACT[Total amount/ Общая стоимость (17*exchange rate/ обменный курс)
 USD],"",0,1)</f>
        <v>0</v>
      </c>
      <c r="X58" s="9" cm="1">
        <f t="array" ref="X5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58" s="12">
        <f>VLOOKUP(Шаблон_Формулы[[#This Row],[24]],Курс_840[[Дата]:[Курс]],2,0)</f>
        <v>12089</v>
      </c>
      <c r="Z58" s="42">
        <f>IFERROR(Шаблон_Формулы[[#This Row],[23]]*Шаблон_Формулы[[#This Row],[25]],"")</f>
        <v>0</v>
      </c>
      <c r="AA58" s="13" t="str" cm="1">
        <f t="array" ref="AA58">ACT_number[№ исходящего акта]</f>
        <v>468 LCL</v>
      </c>
    </row>
    <row r="59" spans="1:27" s="8" customFormat="1" ht="12">
      <c r="A59" s="11">
        <v>55</v>
      </c>
      <c r="B59" s="8" t="str" cm="1">
        <f t="array" ref="B59">_xlfn.XLOOKUP($A59,ACT[[№]:[№]],ACT[Container No/
№ Контейнера],"",0,1)</f>
        <v>BMOU4590118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37" cm="1">
        <f t="array" ref="E59">_xlfn.XLOOKUP($A59,ACT[[№]:[№]],ACT[Date of Dispatch/ 
Дата отгрузки],"",0,1)</f>
        <v>45124</v>
      </c>
      <c r="F59" s="38" t="str" cm="1">
        <f t="array" ref="F59">_xlfn.XLOOKUP($A59,ACT[[№]:[№]],ACT[Supplier/ Поставщик],"",0,1)</f>
        <v>Chungwoo (GEM Project)</v>
      </c>
      <c r="G59" s="38" t="str" cm="1">
        <f t="array" ref="G59">_xlfn.XLOOKUP($A59,ACT[[№]:[№]],ACT[Supplier Invoice No/                          № Инвойса Поставщика],"",0,1)</f>
        <v>UZATK0059(1)</v>
      </c>
      <c r="H59" s="39" cm="1">
        <f t="array" ref="H59">_xlfn.XLOOKUP($A59,ACT[[№]:[№]],ACT[CBM],"",0,1)</f>
        <v>12.29</v>
      </c>
      <c r="I59" s="39" cm="1">
        <f t="array" ref="I59">_xlfn.XLOOKUP($A59,ACT[[№]:[№]],ACT[Gross weight, kg/ Вес брутто, кг],"",0,1)</f>
        <v>13005</v>
      </c>
      <c r="J59" s="39" t="str" cm="1">
        <f t="array" ref="J59">_xlfn.XLOOKUP($A59,ACT[[№]:[№]],ACT[Delivery terms / Условия поставки],"",0,1)</f>
        <v>FCA</v>
      </c>
      <c r="K59" s="39" cm="1">
        <f t="array" ref="K59">_xlfn.XLOOKUP($A59,ACT[[№]:[№]],ACT[Container total CBM],"",0,1)</f>
        <v>42.854999999999997</v>
      </c>
      <c r="L59" s="40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1230000</v>
      </c>
      <c r="M59" s="40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104342.1</v>
      </c>
      <c r="N59" s="40" cm="1">
        <f t="array" ref="N59">_xlfn.XLOOKUP($A59,ACT[[№]:[№]],ACT[Shoring, Banding, Sealing, Handling/ Крепление, Перевязка, Опечатование, Обработка
KRW],"",0,1)</f>
        <v>55578.158907945399</v>
      </c>
      <c r="O59" s="40" cm="1">
        <f t="array" ref="O59">_xlfn.XLOOKUP($A59,ACT[[№]:[№]],ACT[Documents Work/ Сбор за подготовку документов
KRW],"",0,1)</f>
        <v>14339.050285847628</v>
      </c>
      <c r="P59" s="40" cm="1">
        <f t="array" ref="P59">_xlfn.XLOOKUP($A59,ACT[[№]:[№]],ACT[THC/ Терминальная обработка
KRW],"",0,1)</f>
        <v>53169.198459922998</v>
      </c>
      <c r="Q59" s="40" cm="1">
        <f t="array" ref="Q59">_xlfn.XLOOKUP($A59,ACT[[№]:[№]],ACT[Wharfage/ Портовая пошлина
KRW],"",0,1)</f>
        <v>2609.707152024268</v>
      </c>
      <c r="R59" s="40" cm="1">
        <f t="array" ref="R59">_xlfn.XLOOKUP($A59,ACT[[№]:[№]],ACT[TRUCKING CHARGE],"",0,1)</f>
        <v>0</v>
      </c>
      <c r="S59" s="40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80442.072103605184</v>
      </c>
      <c r="T59" s="40" cm="1">
        <f t="array" ref="T59">_xlfn.XLOOKUP($A59,ACT[[№]:[№]],ACT[Special Wooden Shoring / Специальное деревянное крепление],"",0,1)</f>
        <v>0</v>
      </c>
      <c r="U59" s="9"/>
      <c r="V59" s="40" cm="1">
        <f t="array" ref="V59">_xlfn.XLOOKUP($A59,ACT[[№]:[№]],ACT[Total amount/ Общая стоимость KRW (10+11+12+13+14+15+16)],"",0,1)</f>
        <v>1540480.2869093458</v>
      </c>
      <c r="W59" s="40" cm="1">
        <f t="array" ref="W59">_xlfn.XLOOKUP($A59,ACT[[№]:[№]],ACT[Total amount/ Общая стоимость (17*exchange rate/ обменный курс)
 USD],"",0,1)</f>
        <v>1197.6099999999999</v>
      </c>
      <c r="X59" s="9" cm="1">
        <f t="array" ref="X5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59" s="12">
        <f>VLOOKUP(Шаблон_Формулы[[#This Row],[24]],Курс_840[[Дата]:[Курс]],2,0)</f>
        <v>12089</v>
      </c>
      <c r="Z59" s="42">
        <f>IFERROR(Шаблон_Формулы[[#This Row],[23]]*Шаблон_Формулы[[#This Row],[25]],"")</f>
        <v>14477907.289999999</v>
      </c>
      <c r="AA59" s="13" t="str" cm="1">
        <f t="array" ref="AA59">ACT_number[№ исходящего акта]</f>
        <v>468 LCL</v>
      </c>
    </row>
    <row r="60" spans="1:27" s="8" customFormat="1" ht="12">
      <c r="A60" s="11">
        <v>56</v>
      </c>
      <c r="B60" s="8" t="str" cm="1">
        <f t="array" ref="B60">_xlfn.XLOOKUP($A60,ACT[[№]:[№]],ACT[Container No/
№ Контейнера],"",0,1)</f>
        <v>BMOU4590118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37" cm="1">
        <f t="array" ref="E60">_xlfn.XLOOKUP($A60,ACT[[№]:[№]],ACT[Date of Dispatch/ 
Дата отгрузки],"",0,1)</f>
        <v>45124</v>
      </c>
      <c r="F60" s="38" t="str" cm="1">
        <f t="array" ref="F60">_xlfn.XLOOKUP($A60,ACT[[№]:[№]],ACT[Supplier/ Поставщик],"",0,1)</f>
        <v>DMC (GEM Project)</v>
      </c>
      <c r="G60" s="38" t="str" cm="1">
        <f t="array" ref="G60">_xlfn.XLOOKUP($A60,ACT[[№]:[№]],ACT[Supplier Invoice No/                          № Инвойса Поставщика],"",0,1)</f>
        <v>UZATK0059(2)</v>
      </c>
      <c r="H60" s="39" cm="1">
        <f t="array" ref="H60">_xlfn.XLOOKUP($A60,ACT[[№]:[№]],ACT[CBM],"",0,1)</f>
        <v>4.0289999999999999</v>
      </c>
      <c r="I60" s="39" cm="1">
        <f t="array" ref="I60">_xlfn.XLOOKUP($A60,ACT[[№]:[№]],ACT[Gross weight, kg/ Вес брутто, кг],"",0,1)</f>
        <v>633</v>
      </c>
      <c r="J60" s="39" t="str" cm="1">
        <f t="array" ref="J60">_xlfn.XLOOKUP($A60,ACT[[№]:[№]],ACT[Delivery terms / Условия поставки],"",0,1)</f>
        <v>FCA</v>
      </c>
      <c r="K60" s="39" cm="1">
        <f t="array" ref="K60">_xlfn.XLOOKUP($A60,ACT[[№]:[№]],ACT[Container total CBM],"",0,1)</f>
        <v>42.854999999999997</v>
      </c>
      <c r="L60" s="40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241000</v>
      </c>
      <c r="M60" s="40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34206.21</v>
      </c>
      <c r="N60" s="40" cm="1">
        <f t="array" ref="N60">_xlfn.XLOOKUP($A60,ACT[[№]:[№]],ACT[Shoring, Banding, Sealing, Handling/ Крепление, Перевязка, Опечатование, Обработка
KRW],"",0,1)</f>
        <v>18220.049002450123</v>
      </c>
      <c r="O60" s="40" cm="1">
        <f t="array" ref="O60">_xlfn.XLOOKUP($A60,ACT[[№]:[№]],ACT[Documents Work/ Сбор за подготовку документов
KRW],"",0,1)</f>
        <v>4700.7350367518384</v>
      </c>
      <c r="P60" s="40" cm="1">
        <f t="array" ref="P60">_xlfn.XLOOKUP($A60,ACT[[№]:[№]],ACT[THC/ Терминальная обработка
KRW],"",0,1)</f>
        <v>17430.325516275814</v>
      </c>
      <c r="Q60" s="40" cm="1">
        <f t="array" ref="Q60">_xlfn.XLOOKUP($A60,ACT[[№]:[№]],ACT[Wharfage/ Портовая пошлина
KRW],"",0,1)</f>
        <v>855.53377668883456</v>
      </c>
      <c r="R60" s="40" cm="1">
        <f t="array" ref="R60">_xlfn.XLOOKUP($A60,ACT[[№]:[№]],ACT[TRUCKING CHARGE],"",0,1)</f>
        <v>0</v>
      </c>
      <c r="S60" s="40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26371.123556177812</v>
      </c>
      <c r="T60" s="40" cm="1">
        <f t="array" ref="T60">_xlfn.XLOOKUP($A60,ACT[[№]:[№]],ACT[Special Wooden Shoring / Специальное деревянное крепление],"",0,1)</f>
        <v>0</v>
      </c>
      <c r="U60" s="9"/>
      <c r="V60" s="40" cm="1">
        <f t="array" ref="V60">_xlfn.XLOOKUP($A60,ACT[[№]:[№]],ACT[Total amount/ Общая стоимость KRW (10+11+12+13+14+15+16)],"",0,1)</f>
        <v>342783.97688834451</v>
      </c>
      <c r="W60" s="40" cm="1">
        <f t="array" ref="W60">_xlfn.XLOOKUP($A60,ACT[[№]:[№]],ACT[Total amount/ Общая стоимость (17*exchange rate/ обменный курс)
 USD],"",0,1)</f>
        <v>266.49</v>
      </c>
      <c r="X60" s="9" cm="1">
        <f t="array" ref="X6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60" s="12">
        <f>VLOOKUP(Шаблон_Формулы[[#This Row],[24]],Курс_840[[Дата]:[Курс]],2,0)</f>
        <v>12089</v>
      </c>
      <c r="Z60" s="42">
        <f>IFERROR(Шаблон_Формулы[[#This Row],[23]]*Шаблон_Формулы[[#This Row],[25]],"")</f>
        <v>3221597.6100000003</v>
      </c>
      <c r="AA60" s="13" t="str" cm="1">
        <f t="array" ref="AA60">ACT_number[№ исходящего акта]</f>
        <v>468 LCL</v>
      </c>
    </row>
    <row r="61" spans="1:27" s="8" customFormat="1" ht="12">
      <c r="A61" s="11">
        <v>57</v>
      </c>
      <c r="B61" s="8" t="str" cm="1">
        <f t="array" ref="B61">_xlfn.XLOOKUP($A61,ACT[[№]:[№]],ACT[Container No/
№ Контейнера],"",0,1)</f>
        <v>BMOU4590118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37" cm="1">
        <f t="array" ref="E61">_xlfn.XLOOKUP($A61,ACT[[№]:[№]],ACT[Date of Dispatch/ 
Дата отгрузки],"",0,1)</f>
        <v>45124</v>
      </c>
      <c r="F61" s="38" t="str" cm="1">
        <f t="array" ref="F61">_xlfn.XLOOKUP($A61,ACT[[№]:[№]],ACT[Supplier/ Поставщик],"",0,1)</f>
        <v>Youngshin (GEM Project)</v>
      </c>
      <c r="G61" s="38" t="str" cm="1">
        <f t="array" ref="G61">_xlfn.XLOOKUP($A61,ACT[[№]:[№]],ACT[Supplier Invoice No/                          № Инвойса Поставщика],"",0,1)</f>
        <v>UZATK0059(3)</v>
      </c>
      <c r="H61" s="39" cm="1">
        <f t="array" ref="H61">_xlfn.XLOOKUP($A61,ACT[[№]:[№]],ACT[CBM],"",0,1)</f>
        <v>2.7450000000000001</v>
      </c>
      <c r="I61" s="39" cm="1">
        <f t="array" ref="I61">_xlfn.XLOOKUP($A61,ACT[[№]:[№]],ACT[Gross weight, kg/ Вес брутто, кг],"",0,1)</f>
        <v>2942.01</v>
      </c>
      <c r="J61" s="39" t="str" cm="1">
        <f t="array" ref="J61">_xlfn.XLOOKUP($A61,ACT[[№]:[№]],ACT[Delivery terms / Условия поставки],"",0,1)</f>
        <v>FCA</v>
      </c>
      <c r="K61" s="39" cm="1">
        <f t="array" ref="K61">_xlfn.XLOOKUP($A61,ACT[[№]:[№]],ACT[Container total CBM],"",0,1)</f>
        <v>42.854999999999997</v>
      </c>
      <c r="L61" s="40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465000</v>
      </c>
      <c r="M61" s="40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23305.05</v>
      </c>
      <c r="N61" s="40" cm="1">
        <f t="array" ref="N61">_xlfn.XLOOKUP($A61,ACT[[№]:[№]],ACT[Shoring, Banding, Sealing, Handling/ Крепление, Перевязка, Опечатование, Обработка
KRW],"",0,1)</f>
        <v>12413.510675533777</v>
      </c>
      <c r="O61" s="40" cm="1">
        <f t="array" ref="O61">_xlfn.XLOOKUP($A61,ACT[[№]:[№]],ACT[Documents Work/ Сбор за подготовку документов
KRW],"",0,1)</f>
        <v>3202.6601330066505</v>
      </c>
      <c r="P61" s="40" cm="1">
        <f t="array" ref="P61">_xlfn.XLOOKUP($A61,ACT[[№]:[№]],ACT[THC/ Терминальная обработка
KRW],"",0,1)</f>
        <v>11875.46377318866</v>
      </c>
      <c r="Q61" s="40" cm="1">
        <f t="array" ref="Q61">_xlfn.XLOOKUP($A61,ACT[[№]:[№]],ACT[Wharfage/ Портовая пошлина
KRW],"",0,1)</f>
        <v>582.8841442072104</v>
      </c>
      <c r="R61" s="40" cm="1">
        <f t="array" ref="R61">_xlfn.XLOOKUP($A61,ACT[[№]:[№]],ACT[TRUCKING CHARGE],"",0,1)</f>
        <v>0</v>
      </c>
      <c r="S61" s="40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17966.92334616731</v>
      </c>
      <c r="T61" s="40" cm="1">
        <f t="array" ref="T61">_xlfn.XLOOKUP($A61,ACT[[№]:[№]],ACT[Special Wooden Shoring / Специальное деревянное крепление],"",0,1)</f>
        <v>0</v>
      </c>
      <c r="U61" s="9"/>
      <c r="V61" s="40" cm="1">
        <f t="array" ref="V61">_xlfn.XLOOKUP($A61,ACT[[№]:[№]],ACT[Total amount/ Общая стоимость KRW (10+11+12+13+14+15+16)],"",0,1)</f>
        <v>534346.49207210355</v>
      </c>
      <c r="W61" s="40" cm="1">
        <f t="array" ref="W61">_xlfn.XLOOKUP($A61,ACT[[№]:[№]],ACT[Total amount/ Общая стоимость (17*exchange rate/ обменный курс)
 USD],"",0,1)</f>
        <v>415.41</v>
      </c>
      <c r="X61" s="9" cm="1">
        <f t="array" ref="X6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61" s="12">
        <f>VLOOKUP(Шаблон_Формулы[[#This Row],[24]],Курс_840[[Дата]:[Курс]],2,0)</f>
        <v>12089</v>
      </c>
      <c r="Z61" s="42">
        <f>IFERROR(Шаблон_Формулы[[#This Row],[23]]*Шаблон_Формулы[[#This Row],[25]],"")</f>
        <v>5021891.49</v>
      </c>
      <c r="AA61" s="13" t="str" cm="1">
        <f t="array" ref="AA61">ACT_number[№ исходящего акта]</f>
        <v>468 LCL</v>
      </c>
    </row>
    <row r="62" spans="1:27" s="8" customFormat="1" ht="12">
      <c r="A62" s="11">
        <v>58</v>
      </c>
      <c r="B62" s="8" t="str" cm="1">
        <f t="array" ref="B62">_xlfn.XLOOKUP($A62,ACT[[№]:[№]],ACT[Container No/
№ Контейнера],"",0,1)</f>
        <v>BMOU4590118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37" cm="1">
        <f t="array" ref="E62">_xlfn.XLOOKUP($A62,ACT[[№]:[№]],ACT[Date of Dispatch/ 
Дата отгрузки],"",0,1)</f>
        <v>45124</v>
      </c>
      <c r="F62" s="38" t="str" cm="1">
        <f t="array" ref="F62">_xlfn.XLOOKUP($A62,ACT[[№]:[№]],ACT[Supplier/ Поставщик],"",0,1)</f>
        <v>Youngshin (GEM Project)</v>
      </c>
      <c r="G62" s="38" t="str" cm="1">
        <f t="array" ref="G62">_xlfn.XLOOKUP($A62,ACT[[№]:[№]],ACT[Supplier Invoice No/                          № Инвойса Поставщика],"",0,1)</f>
        <v>UZATK0059(4)</v>
      </c>
      <c r="H62" s="39" cm="1">
        <f t="array" ref="H62">_xlfn.XLOOKUP($A62,ACT[[№]:[№]],ACT[CBM],"",0,1)</f>
        <v>0.75600000000000001</v>
      </c>
      <c r="I62" s="39" cm="1">
        <f t="array" ref="I62">_xlfn.XLOOKUP($A62,ACT[[№]:[№]],ACT[Gross weight, kg/ Вес брутто, кг],"",0,1)</f>
        <v>374.7</v>
      </c>
      <c r="J62" s="39" t="str" cm="1">
        <f t="array" ref="J62">_xlfn.XLOOKUP($A62,ACT[[№]:[№]],ACT[Delivery terms / Условия поставки],"",0,1)</f>
        <v>FCA</v>
      </c>
      <c r="K62" s="39" cm="1">
        <f t="array" ref="K62">_xlfn.XLOOKUP($A62,ACT[[№]:[№]],ACT[Container total CBM],"",0,1)</f>
        <v>42.854999999999997</v>
      </c>
      <c r="L62" s="40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289000</v>
      </c>
      <c r="M62" s="40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6418.44</v>
      </c>
      <c r="N62" s="40" cm="1">
        <f t="array" ref="N62">_xlfn.XLOOKUP($A62,ACT[[№]:[№]],ACT[Shoring, Banding, Sealing, Handling/ Крепление, Перевязка, Опечатование, Обработка
KRW],"",0,1)</f>
        <v>3418.802940147008</v>
      </c>
      <c r="O62" s="40" cm="1">
        <f t="array" ref="O62">_xlfn.XLOOKUP($A62,ACT[[№]:[№]],ACT[Documents Work/ Сбор за подготовку документов
KRW],"",0,1)</f>
        <v>882.04410220511045</v>
      </c>
      <c r="P62" s="40" cm="1">
        <f t="array" ref="P62">_xlfn.XLOOKUP($A62,ACT[[№]:[№]],ACT[THC/ Терминальная обработка
KRW],"",0,1)</f>
        <v>3270.6195309765494</v>
      </c>
      <c r="Q62" s="40" cm="1">
        <f t="array" ref="Q62">_xlfn.XLOOKUP($A62,ACT[[№]:[№]],ACT[Wharfage/ Портовая пошлина
KRW],"",0,1)</f>
        <v>160.5320266013301</v>
      </c>
      <c r="R62" s="40" cm="1">
        <f t="array" ref="R62">_xlfn.XLOOKUP($A62,ACT[[№]:[№]],ACT[TRUCKING CHARGE],"",0,1)</f>
        <v>0</v>
      </c>
      <c r="S62" s="40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4948.2674133706696</v>
      </c>
      <c r="T62" s="40" cm="1">
        <f t="array" ref="T62">_xlfn.XLOOKUP($A62,ACT[[№]:[№]],ACT[Special Wooden Shoring / Специальное деревянное крепление],"",0,1)</f>
        <v>0</v>
      </c>
      <c r="U62" s="9"/>
      <c r="V62" s="40" cm="1">
        <f t="array" ref="V62">_xlfn.XLOOKUP($A62,ACT[[№]:[№]],ACT[Total amount/ Общая стоимость KRW (10+11+12+13+14+15+16)],"",0,1)</f>
        <v>308098.70601330069</v>
      </c>
      <c r="W62" s="40" cm="1">
        <f t="array" ref="W62">_xlfn.XLOOKUP($A62,ACT[[№]:[№]],ACT[Total amount/ Общая стоимость (17*exchange rate/ обменный курс)
 USD],"",0,1)</f>
        <v>239.52</v>
      </c>
      <c r="X62" s="9" cm="1">
        <f t="array" ref="X6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62" s="12">
        <f>VLOOKUP(Шаблон_Формулы[[#This Row],[24]],Курс_840[[Дата]:[Курс]],2,0)</f>
        <v>12089</v>
      </c>
      <c r="Z62" s="42">
        <f>IFERROR(Шаблон_Формулы[[#This Row],[23]]*Шаблон_Формулы[[#This Row],[25]],"")</f>
        <v>2895557.2800000003</v>
      </c>
      <c r="AA62" s="13" t="str" cm="1">
        <f t="array" ref="AA62">ACT_number[№ исходящего акта]</f>
        <v>468 LCL</v>
      </c>
    </row>
    <row r="63" spans="1:27" s="8" customFormat="1" ht="12">
      <c r="A63" s="11">
        <v>59</v>
      </c>
      <c r="B63" s="8" t="str" cm="1">
        <f t="array" ref="B63">_xlfn.XLOOKUP($A63,ACT[[№]:[№]],ACT[Container No/
№ Контейнера],"",0,1)</f>
        <v>BMOU4590118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37" cm="1">
        <f t="array" ref="E63">_xlfn.XLOOKUP($A63,ACT[[№]:[№]],ACT[Date of Dispatch/ 
Дата отгрузки],"",0,1)</f>
        <v>45124</v>
      </c>
      <c r="F63" s="38" t="str" cm="1">
        <f t="array" ref="F63">_xlfn.XLOOKUP($A63,ACT[[№]:[№]],ACT[Supplier/ Поставщик],"",0,1)</f>
        <v>Samshin(GEM Project)</v>
      </c>
      <c r="G63" s="38" t="str" cm="1">
        <f t="array" ref="G63">_xlfn.XLOOKUP($A63,ACT[[№]:[№]],ACT[Supplier Invoice No/                          № Инвойса Поставщика],"",0,1)</f>
        <v>UZATK0059(5)</v>
      </c>
      <c r="H63" s="39" cm="1">
        <f t="array" ref="H63">_xlfn.XLOOKUP($A63,ACT[[№]:[№]],ACT[CBM],"",0,1)</f>
        <v>0.20499999999999999</v>
      </c>
      <c r="I63" s="39" cm="1">
        <f t="array" ref="I63">_xlfn.XLOOKUP($A63,ACT[[№]:[№]],ACT[Gross weight, kg/ Вес брутто, кг],"",0,1)</f>
        <v>21</v>
      </c>
      <c r="J63" s="39" t="str" cm="1">
        <f t="array" ref="J63">_xlfn.XLOOKUP($A63,ACT[[№]:[№]],ACT[Delivery terms / Условия поставки],"",0,1)</f>
        <v>FCA</v>
      </c>
      <c r="K63" s="39" cm="1">
        <f t="array" ref="K63">_xlfn.XLOOKUP($A63,ACT[[№]:[№]],ACT[Container total CBM],"",0,1)</f>
        <v>42.854999999999997</v>
      </c>
      <c r="L63" s="40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288000</v>
      </c>
      <c r="M63" s="40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1740.4499999999998</v>
      </c>
      <c r="N63" s="40" cm="1">
        <f t="array" ref="N63">_xlfn.XLOOKUP($A63,ACT[[№]:[№]],ACT[Shoring, Banding, Sealing, Handling/ Крепление, Перевязка, Опечатование, Обработка
KRW],"",0,1)</f>
        <v>927.05635281764091</v>
      </c>
      <c r="O63" s="40" cm="1">
        <f t="array" ref="O63">_xlfn.XLOOKUP($A63,ACT[[№]:[№]],ACT[Documents Work/ Сбор за подготовку документов
KRW],"",0,1)</f>
        <v>239.17862559794659</v>
      </c>
      <c r="P63" s="40" cm="1">
        <f t="array" ref="P63">_xlfn.XLOOKUP($A63,ACT[[№]:[№]],ACT[THC/ Терминальная обработка
KRW],"",0,1)</f>
        <v>886.87434371718587</v>
      </c>
      <c r="Q63" s="40" cm="1">
        <f t="array" ref="Q63">_xlfn.XLOOKUP($A63,ACT[[№]:[№]],ACT[Wharfage/ Портовая пошлина
KRW],"",0,1)</f>
        <v>43.530509858826278</v>
      </c>
      <c r="R63" s="40" cm="1">
        <f t="array" ref="R63">_xlfn.XLOOKUP($A63,ACT[[№]:[№]],ACT[TRUCKING CHARGE],"",0,1)</f>
        <v>0</v>
      </c>
      <c r="S63" s="40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1341.7920896044802</v>
      </c>
      <c r="T63" s="40" cm="1">
        <f t="array" ref="T63">_xlfn.XLOOKUP($A63,ACT[[№]:[№]],ACT[Special Wooden Shoring / Специальное деревянное крепление],"",0,1)</f>
        <v>0</v>
      </c>
      <c r="U63" s="9"/>
      <c r="V63" s="40" cm="1">
        <f t="array" ref="V63">_xlfn.XLOOKUP($A63,ACT[[№]:[№]],ACT[Total amount/ Общая стоимость KRW (10+11+12+13+14+15+16)],"",0,1)</f>
        <v>293178.88192159607</v>
      </c>
      <c r="W63" s="40" cm="1">
        <f t="array" ref="W63">_xlfn.XLOOKUP($A63,ACT[[№]:[№]],ACT[Total amount/ Общая стоимость (17*exchange rate/ обменный курс)
 USD],"",0,1)</f>
        <v>227.92</v>
      </c>
      <c r="X63" s="9" cm="1">
        <f t="array" ref="X6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63" s="12">
        <f>VLOOKUP(Шаблон_Формулы[[#This Row],[24]],Курс_840[[Дата]:[Курс]],2,0)</f>
        <v>12089</v>
      </c>
      <c r="Z63" s="42">
        <f>IFERROR(Шаблон_Формулы[[#This Row],[23]]*Шаблон_Формулы[[#This Row],[25]],"")</f>
        <v>2755324.88</v>
      </c>
      <c r="AA63" s="13" t="str" cm="1">
        <f t="array" ref="AA63">ACT_number[№ исходящего акта]</f>
        <v>468 LCL</v>
      </c>
    </row>
    <row r="64" spans="1:27" s="8" customFormat="1" ht="12">
      <c r="A64" s="11">
        <v>60</v>
      </c>
      <c r="B64" s="8" t="str" cm="1">
        <f t="array" ref="B64">_xlfn.XLOOKUP($A64,ACT[[№]:[№]],ACT[Container No/
№ Контейнера],"",0,1)</f>
        <v>FFAU4656725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37" cm="1">
        <f t="array" ref="E64">_xlfn.XLOOKUP($A64,ACT[[№]:[№]],ACT[Date of Dispatch/ 
Дата отгрузки],"",0,1)</f>
        <v>45130</v>
      </c>
      <c r="F64" s="38" t="str" cm="1">
        <f t="array" ref="F64">_xlfn.XLOOKUP($A64,ACT[[№]:[№]],ACT[Supplier/ Поставщик],"",0,1)</f>
        <v>Erae AMS</v>
      </c>
      <c r="G64" s="38" t="str" cm="1">
        <f t="array" ref="G64">_xlfn.XLOOKUP($A64,ACT[[№]:[№]],ACT[Supplier Invoice No/                          № Инвойса Поставщика],"",0,1)</f>
        <v>DM237SA03</v>
      </c>
      <c r="H64" s="39" cm="1">
        <f t="array" ref="H64">_xlfn.XLOOKUP($A64,ACT[[№]:[№]],ACT[CBM],"",0,1)</f>
        <v>26.97</v>
      </c>
      <c r="I64" s="39" cm="1">
        <f t="array" ref="I64">_xlfn.XLOOKUP($A64,ACT[[№]:[№]],ACT[Gross weight, kg/ Вес брутто, кг],"",0,1)</f>
        <v>17900</v>
      </c>
      <c r="J64" s="39" t="str" cm="1">
        <f t="array" ref="J64">_xlfn.XLOOKUP($A64,ACT[[№]:[№]],ACT[Delivery terms / Условия поставки],"",0,1)</f>
        <v>FCA</v>
      </c>
      <c r="K64" s="39" cm="1">
        <f t="array" ref="K64">_xlfn.XLOOKUP($A64,ACT[[№]:[№]],ACT[Container total CBM],"",0,1)</f>
        <v>52.369</v>
      </c>
      <c r="L64" s="40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768000</v>
      </c>
      <c r="M64" s="40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228975.3</v>
      </c>
      <c r="N64" s="40" cm="1">
        <f t="array" ref="N64">_xlfn.XLOOKUP($A64,ACT[[№]:[№]],ACT[Shoring, Banding, Sealing, Handling/ Крепление, Перевязка, Опечатование, Обработка
KRW],"",0,1)</f>
        <v>99806.870476808806</v>
      </c>
      <c r="O64" s="40" cm="1">
        <f t="array" ref="O64">_xlfn.XLOOKUP($A64,ACT[[№]:[№]],ACT[Documents Work/ Сбор за подготовку документов
KRW],"",0,1)</f>
        <v>25749.966583284</v>
      </c>
      <c r="P64" s="40" cm="1">
        <f t="array" ref="P64">_xlfn.XLOOKUP($A64,ACT[[№]:[№]],ACT[THC/ Терминальная обработка
KRW],"",0,1)</f>
        <v>95480.876090817095</v>
      </c>
      <c r="Q64" s="40" cm="1">
        <f t="array" ref="Q64">_xlfn.XLOOKUP($A64,ACT[[№]:[№]],ACT[Wharfage/ Портовая пошлина
KRW],"",0,1)</f>
        <v>4686.4939181576883</v>
      </c>
      <c r="R64" s="40" cm="1">
        <f t="array" ref="R64">_xlfn.XLOOKUP($A64,ACT[[№]:[№]],ACT[TRUCKING CHARGE],"",0,1)</f>
        <v>0</v>
      </c>
      <c r="S64" s="40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144457.31253222324</v>
      </c>
      <c r="T64" s="40" cm="1">
        <f t="array" ref="T64">_xlfn.XLOOKUP($A64,ACT[[№]:[№]],ACT[Special Wooden Shoring / Специальное деревянное крепление],"",0,1)</f>
        <v>0</v>
      </c>
      <c r="U64" s="9"/>
      <c r="V64" s="40" cm="1">
        <f t="array" ref="V64">_xlfn.XLOOKUP($A64,ACT[[№]:[№]],ACT[Total amount/ Общая стоимость KRW (10+11+12+13+14+15+16)],"",0,1)</f>
        <v>1367156.8196012911</v>
      </c>
      <c r="W64" s="40" cm="1">
        <f t="array" ref="W64">_xlfn.XLOOKUP($A64,ACT[[№]:[№]],ACT[Total amount/ Общая стоимость (17*exchange rate/ обменный курс)
 USD],"",0,1)</f>
        <v>1062.8599999999999</v>
      </c>
      <c r="X64" s="9" cm="1">
        <f t="array" ref="X6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64" s="12">
        <f>VLOOKUP(Шаблон_Формулы[[#This Row],[24]],Курс_840[[Дата]:[Курс]],2,0)</f>
        <v>12089</v>
      </c>
      <c r="Z64" s="42">
        <f>IFERROR(Шаблон_Формулы[[#This Row],[23]]*Шаблон_Формулы[[#This Row],[25]],"")</f>
        <v>12848914.539999999</v>
      </c>
      <c r="AA64" s="13" t="str" cm="1">
        <f t="array" ref="AA64">ACT_number[№ исходящего акта]</f>
        <v>468 LCL</v>
      </c>
    </row>
    <row r="65" spans="1:27" s="8" customFormat="1" ht="12">
      <c r="A65" s="11">
        <v>61</v>
      </c>
      <c r="B65" s="8" t="str" cm="1">
        <f t="array" ref="B65">_xlfn.XLOOKUP($A65,ACT[[№]:[№]],ACT[Container No/
№ Контейнера],"",0,1)</f>
        <v>FFAU4656725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37" cm="1">
        <f t="array" ref="E65">_xlfn.XLOOKUP($A65,ACT[[№]:[№]],ACT[Date of Dispatch/ 
Дата отгрузки],"",0,1)</f>
        <v>45130</v>
      </c>
      <c r="F65" s="38" t="str" cm="1">
        <f t="array" ref="F65">_xlfn.XLOOKUP($A65,ACT[[№]:[№]],ACT[Supplier/ Поставщик],"",0,1)</f>
        <v>Erae AMS</v>
      </c>
      <c r="G65" s="38" t="str" cm="1">
        <f t="array" ref="G65">_xlfn.XLOOKUP($A65,ACT[[№]:[№]],ACT[Supplier Invoice No/                          № Инвойса Поставщика],"",0,1)</f>
        <v>DM237AU03-1(1)</v>
      </c>
      <c r="H65" s="39" cm="1">
        <f t="array" ref="H65">_xlfn.XLOOKUP($A65,ACT[[№]:[№]],ACT[CBM],"",0,1)</f>
        <v>14.023999999999999</v>
      </c>
      <c r="I65" s="39" cm="1">
        <f t="array" ref="I65">_xlfn.XLOOKUP($A65,ACT[[№]:[№]],ACT[Gross weight, kg/ Вес брутто, кг],"",0,1)</f>
        <v>1746.42</v>
      </c>
      <c r="J65" s="39" t="str" cm="1">
        <f t="array" ref="J65">_xlfn.XLOOKUP($A65,ACT[[№]:[№]],ACT[Delivery terms / Условия поставки],"",0,1)</f>
        <v>FCA</v>
      </c>
      <c r="K65" s="39" cm="1">
        <f t="array" ref="K65">_xlfn.XLOOKUP($A65,ACT[[№]:[№]],ACT[Container total CBM],"",0,1)</f>
        <v>52.369</v>
      </c>
      <c r="L65" s="40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332000</v>
      </c>
      <c r="M65" s="40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119063.76</v>
      </c>
      <c r="N65" s="40" cm="1">
        <f t="array" ref="N65">_xlfn.XLOOKUP($A65,ACT[[№]:[№]],ACT[Shoring, Banding, Sealing, Handling/ Крепление, Перевязка, Опечатование, Обработка
KRW],"",0,1)</f>
        <v>51898.092382898278</v>
      </c>
      <c r="O65" s="40" cm="1">
        <f t="array" ref="O65">_xlfn.XLOOKUP($A65,ACT[[№]:[№]],ACT[Documents Work/ Сбор за подготовку документов
KRW],"",0,1)</f>
        <v>13389.600717982012</v>
      </c>
      <c r="P65" s="40" cm="1">
        <f t="array" ref="P65">_xlfn.XLOOKUP($A65,ACT[[№]:[№]],ACT[THC/ Терминальная обработка
KRW],"",0,1)</f>
        <v>49648.6394622773</v>
      </c>
      <c r="Q65" s="40" cm="1">
        <f t="array" ref="Q65">_xlfn.XLOOKUP($A65,ACT[[№]:[№]],ACT[Wharfage/ Портовая пошлина
KRW],"",0,1)</f>
        <v>2436.9073306727259</v>
      </c>
      <c r="R65" s="40" cm="1">
        <f t="array" ref="R65">_xlfn.XLOOKUP($A65,ACT[[№]:[№]],ACT[TRUCKING CHARGE],"",0,1)</f>
        <v>0</v>
      </c>
      <c r="S65" s="40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75115.660027879087</v>
      </c>
      <c r="T65" s="40" cm="1">
        <f t="array" ref="T65">_xlfn.XLOOKUP($A65,ACT[[№]:[№]],ACT[Special Wooden Shoring / Специальное деревянное крепление],"",0,1)</f>
        <v>0</v>
      </c>
      <c r="U65" s="9"/>
      <c r="V65" s="40" cm="1">
        <f t="array" ref="V65">_xlfn.XLOOKUP($A65,ACT[[№]:[№]],ACT[Total amount/ Общая стоимость KRW (10+11+12+13+14+15+16)],"",0,1)</f>
        <v>643552.65992170933</v>
      </c>
      <c r="W65" s="40" cm="1">
        <f t="array" ref="W65">_xlfn.XLOOKUP($A65,ACT[[№]:[№]],ACT[Total amount/ Общая стоимость (17*exchange rate/ обменный курс)
 USD],"",0,1)</f>
        <v>500.31</v>
      </c>
      <c r="X65" s="9" cm="1">
        <f t="array" ref="X6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65" s="12">
        <f>VLOOKUP(Шаблон_Формулы[[#This Row],[24]],Курс_840[[Дата]:[Курс]],2,0)</f>
        <v>12089</v>
      </c>
      <c r="Z65" s="42">
        <f>IFERROR(Шаблон_Формулы[[#This Row],[23]]*Шаблон_Формулы[[#This Row],[25]],"")</f>
        <v>6048247.5899999999</v>
      </c>
      <c r="AA65" s="13" t="str" cm="1">
        <f t="array" ref="AA65">ACT_number[№ исходящего акта]</f>
        <v>468 LCL</v>
      </c>
    </row>
    <row r="66" spans="1:27" s="8" customFormat="1" ht="12">
      <c r="A66" s="11">
        <v>62</v>
      </c>
      <c r="B66" s="8" t="str" cm="1">
        <f t="array" ref="B66">_xlfn.XLOOKUP($A66,ACT[[№]:[№]],ACT[Container No/
№ Контейнера],"",0,1)</f>
        <v>FFAU4656725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37" cm="1">
        <f t="array" ref="E66">_xlfn.XLOOKUP($A66,ACT[[№]:[№]],ACT[Date of Dispatch/ 
Дата отгрузки],"",0,1)</f>
        <v>45130</v>
      </c>
      <c r="F66" s="38" t="str" cm="1">
        <f t="array" ref="F66">_xlfn.XLOOKUP($A66,ACT[[№]:[№]],ACT[Supplier/ Поставщик],"",0,1)</f>
        <v>Erae AMS</v>
      </c>
      <c r="G66" s="38" t="str" cm="1">
        <f t="array" ref="G66">_xlfn.XLOOKUP($A66,ACT[[№]:[№]],ACT[Supplier Invoice No/                          № Инвойса Поставщика],"",0,1)</f>
        <v>DM237AU03-1(2)</v>
      </c>
      <c r="H66" s="39" cm="1">
        <f t="array" ref="H66">_xlfn.XLOOKUP($A66,ACT[[№]:[№]],ACT[CBM],"",0,1)</f>
        <v>5.3949999999999996</v>
      </c>
      <c r="I66" s="39" cm="1">
        <f t="array" ref="I66">_xlfn.XLOOKUP($A66,ACT[[№]:[№]],ACT[Gross weight, kg/ Вес брутто, кг],"",0,1)</f>
        <v>424.4</v>
      </c>
      <c r="J66" s="39" t="str" cm="1">
        <f t="array" ref="J66">_xlfn.XLOOKUP($A66,ACT[[№]:[№]],ACT[Delivery terms / Условия поставки],"",0,1)</f>
        <v>FCA</v>
      </c>
      <c r="K66" s="39" cm="1">
        <f t="array" ref="K66">_xlfn.XLOOKUP($A66,ACT[[№]:[№]],ACT[Container total CBM],"",0,1)</f>
        <v>52.369</v>
      </c>
      <c r="L66" s="40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291100</v>
      </c>
      <c r="M66" s="40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45803.55</v>
      </c>
      <c r="N66" s="40" cm="1">
        <f t="array" ref="N66">_xlfn.XLOOKUP($A66,ACT[[№]:[№]],ACT[Shoring, Banding, Sealing, Handling/ Крепление, Перевязка, Опечатование, Обработка
KRW],"",0,1)</f>
        <v>19965.074757967497</v>
      </c>
      <c r="O66" s="40" cm="1">
        <f t="array" ref="O66">_xlfn.XLOOKUP($A66,ACT[[№]:[№]],ACT[Documents Work/ Сбор за подготовку документов
KRW],"",0,1)</f>
        <v>5150.9480799709745</v>
      </c>
      <c r="P66" s="40" cm="1">
        <f t="array" ref="P66">_xlfn.XLOOKUP($A66,ACT[[№]:[№]],ACT[THC/ Терминальная обработка
KRW],"",0,1)</f>
        <v>19099.715480532373</v>
      </c>
      <c r="Q66" s="40" cm="1">
        <f t="array" ref="Q66">_xlfn.XLOOKUP($A66,ACT[[№]:[№]],ACT[Wharfage/ Портовая пошлина
KRW],"",0,1)</f>
        <v>937.47255055471749</v>
      </c>
      <c r="R66" s="40" cm="1">
        <f t="array" ref="R66">_xlfn.XLOOKUP($A66,ACT[[№]:[№]],ACT[TRUCKING CHARGE],"",0,1)</f>
        <v>0</v>
      </c>
      <c r="S66" s="40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28896.818728637169</v>
      </c>
      <c r="T66" s="40" cm="1">
        <f t="array" ref="T66">_xlfn.XLOOKUP($A66,ACT[[№]:[№]],ACT[Special Wooden Shoring / Специальное деревянное крепление],"",0,1)</f>
        <v>0</v>
      </c>
      <c r="U66" s="9"/>
      <c r="V66" s="40" cm="1">
        <f t="array" ref="V66">_xlfn.XLOOKUP($A66,ACT[[№]:[№]],ACT[Total amount/ Общая стоимость KRW (10+11+12+13+14+15+16)],"",0,1)</f>
        <v>410953.57959766273</v>
      </c>
      <c r="W66" s="40" cm="1">
        <f t="array" ref="W66">_xlfn.XLOOKUP($A66,ACT[[№]:[№]],ACT[Total amount/ Общая стоимость (17*exchange rate/ обменный курс)
 USD],"",0,1)</f>
        <v>319.49</v>
      </c>
      <c r="X66" s="9" cm="1">
        <f t="array" ref="X6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66" s="12">
        <f>VLOOKUP(Шаблон_Формулы[[#This Row],[24]],Курс_840[[Дата]:[Курс]],2,0)</f>
        <v>12089</v>
      </c>
      <c r="Z66" s="42">
        <f>IFERROR(Шаблон_Формулы[[#This Row],[23]]*Шаблон_Формулы[[#This Row],[25]],"")</f>
        <v>3862314.6100000003</v>
      </c>
      <c r="AA66" s="13" t="str" cm="1">
        <f t="array" ref="AA66">ACT_number[№ исходящего акта]</f>
        <v>468 LCL</v>
      </c>
    </row>
    <row r="67" spans="1:27" s="8" customFormat="1" ht="12">
      <c r="A67" s="11">
        <v>63</v>
      </c>
      <c r="B67" s="8" t="str" cm="1">
        <f t="array" ref="B67">_xlfn.XLOOKUP($A67,ACT[[№]:[№]],ACT[Container No/
№ Контейнера],"",0,1)</f>
        <v>FFAU4656725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37" cm="1">
        <f t="array" ref="E67">_xlfn.XLOOKUP($A67,ACT[[№]:[№]],ACT[Date of Dispatch/ 
Дата отгрузки],"",0,1)</f>
        <v>45130</v>
      </c>
      <c r="F67" s="38" t="str" cm="1">
        <f t="array" ref="F67">_xlfn.XLOOKUP($A67,ACT[[№]:[№]],ACT[Supplier/ Поставщик],"",0,1)</f>
        <v>Hanyang Precision</v>
      </c>
      <c r="G67" s="38" t="str" cm="1">
        <f t="array" ref="G67">_xlfn.XLOOKUP($A67,ACT[[№]:[№]],ACT[Supplier Invoice No/                          № Инвойса Поставщика],"",0,1)</f>
        <v>HY230717U(1)</v>
      </c>
      <c r="H67" s="39" cm="1">
        <f t="array" ref="H67">_xlfn.XLOOKUP($A67,ACT[[№]:[№]],ACT[CBM],"",0,1)</f>
        <v>5.98</v>
      </c>
      <c r="I67" s="39" cm="1">
        <f t="array" ref="I67">_xlfn.XLOOKUP($A67,ACT[[№]:[№]],ACT[Gross weight, kg/ Вес брутто, кг],"",0,1)</f>
        <v>2568</v>
      </c>
      <c r="J67" s="39" t="str" cm="1">
        <f t="array" ref="J67">_xlfn.XLOOKUP($A67,ACT[[№]:[№]],ACT[Delivery terms / Условия поставки],"",0,1)</f>
        <v>FCA</v>
      </c>
      <c r="K67" s="39" cm="1">
        <f t="array" ref="K67">_xlfn.XLOOKUP($A67,ACT[[№]:[№]],ACT[Container total CBM],"",0,1)</f>
        <v>52.369</v>
      </c>
      <c r="L67" s="40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478000</v>
      </c>
      <c r="M67" s="40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50770.2</v>
      </c>
      <c r="N67" s="40" cm="1">
        <f t="array" ref="N67">_xlfn.XLOOKUP($A67,ACT[[№]:[№]],ACT[Shoring, Banding, Sealing, Handling/ Крепление, Перевязка, Опечатование, Обработка
KRW],"",0,1)</f>
        <v>22129.962382325422</v>
      </c>
      <c r="O67" s="40" cm="1">
        <f t="array" ref="O67">_xlfn.XLOOKUP($A67,ACT[[№]:[№]],ACT[Documents Work/ Сбор за подготовку документов
KRW],"",0,1)</f>
        <v>5709.4846187630092</v>
      </c>
      <c r="P67" s="40" cm="1">
        <f t="array" ref="P67">_xlfn.XLOOKUP($A67,ACT[[№]:[№]],ACT[THC/ Терминальная обработка
KRW],"",0,1)</f>
        <v>21170.768966373242</v>
      </c>
      <c r="Q67" s="40" cm="1">
        <f t="array" ref="Q67">_xlfn.XLOOKUP($A67,ACT[[№]:[№]],ACT[Wharfage/ Портовая пошлина
KRW],"",0,1)</f>
        <v>1039.1262006148677</v>
      </c>
      <c r="R67" s="40" cm="1">
        <f t="array" ref="R67">_xlfn.XLOOKUP($A67,ACT[[№]:[№]],ACT[TRUCKING CHARGE],"",0,1)</f>
        <v>0</v>
      </c>
      <c r="S67" s="40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32030.208711260479</v>
      </c>
      <c r="T67" s="40" cm="1">
        <f t="array" ref="T67">_xlfn.XLOOKUP($A67,ACT[[№]:[№]],ACT[Special Wooden Shoring / Специальное деревянное крепление],"",0,1)</f>
        <v>0</v>
      </c>
      <c r="U67" s="9"/>
      <c r="V67" s="40" cm="1">
        <f t="array" ref="V67">_xlfn.XLOOKUP($A67,ACT[[№]:[№]],ACT[Total amount/ Общая стоимость KRW (10+11+12+13+14+15+16)],"",0,1)</f>
        <v>610849.75087933696</v>
      </c>
      <c r="W67" s="40" cm="1">
        <f t="array" ref="W67">_xlfn.XLOOKUP($A67,ACT[[№]:[№]],ACT[Total amount/ Общая стоимость (17*exchange rate/ обменный курс)
 USD],"",0,1)</f>
        <v>474.89</v>
      </c>
      <c r="X67" s="9" cm="1">
        <f t="array" ref="X6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67" s="12">
        <f>VLOOKUP(Шаблон_Формулы[[#This Row],[24]],Курс_840[[Дата]:[Курс]],2,0)</f>
        <v>12089</v>
      </c>
      <c r="Z67" s="42">
        <f>IFERROR(Шаблон_Формулы[[#This Row],[23]]*Шаблон_Формулы[[#This Row],[25]],"")</f>
        <v>5740945.21</v>
      </c>
      <c r="AA67" s="13" t="str" cm="1">
        <f t="array" ref="AA67">ACT_number[№ исходящего акта]</f>
        <v>468 LCL</v>
      </c>
    </row>
    <row r="68" spans="1:27" s="8" customFormat="1" ht="12">
      <c r="A68" s="11">
        <v>64</v>
      </c>
      <c r="B68" s="8" t="str" cm="1">
        <f t="array" ref="B68">_xlfn.XLOOKUP($A68,ACT[[№]:[№]],ACT[Container No/
№ Контейнера],"",0,1)</f>
        <v>SEGU6462772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37" cm="1">
        <f t="array" ref="E68">_xlfn.XLOOKUP($A68,ACT[[№]:[№]],ACT[Date of Dispatch/ 
Дата отгрузки],"",0,1)</f>
        <v>45130</v>
      </c>
      <c r="F68" s="38" t="str" cm="1">
        <f t="array" ref="F68">_xlfn.XLOOKUP($A68,ACT[[№]:[№]],ACT[Supplier/ Поставщик],"",0,1)</f>
        <v>Erae AMS</v>
      </c>
      <c r="G68" s="38" t="str" cm="1">
        <f t="array" ref="G68">_xlfn.XLOOKUP($A68,ACT[[№]:[№]],ACT[Supplier Invoice No/                          № Инвойса Поставщика],"",0,1)</f>
        <v>DM237AU03-1(3)</v>
      </c>
      <c r="H68" s="39" cm="1">
        <f t="array" ref="H68">_xlfn.XLOOKUP($A68,ACT[[№]:[№]],ACT[CBM],"",0,1)</f>
        <v>22.654</v>
      </c>
      <c r="I68" s="39" cm="1">
        <f t="array" ref="I68">_xlfn.XLOOKUP($A68,ACT[[№]:[№]],ACT[Gross weight, kg/ Вес брутто, кг],"",0,1)</f>
        <v>3330.18</v>
      </c>
      <c r="J68" s="39" t="str" cm="1">
        <f t="array" ref="J68">_xlfn.XLOOKUP($A68,ACT[[№]:[№]],ACT[Delivery terms / Условия поставки],"",0,1)</f>
        <v>FCA</v>
      </c>
      <c r="K68" s="39" cm="1">
        <f t="array" ref="K68">_xlfn.XLOOKUP($A68,ACT[[№]:[№]],ACT[Container total CBM],"",0,1)</f>
        <v>64.730999999999995</v>
      </c>
      <c r="L68" s="40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392000</v>
      </c>
      <c r="M68" s="40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192332.46</v>
      </c>
      <c r="N68" s="40" cm="1">
        <f t="array" ref="N68">_xlfn.XLOOKUP($A68,ACT[[№]:[№]],ACT[Shoring, Banding, Sealing, Handling/ Крепление, Перевязка, Опечатование, Обработка
KRW],"",0,1)</f>
        <v>67824.461231867273</v>
      </c>
      <c r="O68" s="40" cm="1">
        <f t="array" ref="O68">_xlfn.XLOOKUP($A68,ACT[[№]:[№]],ACT[Documents Work/ Сбор за подготовку документов
KRW],"",0,1)</f>
        <v>17498.571009253683</v>
      </c>
      <c r="P68" s="40" cm="1">
        <f t="array" ref="P68">_xlfn.XLOOKUP($A68,ACT[[№]:[№]],ACT[THC/ Терминальная обработка
KRW],"",0,1)</f>
        <v>64884.701302312656</v>
      </c>
      <c r="Q68" s="40" cm="1">
        <f t="array" ref="Q68">_xlfn.XLOOKUP($A68,ACT[[№]:[№]],ACT[Wharfage/ Портовая пошлина
KRW],"",0,1)</f>
        <v>3184.7399236841702</v>
      </c>
      <c r="R68" s="40" cm="1">
        <f t="array" ref="R68">_xlfn.XLOOKUP($A68,ACT[[№]:[№]],ACT[TRUCKING CHARGE],"",0,1)</f>
        <v>0</v>
      </c>
      <c r="S68" s="40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98166.983361913168</v>
      </c>
      <c r="T68" s="40" cm="1">
        <f t="array" ref="T68">_xlfn.XLOOKUP($A68,ACT[[№]:[№]],ACT[Special Wooden Shoring / Специальное деревянное крепление],"",0,1)</f>
        <v>0</v>
      </c>
      <c r="U68" s="9"/>
      <c r="V68" s="40" cm="1">
        <f t="array" ref="V68">_xlfn.XLOOKUP($A68,ACT[[№]:[№]],ACT[Total amount/ Общая стоимость KRW (10+11+12+13+14+15+16)],"",0,1)</f>
        <v>835891.91682903108</v>
      </c>
      <c r="W68" s="40" cm="1">
        <f t="array" ref="W68">_xlfn.XLOOKUP($A68,ACT[[№]:[№]],ACT[Total amount/ Общая стоимость (17*exchange rate/ обменный курс)
 USD],"",0,1)</f>
        <v>649.84</v>
      </c>
      <c r="X68" s="9" cm="1">
        <f t="array" ref="X6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68" s="12">
        <f>VLOOKUP(Шаблон_Формулы[[#This Row],[24]],Курс_840[[Дата]:[Курс]],2,0)</f>
        <v>12089</v>
      </c>
      <c r="Z68" s="42">
        <f>IFERROR(Шаблон_Формулы[[#This Row],[23]]*Шаблон_Формулы[[#This Row],[25]],"")</f>
        <v>7855915.7600000007</v>
      </c>
      <c r="AA68" s="13" t="str" cm="1">
        <f t="array" ref="AA68">ACT_number[№ исходящего акта]</f>
        <v>468 LCL</v>
      </c>
    </row>
    <row r="69" spans="1:27" s="8" customFormat="1" ht="12">
      <c r="A69" s="11">
        <v>65</v>
      </c>
      <c r="B69" s="8" t="str" cm="1">
        <f t="array" ref="B69">_xlfn.XLOOKUP($A69,ACT[[№]:[№]],ACT[Container No/
№ Контейнера],"",0,1)</f>
        <v>SEGU6462772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37" cm="1">
        <f t="array" ref="E69">_xlfn.XLOOKUP($A69,ACT[[№]:[№]],ACT[Date of Dispatch/ 
Дата отгрузки],"",0,1)</f>
        <v>45130</v>
      </c>
      <c r="F69" s="38" t="str" cm="1">
        <f t="array" ref="F69">_xlfn.XLOOKUP($A69,ACT[[№]:[№]],ACT[Supplier/ Поставщик],"",0,1)</f>
        <v>Erae AMS</v>
      </c>
      <c r="G69" s="38" t="str" cm="1">
        <f t="array" ref="G69">_xlfn.XLOOKUP($A69,ACT[[№]:[№]],ACT[Supplier Invoice No/                          № Инвойса Поставщика],"",0,1)</f>
        <v>DM237AU03-1(4)</v>
      </c>
      <c r="H69" s="39" cm="1">
        <f t="array" ref="H69">_xlfn.XLOOKUP($A69,ACT[[№]:[№]],ACT[CBM],"",0,1)</f>
        <v>14.026999999999999</v>
      </c>
      <c r="I69" s="39" cm="1">
        <f t="array" ref="I69">_xlfn.XLOOKUP($A69,ACT[[№]:[№]],ACT[Gross weight, kg/ Вес брутто, кг],"",0,1)</f>
        <v>12019.8</v>
      </c>
      <c r="J69" s="39" t="str" cm="1">
        <f t="array" ref="J69">_xlfn.XLOOKUP($A69,ACT[[№]:[№]],ACT[Delivery terms / Условия поставки],"",0,1)</f>
        <v>FCA</v>
      </c>
      <c r="K69" s="39" cm="1">
        <f t="array" ref="K69">_xlfn.XLOOKUP($A69,ACT[[№]:[№]],ACT[Container total CBM],"",0,1)</f>
        <v>64.730999999999995</v>
      </c>
      <c r="L69" s="40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624000</v>
      </c>
      <c r="M69" s="40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119089.23</v>
      </c>
      <c r="N69" s="40" cm="1">
        <f t="array" ref="N69">_xlfn.XLOOKUP($A69,ACT[[№]:[№]],ACT[Shoring, Banding, Sealing, Handling/ Крепление, Перевязка, Опечатование, Обработка
KRW],"",0,1)</f>
        <v>41995.838161004773</v>
      </c>
      <c r="O69" s="40" cm="1">
        <f t="array" ref="O69">_xlfn.XLOOKUP($A69,ACT[[№]:[№]],ACT[Documents Work/ Сбор за подготовку документов
KRW],"",0,1)</f>
        <v>10834.839566822697</v>
      </c>
      <c r="P69" s="40" cm="1">
        <f t="array" ref="P69">_xlfn.XLOOKUP($A69,ACT[[№]:[№]],ACT[THC/ Терминальная обработка
KRW],"",0,1)</f>
        <v>40175.585113778565</v>
      </c>
      <c r="Q69" s="40" cm="1">
        <f t="array" ref="Q69">_xlfn.XLOOKUP($A69,ACT[[№]:[№]],ACT[Wharfage/ Портовая пошлина
KRW],"",0,1)</f>
        <v>1971.9408011617309</v>
      </c>
      <c r="R69" s="40" cm="1">
        <f t="array" ref="R69">_xlfn.XLOOKUP($A69,ACT[[№]:[№]],ACT[TRUCKING CHARGE],"",0,1)</f>
        <v>0</v>
      </c>
      <c r="S69" s="40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60783.449969875335</v>
      </c>
      <c r="T69" s="40" cm="1">
        <f t="array" ref="T69">_xlfn.XLOOKUP($A69,ACT[[№]:[№]],ACT[Special Wooden Shoring / Специальное деревянное крепление],"",0,1)</f>
        <v>0</v>
      </c>
      <c r="U69" s="9"/>
      <c r="V69" s="40" cm="1">
        <f t="array" ref="V69">_xlfn.XLOOKUP($A69,ACT[[№]:[№]],ACT[Total amount/ Общая стоимость KRW (10+11+12+13+14+15+16)],"",0,1)</f>
        <v>898850.88361264323</v>
      </c>
      <c r="W69" s="40" cm="1">
        <f t="array" ref="W69">_xlfn.XLOOKUP($A69,ACT[[№]:[№]],ACT[Total amount/ Общая стоимость (17*exchange rate/ обменный курс)
 USD],"",0,1)</f>
        <v>698.79</v>
      </c>
      <c r="X69" s="9" cm="1">
        <f t="array" ref="X6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69" s="12">
        <f>VLOOKUP(Шаблон_Формулы[[#This Row],[24]],Курс_840[[Дата]:[Курс]],2,0)</f>
        <v>12089</v>
      </c>
      <c r="Z69" s="42">
        <f>IFERROR(Шаблон_Формулы[[#This Row],[23]]*Шаблон_Формулы[[#This Row],[25]],"")</f>
        <v>8447672.3099999987</v>
      </c>
      <c r="AA69" s="13" t="str" cm="1">
        <f t="array" ref="AA69">ACT_number[№ исходящего акта]</f>
        <v>468 LCL</v>
      </c>
    </row>
    <row r="70" spans="1:27" s="8" customFormat="1" ht="12">
      <c r="A70" s="11">
        <v>66</v>
      </c>
      <c r="B70" s="8" t="str" cm="1">
        <f t="array" ref="B70">_xlfn.XLOOKUP($A70,ACT[[№]:[№]],ACT[Container No/
№ Контейнера],"",0,1)</f>
        <v>SEGU6462772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37" cm="1">
        <f t="array" ref="E70">_xlfn.XLOOKUP($A70,ACT[[№]:[№]],ACT[Date of Dispatch/ 
Дата отгрузки],"",0,1)</f>
        <v>45130</v>
      </c>
      <c r="F70" s="38" t="str" cm="1">
        <f t="array" ref="F70">_xlfn.XLOOKUP($A70,ACT[[№]:[№]],ACT[Supplier/ Поставщик],"",0,1)</f>
        <v>Erae AMS</v>
      </c>
      <c r="G70" s="38" t="str" cm="1">
        <f t="array" ref="G70">_xlfn.XLOOKUP($A70,ACT[[№]:[№]],ACT[Supplier Invoice No/                          № Инвойса Поставщика],"",0,1)</f>
        <v>DM237AU03-1(5)</v>
      </c>
      <c r="H70" s="39" cm="1">
        <f t="array" ref="H70">_xlfn.XLOOKUP($A70,ACT[[№]:[№]],ACT[CBM],"",0,1)</f>
        <v>8.6319999999999997</v>
      </c>
      <c r="I70" s="39" cm="1">
        <f t="array" ref="I70">_xlfn.XLOOKUP($A70,ACT[[№]:[№]],ACT[Gross weight, kg/ Вес брутто, кг],"",0,1)</f>
        <v>4832</v>
      </c>
      <c r="J70" s="39" t="str" cm="1">
        <f t="array" ref="J70">_xlfn.XLOOKUP($A70,ACT[[№]:[№]],ACT[Delivery terms / Условия поставки],"",0,1)</f>
        <v>FCA</v>
      </c>
      <c r="K70" s="39" cm="1">
        <f t="array" ref="K70">_xlfn.XLOOKUP($A70,ACT[[№]:[№]],ACT[Container total CBM],"",0,1)</f>
        <v>64.730999999999995</v>
      </c>
      <c r="L70" s="40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332000</v>
      </c>
      <c r="M70" s="40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73285.679999999993</v>
      </c>
      <c r="N70" s="40" cm="1">
        <f t="array" ref="N70">_xlfn.XLOOKUP($A70,ACT[[№]:[№]],ACT[Shoring, Banding, Sealing, Handling/ Крепление, Перевязка, Опечатование, Обработка
KRW],"",0,1)</f>
        <v>25843.592714464477</v>
      </c>
      <c r="O70" s="40" cm="1">
        <f t="array" ref="O70">_xlfn.XLOOKUP($A70,ACT[[№]:[№]],ACT[Documents Work/ Сбор за подготовку документов
KRW],"",0,1)</f>
        <v>6667.5935795831992</v>
      </c>
      <c r="P70" s="40" cm="1">
        <f t="array" ref="P70">_xlfn.XLOOKUP($A70,ACT[[№]:[№]],ACT[THC/ Терминальная обработка
KRW],"",0,1)</f>
        <v>24723.436993094503</v>
      </c>
      <c r="Q70" s="40" cm="1">
        <f t="array" ref="Q70">_xlfn.XLOOKUP($A70,ACT[[№]:[№]],ACT[Wharfage/ Портовая пошлина
KRW],"",0,1)</f>
        <v>1213.5020314841422</v>
      </c>
      <c r="R70" s="40" cm="1">
        <f t="array" ref="R70">_xlfn.XLOOKUP($A70,ACT[[№]:[№]],ACT[TRUCKING CHARGE],"",0,1)</f>
        <v>0</v>
      </c>
      <c r="S70" s="40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37405.199981461745</v>
      </c>
      <c r="T70" s="40" cm="1">
        <f t="array" ref="T70">_xlfn.XLOOKUP($A70,ACT[[№]:[№]],ACT[Special Wooden Shoring / Специальное деревянное крепление],"",0,1)</f>
        <v>0</v>
      </c>
      <c r="U70" s="9"/>
      <c r="V70" s="40" cm="1">
        <f t="array" ref="V70">_xlfn.XLOOKUP($A70,ACT[[№]:[№]],ACT[Total amount/ Общая стоимость KRW (10+11+12+13+14+15+16)],"",0,1)</f>
        <v>501139.00530008809</v>
      </c>
      <c r="W70" s="40" cm="1">
        <f t="array" ref="W70">_xlfn.XLOOKUP($A70,ACT[[№]:[№]],ACT[Total amount/ Общая стоимость (17*exchange rate/ обменный курс)
 USD],"",0,1)</f>
        <v>389.6</v>
      </c>
      <c r="X70" s="9" cm="1">
        <f t="array" ref="X7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70" s="12">
        <f>VLOOKUP(Шаблон_Формулы[[#This Row],[24]],Курс_840[[Дата]:[Курс]],2,0)</f>
        <v>12089</v>
      </c>
      <c r="Z70" s="42">
        <f>IFERROR(Шаблон_Формулы[[#This Row],[23]]*Шаблон_Формулы[[#This Row],[25]],"")</f>
        <v>4709874.4000000004</v>
      </c>
      <c r="AA70" s="13" t="str" cm="1">
        <f t="array" ref="AA70">ACT_number[№ исходящего акта]</f>
        <v>468 LCL</v>
      </c>
    </row>
    <row r="71" spans="1:27" s="8" customFormat="1" ht="12">
      <c r="A71" s="11">
        <v>67</v>
      </c>
      <c r="B71" s="8" t="str" cm="1">
        <f t="array" ref="B71">_xlfn.XLOOKUP($A71,ACT[[№]:[№]],ACT[Container No/
№ Контейнера],"",0,1)</f>
        <v>SEGU6462772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37" cm="1">
        <f t="array" ref="E71">_xlfn.XLOOKUP($A71,ACT[[№]:[№]],ACT[Date of Dispatch/ 
Дата отгрузки],"",0,1)</f>
        <v>45130</v>
      </c>
      <c r="F71" s="38" t="str" cm="1">
        <f t="array" ref="F71">_xlfn.XLOOKUP($A71,ACT[[№]:[№]],ACT[Supplier/ Поставщик],"",0,1)</f>
        <v>Erae AMS</v>
      </c>
      <c r="G71" s="38" t="str" cm="1">
        <f t="array" ref="G71">_xlfn.XLOOKUP($A71,ACT[[№]:[№]],ACT[Supplier Invoice No/                          № Инвойса Поставщика],"",0,1)</f>
        <v>DM237AU03-1(6)</v>
      </c>
      <c r="H71" s="39" cm="1">
        <f t="array" ref="H71">_xlfn.XLOOKUP($A71,ACT[[№]:[№]],ACT[CBM],"",0,1)</f>
        <v>19.417999999999999</v>
      </c>
      <c r="I71" s="39" cm="1">
        <f t="array" ref="I71">_xlfn.XLOOKUP($A71,ACT[[№]:[№]],ACT[Gross weight, kg/ Вес брутто, кг],"",0,1)</f>
        <v>2418.12</v>
      </c>
      <c r="J71" s="39" t="str" cm="1">
        <f t="array" ref="J71">_xlfn.XLOOKUP($A71,ACT[[№]:[№]],ACT[Delivery terms / Условия поставки],"",0,1)</f>
        <v>FCA</v>
      </c>
      <c r="K71" s="39" cm="1">
        <f t="array" ref="K71">_xlfn.XLOOKUP($A71,ACT[[№]:[№]],ACT[Container total CBM],"",0,1)</f>
        <v>64.730999999999995</v>
      </c>
      <c r="L71" s="40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376000</v>
      </c>
      <c r="M71" s="40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164858.82</v>
      </c>
      <c r="N71" s="40" cm="1">
        <f t="array" ref="N71">_xlfn.XLOOKUP($A71,ACT[[№]:[№]],ACT[Shoring, Banding, Sealing, Handling/ Крепление, Перевязка, Опечатование, Обработка
KRW],"",0,1)</f>
        <v>58136.10789266348</v>
      </c>
      <c r="O71" s="40" cm="1">
        <f t="array" ref="O71">_xlfn.XLOOKUP($A71,ACT[[№]:[№]],ACT[Documents Work/ Сбор за подготовку документов
KRW],"",0,1)</f>
        <v>14998.995844340425</v>
      </c>
      <c r="P71" s="40" cm="1">
        <f t="array" ref="P71">_xlfn.XLOOKUP($A71,ACT[[№]:[№]],ACT[THC/ Терминальная обработка
KRW],"",0,1)</f>
        <v>55616.27659081429</v>
      </c>
      <c r="Q71" s="40" cm="1">
        <f t="array" ref="Q71">_xlfn.XLOOKUP($A71,ACT[[№]:[№]],ACT[Wharfage/ Портовая пошлина
KRW],"",0,1)</f>
        <v>2729.817243669957</v>
      </c>
      <c r="R71" s="40" cm="1">
        <f t="array" ref="R71">_xlfn.XLOOKUP($A71,ACT[[№]:[№]],ACT[TRUCKING CHARGE],"",0,1)</f>
        <v>0</v>
      </c>
      <c r="S71" s="40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84144.366686749781</v>
      </c>
      <c r="T71" s="40" cm="1">
        <f t="array" ref="T71">_xlfn.XLOOKUP($A71,ACT[[№]:[№]],ACT[Special Wooden Shoring / Специальное деревянное крепление],"",0,1)</f>
        <v>0</v>
      </c>
      <c r="U71" s="9"/>
      <c r="V71" s="40" cm="1">
        <f t="array" ref="V71">_xlfn.XLOOKUP($A71,ACT[[№]:[№]],ACT[Total amount/ Общая стоимость KRW (10+11+12+13+14+15+16)],"",0,1)</f>
        <v>756484.38425823813</v>
      </c>
      <c r="W71" s="40" cm="1">
        <f t="array" ref="W71">_xlfn.XLOOKUP($A71,ACT[[№]:[№]],ACT[Total amount/ Общая стоимость (17*exchange rate/ обменный курс)
 USD],"",0,1)</f>
        <v>588.11</v>
      </c>
      <c r="X71" s="9" cm="1">
        <f t="array" ref="X7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71" s="12">
        <f>VLOOKUP(Шаблон_Формулы[[#This Row],[24]],Курс_840[[Дата]:[Курс]],2,0)</f>
        <v>12089</v>
      </c>
      <c r="Z71" s="42">
        <f>IFERROR(Шаблон_Формулы[[#This Row],[23]]*Шаблон_Формулы[[#This Row],[25]],"")</f>
        <v>7109661.79</v>
      </c>
      <c r="AA71" s="13" t="str" cm="1">
        <f t="array" ref="AA71">ACT_number[№ исходящего акта]</f>
        <v>468 LCL</v>
      </c>
    </row>
    <row r="72" spans="1:27" s="8" customFormat="1" ht="12">
      <c r="A72" s="11">
        <v>68</v>
      </c>
      <c r="B72" s="8" t="str" cm="1">
        <f t="array" ref="B72">_xlfn.XLOOKUP($A72,ACT[[№]:[№]],ACT[Container No/
№ Контейнера],"",0,1)</f>
        <v>FFAU4516024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37" cm="1">
        <f t="array" ref="E72">_xlfn.XLOOKUP($A72,ACT[[№]:[№]],ACT[Date of Dispatch/ 
Дата отгрузки],"",0,1)</f>
        <v>45130</v>
      </c>
      <c r="F72" s="38" t="str" cm="1">
        <f t="array" ref="F72">_xlfn.XLOOKUP($A72,ACT[[№]:[№]],ACT[Supplier/ Поставщик],"",0,1)</f>
        <v>Erae AMS</v>
      </c>
      <c r="G72" s="38" t="str" cm="1">
        <f t="array" ref="G72">_xlfn.XLOOKUP($A72,ACT[[№]:[№]],ACT[Supplier Invoice No/                          № Инвойса Поставщика],"",0,1)</f>
        <v>DM237AU03-1(7)</v>
      </c>
      <c r="H72" s="39" cm="1">
        <f t="array" ref="H72">_xlfn.XLOOKUP($A72,ACT[[№]:[№]],ACT[CBM],"",0,1)</f>
        <v>10.788</v>
      </c>
      <c r="I72" s="39" cm="1">
        <f t="array" ref="I72">_xlfn.XLOOKUP($A72,ACT[[№]:[№]],ACT[Gross weight, kg/ Вес брутто, кг],"",0,1)</f>
        <v>1343.4</v>
      </c>
      <c r="J72" s="39" t="str" cm="1">
        <f t="array" ref="J72">_xlfn.XLOOKUP($A72,ACT[[№]:[№]],ACT[Delivery terms / Условия поставки],"",0,1)</f>
        <v>FCA</v>
      </c>
      <c r="K72" s="39" cm="1">
        <f t="array" ref="K72">_xlfn.XLOOKUP($A72,ACT[[№]:[№]],ACT[Container total CBM],"",0,1)</f>
        <v>62.758000000000003</v>
      </c>
      <c r="L72" s="40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332000</v>
      </c>
      <c r="M72" s="40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91590.12</v>
      </c>
      <c r="N72" s="40" cm="1">
        <f t="array" ref="N72">_xlfn.XLOOKUP($A72,ACT[[№]:[№]],ACT[Shoring, Banding, Sealing, Handling/ Крепление, Перевязка, Опечатование, Обработка
KRW],"",0,1)</f>
        <v>33313.910577137576</v>
      </c>
      <c r="O72" s="40" cm="1">
        <f t="array" ref="O72">_xlfn.XLOOKUP($A72,ACT[[№]:[№]],ACT[Documents Work/ Сбор за подготовку документов
KRW],"",0,1)</f>
        <v>8594.9201695401389</v>
      </c>
      <c r="P72" s="40" cm="1">
        <f t="array" ref="P72">_xlfn.XLOOKUP($A72,ACT[[№]:[№]],ACT[THC/ Терминальная обработка
KRW],"",0,1)</f>
        <v>31869.963988654836</v>
      </c>
      <c r="Q72" s="40" cm="1">
        <f t="array" ref="Q72">_xlfn.XLOOKUP($A72,ACT[[№]:[№]],ACT[Wharfage/ Портовая пошлина
KRW],"",0,1)</f>
        <v>1564.2754708563054</v>
      </c>
      <c r="R72" s="40" cm="1">
        <f t="array" ref="R72">_xlfn.XLOOKUP($A72,ACT[[№]:[№]],ACT[TRUCKING CHARGE],"",0,1)</f>
        <v>0</v>
      </c>
      <c r="S72" s="40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48217.502151120178</v>
      </c>
      <c r="T72" s="40" cm="1">
        <f t="array" ref="T72">_xlfn.XLOOKUP($A72,ACT[[№]:[№]],ACT[Special Wooden Shoring / Специальное деревянное крепление],"",0,1)</f>
        <v>0</v>
      </c>
      <c r="U72" s="9"/>
      <c r="V72" s="40" cm="1">
        <f t="array" ref="V72">_xlfn.XLOOKUP($A72,ACT[[№]:[№]],ACT[Total amount/ Общая стоимость KRW (10+11+12+13+14+15+16)],"",0,1)</f>
        <v>547150.69235730905</v>
      </c>
      <c r="W72" s="40" cm="1">
        <f t="array" ref="W72">_xlfn.XLOOKUP($A72,ACT[[№]:[№]],ACT[Total amount/ Общая стоимость (17*exchange rate/ обменный курс)
 USD],"",0,1)</f>
        <v>425.37</v>
      </c>
      <c r="X72" s="9" cm="1">
        <f t="array" ref="X7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72" s="12">
        <f>VLOOKUP(Шаблон_Формулы[[#This Row],[24]],Курс_840[[Дата]:[Курс]],2,0)</f>
        <v>12089</v>
      </c>
      <c r="Z72" s="42">
        <f>IFERROR(Шаблон_Формулы[[#This Row],[23]]*Шаблон_Формулы[[#This Row],[25]],"")</f>
        <v>5142297.93</v>
      </c>
      <c r="AA72" s="13" t="str" cm="1">
        <f t="array" ref="AA72">ACT_number[№ исходящего акта]</f>
        <v>468 LCL</v>
      </c>
    </row>
    <row r="73" spans="1:27" s="8" customFormat="1" ht="12">
      <c r="A73" s="11">
        <v>69</v>
      </c>
      <c r="B73" s="8" t="str" cm="1">
        <f t="array" ref="B73">_xlfn.XLOOKUP($A73,ACT[[№]:[№]],ACT[Container No/
№ Контейнера],"",0,1)</f>
        <v>FFAU4516024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37" cm="1">
        <f t="array" ref="E73">_xlfn.XLOOKUP($A73,ACT[[№]:[№]],ACT[Date of Dispatch/ 
Дата отгрузки],"",0,1)</f>
        <v>45130</v>
      </c>
      <c r="F73" s="38" t="str" cm="1">
        <f t="array" ref="F73">_xlfn.XLOOKUP($A73,ACT[[№]:[№]],ACT[Supplier/ Поставщик],"",0,1)</f>
        <v>Erae AMS</v>
      </c>
      <c r="G73" s="38" t="str" cm="1">
        <f t="array" ref="G73">_xlfn.XLOOKUP($A73,ACT[[№]:[№]],ACT[Supplier Invoice No/                          № Инвойса Поставщика],"",0,1)</f>
        <v>DM237AU03-1(8)</v>
      </c>
      <c r="H73" s="39" cm="1">
        <f t="array" ref="H73">_xlfn.XLOOKUP($A73,ACT[[№]:[№]],ACT[CBM],"",0,1)</f>
        <v>10.79</v>
      </c>
      <c r="I73" s="39" cm="1">
        <f t="array" ref="I73">_xlfn.XLOOKUP($A73,ACT[[№]:[№]],ACT[Gross weight, kg/ Вес брутто, кг],"",0,1)</f>
        <v>8614</v>
      </c>
      <c r="J73" s="39" t="str" cm="1">
        <f t="array" ref="J73">_xlfn.XLOOKUP($A73,ACT[[№]:[№]],ACT[Delivery terms / Условия поставки],"",0,1)</f>
        <v>FCA</v>
      </c>
      <c r="K73" s="39" cm="1">
        <f t="array" ref="K73">_xlfn.XLOOKUP($A73,ACT[[№]:[№]],ACT[Container total CBM],"",0,1)</f>
        <v>62.758000000000003</v>
      </c>
      <c r="L73" s="40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392000</v>
      </c>
      <c r="M73" s="40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91607.099999999991</v>
      </c>
      <c r="N73" s="40" cm="1">
        <f t="array" ref="N73">_xlfn.XLOOKUP($A73,ACT[[№]:[№]],ACT[Shoring, Banding, Sealing, Handling/ Крепление, Перевязка, Опечатование, Обработка
KRW],"",0,1)</f>
        <v>33320.086682175977</v>
      </c>
      <c r="O73" s="40" cm="1">
        <f t="array" ref="O73">_xlfn.XLOOKUP($A73,ACT[[№]:[№]],ACT[Documents Work/ Сбор за подготовку документов
KRW],"",0,1)</f>
        <v>8596.5135918926662</v>
      </c>
      <c r="P73" s="40" cm="1">
        <f t="array" ref="P73">_xlfn.XLOOKUP($A73,ACT[[№]:[№]],ACT[THC/ Терминальная обработка
KRW],"",0,1)</f>
        <v>31875.872398738007</v>
      </c>
      <c r="Q73" s="40" cm="1">
        <f t="array" ref="Q73">_xlfn.XLOOKUP($A73,ACT[[№]:[№]],ACT[Wharfage/ Портовая пошлина
KRW],"",0,1)</f>
        <v>1564.5654737244654</v>
      </c>
      <c r="R73" s="40" cm="1">
        <f t="array" ref="R73">_xlfn.XLOOKUP($A73,ACT[[№]:[№]],ACT[TRUCKING CHARGE],"",0,1)</f>
        <v>0</v>
      </c>
      <c r="S73" s="40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48226.441250517862</v>
      </c>
      <c r="T73" s="40" cm="1">
        <f t="array" ref="T73">_xlfn.XLOOKUP($A73,ACT[[№]:[№]],ACT[Special Wooden Shoring / Специальное деревянное крепление],"",0,1)</f>
        <v>0</v>
      </c>
      <c r="U73" s="9"/>
      <c r="V73" s="40" cm="1">
        <f t="array" ref="V73">_xlfn.XLOOKUP($A73,ACT[[№]:[№]],ACT[Total amount/ Общая стоимость KRW (10+11+12+13+14+15+16)],"",0,1)</f>
        <v>607190.57939704903</v>
      </c>
      <c r="W73" s="40" cm="1">
        <f t="array" ref="W73">_xlfn.XLOOKUP($A73,ACT[[№]:[№]],ACT[Total amount/ Общая стоимость (17*exchange rate/ обменный курс)
 USD],"",0,1)</f>
        <v>472.04</v>
      </c>
      <c r="X73" s="9" cm="1">
        <f t="array" ref="X7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73" s="12">
        <f>VLOOKUP(Шаблон_Формулы[[#This Row],[24]],Курс_840[[Дата]:[Курс]],2,0)</f>
        <v>12089</v>
      </c>
      <c r="Z73" s="42">
        <f>IFERROR(Шаблон_Формулы[[#This Row],[23]]*Шаблон_Формулы[[#This Row],[25]],"")</f>
        <v>5706491.5600000005</v>
      </c>
      <c r="AA73" s="13" t="str" cm="1">
        <f t="array" ref="AA73">ACT_number[№ исходящего акта]</f>
        <v>468 LCL</v>
      </c>
    </row>
    <row r="74" spans="1:27" s="8" customFormat="1" ht="12">
      <c r="A74" s="11">
        <v>70</v>
      </c>
      <c r="B74" s="8" t="str" cm="1">
        <f t="array" ref="B74">_xlfn.XLOOKUP($A74,ACT[[№]:[№]],ACT[Container No/
№ Контейнера],"",0,1)</f>
        <v>FFAU4516024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37" cm="1">
        <f t="array" ref="E74">_xlfn.XLOOKUP($A74,ACT[[№]:[№]],ACT[Date of Dispatch/ 
Дата отгрузки],"",0,1)</f>
        <v>45130</v>
      </c>
      <c r="F74" s="38" t="str" cm="1">
        <f t="array" ref="F74">_xlfn.XLOOKUP($A74,ACT[[№]:[№]],ACT[Supplier/ Поставщик],"",0,1)</f>
        <v>Erae AMS</v>
      </c>
      <c r="G74" s="38" t="str" cm="1">
        <f t="array" ref="G74">_xlfn.XLOOKUP($A74,ACT[[№]:[№]],ACT[Supplier Invoice No/                          № Инвойса Поставщика],"",0,1)</f>
        <v>DM237AU03-1(9)</v>
      </c>
      <c r="H74" s="39" cm="1">
        <f t="array" ref="H74">_xlfn.XLOOKUP($A74,ACT[[№]:[№]],ACT[CBM],"",0,1)</f>
        <v>10.79</v>
      </c>
      <c r="I74" s="39" cm="1">
        <f t="array" ref="I74">_xlfn.XLOOKUP($A74,ACT[[№]:[№]],ACT[Gross weight, kg/ Вес брутто, кг],"",0,1)</f>
        <v>8614</v>
      </c>
      <c r="J74" s="39" t="str" cm="1">
        <f t="array" ref="J74">_xlfn.XLOOKUP($A74,ACT[[№]:[№]],ACT[Delivery terms / Условия поставки],"",0,1)</f>
        <v>FCA</v>
      </c>
      <c r="K74" s="39" cm="1">
        <f t="array" ref="K74">_xlfn.XLOOKUP($A74,ACT[[№]:[№]],ACT[Container total CBM],"",0,1)</f>
        <v>62.758000000000003</v>
      </c>
      <c r="L74" s="40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392000</v>
      </c>
      <c r="M74" s="40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91607.099999999991</v>
      </c>
      <c r="N74" s="40" cm="1">
        <f t="array" ref="N74">_xlfn.XLOOKUP($A74,ACT[[№]:[№]],ACT[Shoring, Banding, Sealing, Handling/ Крепление, Перевязка, Опечатование, Обработка
KRW],"",0,1)</f>
        <v>33320.086682175977</v>
      </c>
      <c r="O74" s="40" cm="1">
        <f t="array" ref="O74">_xlfn.XLOOKUP($A74,ACT[[№]:[№]],ACT[Documents Work/ Сбор за подготовку документов
KRW],"",0,1)</f>
        <v>8596.5135918926662</v>
      </c>
      <c r="P74" s="40" cm="1">
        <f t="array" ref="P74">_xlfn.XLOOKUP($A74,ACT[[№]:[№]],ACT[THC/ Терминальная обработка
KRW],"",0,1)</f>
        <v>31875.872398738007</v>
      </c>
      <c r="Q74" s="40" cm="1">
        <f t="array" ref="Q74">_xlfn.XLOOKUP($A74,ACT[[№]:[№]],ACT[Wharfage/ Портовая пошлина
KRW],"",0,1)</f>
        <v>1564.5654737244654</v>
      </c>
      <c r="R74" s="40" cm="1">
        <f t="array" ref="R74">_xlfn.XLOOKUP($A74,ACT[[№]:[№]],ACT[TRUCKING CHARGE],"",0,1)</f>
        <v>0</v>
      </c>
      <c r="S74" s="40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48226.441250517862</v>
      </c>
      <c r="T74" s="40" cm="1">
        <f t="array" ref="T74">_xlfn.XLOOKUP($A74,ACT[[№]:[№]],ACT[Special Wooden Shoring / Специальное деревянное крепление],"",0,1)</f>
        <v>0</v>
      </c>
      <c r="U74" s="9"/>
      <c r="V74" s="40" cm="1">
        <f t="array" ref="V74">_xlfn.XLOOKUP($A74,ACT[[№]:[№]],ACT[Total amount/ Общая стоимость KRW (10+11+12+13+14+15+16)],"",0,1)</f>
        <v>607190.57939704903</v>
      </c>
      <c r="W74" s="40" cm="1">
        <f t="array" ref="W74">_xlfn.XLOOKUP($A74,ACT[[№]:[№]],ACT[Total amount/ Общая стоимость (17*exchange rate/ обменный курс)
 USD],"",0,1)</f>
        <v>472.04</v>
      </c>
      <c r="X74" s="9" cm="1">
        <f t="array" ref="X7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74" s="12">
        <f>VLOOKUP(Шаблон_Формулы[[#This Row],[24]],Курс_840[[Дата]:[Курс]],2,0)</f>
        <v>12089</v>
      </c>
      <c r="Z74" s="42">
        <f>IFERROR(Шаблон_Формулы[[#This Row],[23]]*Шаблон_Формулы[[#This Row],[25]],"")</f>
        <v>5706491.5600000005</v>
      </c>
      <c r="AA74" s="13" t="str" cm="1">
        <f t="array" ref="AA74">ACT_number[№ исходящего акта]</f>
        <v>468 LCL</v>
      </c>
    </row>
    <row r="75" spans="1:27" s="8" customFormat="1" ht="12">
      <c r="A75" s="11">
        <v>71</v>
      </c>
      <c r="B75" s="8" t="str" cm="1">
        <f t="array" ref="B75">_xlfn.XLOOKUP($A75,ACT[[№]:[№]],ACT[Container No/
№ Контейнера],"",0,1)</f>
        <v>FFAU4516024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37" cm="1">
        <f t="array" ref="E75">_xlfn.XLOOKUP($A75,ACT[[№]:[№]],ACT[Date of Dispatch/ 
Дата отгрузки],"",0,1)</f>
        <v>45130</v>
      </c>
      <c r="F75" s="38" t="str" cm="1">
        <f t="array" ref="F75">_xlfn.XLOOKUP($A75,ACT[[№]:[№]],ACT[Supplier/ Поставщик],"",0,1)</f>
        <v>SNT Motiv</v>
      </c>
      <c r="G75" s="38" t="str" cm="1">
        <f t="array" ref="G75">_xlfn.XLOOKUP($A75,ACT[[№]:[№]],ACT[Supplier Invoice No/                          № Инвойса Поставщика],"",0,1)</f>
        <v>CUZ230720</v>
      </c>
      <c r="H75" s="39" cm="1">
        <f t="array" ref="H75">_xlfn.XLOOKUP($A75,ACT[[№]:[№]],ACT[CBM],"",0,1)</f>
        <v>30.39</v>
      </c>
      <c r="I75" s="39" cm="1">
        <f t="array" ref="I75">_xlfn.XLOOKUP($A75,ACT[[№]:[№]],ACT[Gross weight, kg/ Вес брутто, кг],"",0,1)</f>
        <v>2486.4</v>
      </c>
      <c r="J75" s="39" t="str" cm="1">
        <f t="array" ref="J75">_xlfn.XLOOKUP($A75,ACT[[№]:[№]],ACT[Delivery terms / Условия поставки],"",0,1)</f>
        <v>FCA</v>
      </c>
      <c r="K75" s="39" cm="1">
        <f t="array" ref="K75">_xlfn.XLOOKUP($A75,ACT[[№]:[№]],ACT[Container total CBM],"",0,1)</f>
        <v>62.758000000000003</v>
      </c>
      <c r="L75" s="40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291000</v>
      </c>
      <c r="M75" s="40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258011.1</v>
      </c>
      <c r="N75" s="40" cm="1">
        <f t="array" ref="N75">_xlfn.XLOOKUP($A75,ACT[[№]:[№]],ACT[Shoring, Banding, Sealing, Handling/ Крепление, Перевязка, Опечатование, Обработка
KRW],"",0,1)</f>
        <v>93845.916058510469</v>
      </c>
      <c r="O75" s="40" cm="1">
        <f t="array" ref="O75">_xlfn.XLOOKUP($A75,ACT[[№]:[№]],ACT[Documents Work/ Сбор за подготовку документов
KRW],"",0,1)</f>
        <v>24212.052646674529</v>
      </c>
      <c r="P75" s="40" cm="1">
        <f t="array" ref="P75">_xlfn.XLOOKUP($A75,ACT[[№]:[№]],ACT[THC/ Терминальная обработка
KRW],"",0,1)</f>
        <v>89778.291213869146</v>
      </c>
      <c r="Q75" s="40" cm="1">
        <f t="array" ref="Q75">_xlfn.XLOOKUP($A75,ACT[[№]:[№]],ACT[Wharfage/ Портовая пошлина
KRW],"",0,1)</f>
        <v>4406.593581694764</v>
      </c>
      <c r="R75" s="40" cm="1">
        <f t="array" ref="R75">_xlfn.XLOOKUP($A75,ACT[[№]:[№]],ACT[TRUCKING CHARGE],"",0,1)</f>
        <v>0</v>
      </c>
      <c r="S75" s="40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135829.61534784411</v>
      </c>
      <c r="T75" s="40" cm="1">
        <f t="array" ref="T75">_xlfn.XLOOKUP($A75,ACT[[№]:[№]],ACT[Special Wooden Shoring / Специальное деревянное крепление],"",0,1)</f>
        <v>0</v>
      </c>
      <c r="U75" s="9"/>
      <c r="V75" s="40" cm="1">
        <f t="array" ref="V75">_xlfn.XLOOKUP($A75,ACT[[№]:[№]],ACT[Total amount/ Общая стоимость KRW (10+11+12+13+14+15+16)],"",0,1)</f>
        <v>897083.56884859293</v>
      </c>
      <c r="W75" s="40" cm="1">
        <f t="array" ref="W75">_xlfn.XLOOKUP($A75,ACT[[№]:[№]],ACT[Total amount/ Общая стоимость (17*exchange rate/ обменный курс)
 USD],"",0,1)</f>
        <v>697.41</v>
      </c>
      <c r="X75" s="9" cm="1">
        <f t="array" ref="X7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75" s="12">
        <f>VLOOKUP(Шаблон_Формулы[[#This Row],[24]],Курс_840[[Дата]:[Курс]],2,0)</f>
        <v>12089</v>
      </c>
      <c r="Z75" s="42">
        <f>IFERROR(Шаблон_Формулы[[#This Row],[23]]*Шаблон_Формулы[[#This Row],[25]],"")</f>
        <v>8430989.4900000002</v>
      </c>
      <c r="AA75" s="13" t="str" cm="1">
        <f t="array" ref="AA75">ACT_number[№ исходящего акта]</f>
        <v>468 LCL</v>
      </c>
    </row>
    <row r="76" spans="1:27" s="8" customFormat="1" ht="12">
      <c r="A76" s="11">
        <v>72</v>
      </c>
      <c r="B76" s="8" t="str" cm="1">
        <f t="array" ref="B76">_xlfn.XLOOKUP($A76,ACT[[№]:[№]],ACT[Container No/
№ Контейнера],"",0,1)</f>
        <v>FFAU4510242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37" cm="1">
        <f t="array" ref="E76">_xlfn.XLOOKUP($A76,ACT[[№]:[№]],ACT[Date of Dispatch/ 
Дата отгрузки],"",0,1)</f>
        <v>45130</v>
      </c>
      <c r="F76" s="38" t="str" cm="1">
        <f t="array" ref="F76">_xlfn.XLOOKUP($A76,ACT[[№]:[№]],ACT[Supplier/ Поставщик],"",0,1)</f>
        <v>Erae AMS</v>
      </c>
      <c r="G76" s="38" t="str" cm="1">
        <f t="array" ref="G76">_xlfn.XLOOKUP($A76,ACT[[№]:[№]],ACT[Supplier Invoice No/                          № Инвойса Поставщика],"",0,1)</f>
        <v>DM237AU03-1(10)</v>
      </c>
      <c r="H76" s="39" cm="1">
        <f t="array" ref="H76">_xlfn.XLOOKUP($A76,ACT[[№]:[№]],ACT[CBM],"",0,1)</f>
        <v>31.327999999999999</v>
      </c>
      <c r="I76" s="39" cm="1">
        <f t="array" ref="I76">_xlfn.XLOOKUP($A76,ACT[[№]:[№]],ACT[Gross weight, kg/ Вес брутто, кг],"",0,1)</f>
        <v>5218.3999999999996</v>
      </c>
      <c r="J76" s="39" t="str" cm="1">
        <f t="array" ref="J76">_xlfn.XLOOKUP($A76,ACT[[№]:[№]],ACT[Delivery terms / Условия поставки],"",0,1)</f>
        <v>FCA</v>
      </c>
      <c r="K76" s="39" cm="1">
        <f t="array" ref="K76">_xlfn.XLOOKUP($A76,ACT[[№]:[№]],ACT[Container total CBM],"",0,1)</f>
        <v>64.341999999999999</v>
      </c>
      <c r="L76" s="40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392000</v>
      </c>
      <c r="M76" s="40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265974.71999999997</v>
      </c>
      <c r="N76" s="40" cm="1">
        <f t="array" ref="N76">_xlfn.XLOOKUP($A76,ACT[[№]:[№]],ACT[Shoring, Banding, Sealing, Handling/ Крепление, Перевязка, Опечатование, Обработка
KRW],"",0,1)</f>
        <v>94360.859158869789</v>
      </c>
      <c r="O76" s="40" cm="1">
        <f t="array" ref="O76">_xlfn.XLOOKUP($A76,ACT[[№]:[№]],ACT[Documents Work/ Сбор за подготовку документов
KRW],"",0,1)</f>
        <v>24344.906903733176</v>
      </c>
      <c r="P76" s="40" cm="1">
        <f t="array" ref="P76">_xlfn.XLOOKUP($A76,ACT[[№]:[№]],ACT[THC/ Терминальная обработка
KRW],"",0,1)</f>
        <v>90270.914799042614</v>
      </c>
      <c r="Q76" s="40" cm="1">
        <f t="array" ref="Q76">_xlfn.XLOOKUP($A76,ACT[[№]:[№]],ACT[Wharfage/ Портовая пошлина
KRW],"",0,1)</f>
        <v>4430.7730564794383</v>
      </c>
      <c r="R76" s="40" cm="1">
        <f t="array" ref="R76">_xlfn.XLOOKUP($A76,ACT[[№]:[№]],ACT[TRUCKING CHARGE],"",0,1)</f>
        <v>0</v>
      </c>
      <c r="S76" s="40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136574.92772994313</v>
      </c>
      <c r="T76" s="40" cm="1">
        <f t="array" ref="T76">_xlfn.XLOOKUP($A76,ACT[[№]:[№]],ACT[Special Wooden Shoring / Специальное деревянное крепление],"",0,1)</f>
        <v>0</v>
      </c>
      <c r="U76" s="9"/>
      <c r="V76" s="40" cm="1">
        <f t="array" ref="V76">_xlfn.XLOOKUP($A76,ACT[[№]:[№]],ACT[Total amount/ Общая стоимость KRW (10+11+12+13+14+15+16)],"",0,1)</f>
        <v>1007957.1016480681</v>
      </c>
      <c r="W76" s="40" cm="1">
        <f t="array" ref="W76">_xlfn.XLOOKUP($A76,ACT[[№]:[№]],ACT[Total amount/ Общая стоимость (17*exchange rate/ обменный курс)
 USD],"",0,1)</f>
        <v>783.61</v>
      </c>
      <c r="X76" s="9" cm="1">
        <f t="array" ref="X7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76" s="12">
        <f>VLOOKUP(Шаблон_Формулы[[#This Row],[24]],Курс_840[[Дата]:[Курс]],2,0)</f>
        <v>12089</v>
      </c>
      <c r="Z76" s="42">
        <f>IFERROR(Шаблон_Формулы[[#This Row],[23]]*Шаблон_Формулы[[#This Row],[25]],"")</f>
        <v>9473061.290000001</v>
      </c>
      <c r="AA76" s="13" t="str" cm="1">
        <f t="array" ref="AA76">ACT_number[№ исходящего акта]</f>
        <v>468 LCL</v>
      </c>
    </row>
    <row r="77" spans="1:27" s="8" customFormat="1" ht="12">
      <c r="A77" s="11">
        <v>73</v>
      </c>
      <c r="B77" s="8" t="str" cm="1">
        <f t="array" ref="B77">_xlfn.XLOOKUP($A77,ACT[[№]:[№]],ACT[Container No/
№ Контейнера],"",0,1)</f>
        <v>FFAU4510242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37" cm="1">
        <f t="array" ref="E77">_xlfn.XLOOKUP($A77,ACT[[№]:[№]],ACT[Date of Dispatch/ 
Дата отгрузки],"",0,1)</f>
        <v>45130</v>
      </c>
      <c r="F77" s="38" t="str" cm="1">
        <f t="array" ref="F77">_xlfn.XLOOKUP($A77,ACT[[№]:[№]],ACT[Supplier/ Поставщик],"",0,1)</f>
        <v>Erae AMS</v>
      </c>
      <c r="G77" s="38" t="str" cm="1">
        <f t="array" ref="G77">_xlfn.XLOOKUP($A77,ACT[[№]:[№]],ACT[Supplier Invoice No/                          № Инвойса Поставщика],"",0,1)</f>
        <v>DM237AU03-1(11)</v>
      </c>
      <c r="H77" s="39" cm="1">
        <f t="array" ref="H77">_xlfn.XLOOKUP($A77,ACT[[№]:[№]],ACT[CBM],"",0,1)</f>
        <v>21.361999999999998</v>
      </c>
      <c r="I77" s="39" cm="1">
        <f t="array" ref="I77">_xlfn.XLOOKUP($A77,ACT[[№]:[№]],ACT[Gross weight, kg/ Вес брутто, кг],"",0,1)</f>
        <v>3254.16</v>
      </c>
      <c r="J77" s="39" t="str" cm="1">
        <f t="array" ref="J77">_xlfn.XLOOKUP($A77,ACT[[№]:[№]],ACT[Delivery terms / Условия поставки],"",0,1)</f>
        <v>FCA</v>
      </c>
      <c r="K77" s="39" cm="1">
        <f t="array" ref="K77">_xlfn.XLOOKUP($A77,ACT[[№]:[№]],ACT[Container total CBM],"",0,1)</f>
        <v>64.341999999999999</v>
      </c>
      <c r="L77" s="40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392000</v>
      </c>
      <c r="M77" s="40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181363.38</v>
      </c>
      <c r="N77" s="40" cm="1">
        <f t="array" ref="N77">_xlfn.XLOOKUP($A77,ACT[[№]:[№]],ACT[Shoring, Banding, Sealing, Handling/ Крепление, Перевязка, Опечатование, Обработка
KRW],"",0,1)</f>
        <v>64342.973485437193</v>
      </c>
      <c r="O77" s="40" cm="1">
        <f t="array" ref="O77">_xlfn.XLOOKUP($A77,ACT[[№]:[№]],ACT[Documents Work/ Сбор за подготовку документов
KRW],"",0,1)</f>
        <v>16600.354356407945</v>
      </c>
      <c r="P77" s="40" cm="1">
        <f t="array" ref="P77">_xlfn.XLOOKUP($A77,ACT[[№]:[№]],ACT[THC/ Терминальная обработка
KRW],"",0,1)</f>
        <v>61554.113953560664</v>
      </c>
      <c r="Q77" s="40" cm="1">
        <f t="array" ref="Q77">_xlfn.XLOOKUP($A77,ACT[[№]:[№]],ACT[Wharfage/ Портовая пошлина
KRW],"",0,1)</f>
        <v>3021.2644928662462</v>
      </c>
      <c r="R77" s="40" cm="1">
        <f t="array" ref="R77">_xlfn.XLOOKUP($A77,ACT[[№]:[№]],ACT[TRUCKING CHARGE],"",0,1)</f>
        <v>0</v>
      </c>
      <c r="S77" s="40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93127.987939448576</v>
      </c>
      <c r="T77" s="40" cm="1">
        <f t="array" ref="T77">_xlfn.XLOOKUP($A77,ACT[[№]:[№]],ACT[Special Wooden Shoring / Специальное деревянное крепление],"",0,1)</f>
        <v>0</v>
      </c>
      <c r="U77" s="9"/>
      <c r="V77" s="40" cm="1">
        <f t="array" ref="V77">_xlfn.XLOOKUP($A77,ACT[[№]:[№]],ACT[Total amount/ Общая стоимость KRW (10+11+12+13+14+15+16)],"",0,1)</f>
        <v>812010.07422772085</v>
      </c>
      <c r="W77" s="40" cm="1">
        <f t="array" ref="W77">_xlfn.XLOOKUP($A77,ACT[[№]:[№]],ACT[Total amount/ Общая стоимость (17*exchange rate/ обменный курс)
 USD],"",0,1)</f>
        <v>631.28</v>
      </c>
      <c r="X77" s="9" cm="1">
        <f t="array" ref="X7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77" s="12">
        <f>VLOOKUP(Шаблон_Формулы[[#This Row],[24]],Курс_840[[Дата]:[Курс]],2,0)</f>
        <v>12089</v>
      </c>
      <c r="Z77" s="42">
        <f>IFERROR(Шаблон_Формулы[[#This Row],[23]]*Шаблон_Формулы[[#This Row],[25]],"")</f>
        <v>7631543.9199999999</v>
      </c>
      <c r="AA77" s="13" t="str" cm="1">
        <f t="array" ref="AA77">ACT_number[№ исходящего акта]</f>
        <v>468 LCL</v>
      </c>
    </row>
    <row r="78" spans="1:27" s="8" customFormat="1" ht="12">
      <c r="A78" s="11">
        <v>74</v>
      </c>
      <c r="B78" s="8" t="str" cm="1">
        <f t="array" ref="B78">_xlfn.XLOOKUP($A78,ACT[[№]:[№]],ACT[Container No/
№ Контейнера],"",0,1)</f>
        <v>FFAU4510242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37" cm="1">
        <f t="array" ref="E78">_xlfn.XLOOKUP($A78,ACT[[№]:[№]],ACT[Date of Dispatch/ 
Дата отгрузки],"",0,1)</f>
        <v>45130</v>
      </c>
      <c r="F78" s="38" t="str" cm="1">
        <f t="array" ref="F78">_xlfn.XLOOKUP($A78,ACT[[№]:[№]],ACT[Supplier/ Поставщик],"",0,1)</f>
        <v>Erae AMS</v>
      </c>
      <c r="G78" s="38" t="str" cm="1">
        <f t="array" ref="G78">_xlfn.XLOOKUP($A78,ACT[[№]:[№]],ACT[Supplier Invoice No/                          № Инвойса Поставщика],"",0,1)</f>
        <v>DM237AU03-2</v>
      </c>
      <c r="H78" s="39" cm="1">
        <f t="array" ref="H78">_xlfn.XLOOKUP($A78,ACT[[№]:[№]],ACT[CBM],"",0,1)</f>
        <v>7.1210000000000004</v>
      </c>
      <c r="I78" s="39" cm="1">
        <f t="array" ref="I78">_xlfn.XLOOKUP($A78,ACT[[№]:[№]],ACT[Gross weight, kg/ Вес брутто, кг],"",0,1)</f>
        <v>1084.72</v>
      </c>
      <c r="J78" s="39" t="str" cm="1">
        <f t="array" ref="J78">_xlfn.XLOOKUP($A78,ACT[[№]:[№]],ACT[Delivery terms / Условия поставки],"",0,1)</f>
        <v>FCA</v>
      </c>
      <c r="K78" s="39" cm="1">
        <f t="array" ref="K78">_xlfn.XLOOKUP($A78,ACT[[№]:[№]],ACT[Container total CBM],"",0,1)</f>
        <v>64.341999999999999</v>
      </c>
      <c r="L78" s="40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332000</v>
      </c>
      <c r="M78" s="40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60457.29</v>
      </c>
      <c r="N78" s="40" cm="1">
        <f t="array" ref="N78">_xlfn.XLOOKUP($A78,ACT[[№]:[№]],ACT[Shoring, Banding, Sealing, Handling/ Крепление, Перевязка, Опечатование, Обработка
KRW],"",0,1)</f>
        <v>21448.661838301578</v>
      </c>
      <c r="O78" s="40" cm="1">
        <f t="array" ref="O78">_xlfn.XLOOKUP($A78,ACT[[№]:[№]],ACT[Documents Work/ Сбор за подготовку документов
KRW],"",0,1)</f>
        <v>5533.7104845979302</v>
      </c>
      <c r="P78" s="40" cm="1">
        <f t="array" ref="P78">_xlfn.XLOOKUP($A78,ACT[[№]:[№]],ACT[THC/ Терминальная обработка
KRW],"",0,1)</f>
        <v>20518.998476889126</v>
      </c>
      <c r="Q78" s="40" cm="1">
        <f t="array" ref="Q78">_xlfn.XLOOKUP($A78,ACT[[№]:[№]],ACT[Wharfage/ Портовая пошлина
KRW],"",0,1)</f>
        <v>1007.1353081968234</v>
      </c>
      <c r="R78" s="40" cm="1">
        <f t="array" ref="R78">_xlfn.XLOOKUP($A78,ACT[[№]:[№]],ACT[TRUCKING CHARGE],"",0,1)</f>
        <v>0</v>
      </c>
      <c r="S78" s="40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31044.11581859439</v>
      </c>
      <c r="T78" s="40" cm="1">
        <f t="array" ref="T78">_xlfn.XLOOKUP($A78,ACT[[№]:[№]],ACT[Special Wooden Shoring / Специальное деревянное крепление],"",0,1)</f>
        <v>0</v>
      </c>
      <c r="U78" s="9"/>
      <c r="V78" s="40" cm="1">
        <f t="array" ref="V78">_xlfn.XLOOKUP($A78,ACT[[№]:[№]],ACT[Total amount/ Общая стоимость KRW (10+11+12+13+14+15+16)],"",0,1)</f>
        <v>472009.91192657984</v>
      </c>
      <c r="W78" s="40" cm="1">
        <f t="array" ref="W78">_xlfn.XLOOKUP($A78,ACT[[№]:[№]],ACT[Total amount/ Общая стоимость (17*exchange rate/ обменный курс)
 USD],"",0,1)</f>
        <v>366.95</v>
      </c>
      <c r="X78" s="9" cm="1">
        <f t="array" ref="X7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78" s="12">
        <f>VLOOKUP(Шаблон_Формулы[[#This Row],[24]],Курс_840[[Дата]:[Курс]],2,0)</f>
        <v>12089</v>
      </c>
      <c r="Z78" s="42">
        <f>IFERROR(Шаблон_Формулы[[#This Row],[23]]*Шаблон_Формулы[[#This Row],[25]],"")</f>
        <v>4436058.55</v>
      </c>
      <c r="AA78" s="13" t="str" cm="1">
        <f t="array" ref="AA78">ACT_number[№ исходящего акта]</f>
        <v>468 LCL</v>
      </c>
    </row>
    <row r="79" spans="1:27" s="8" customFormat="1" ht="12">
      <c r="A79" s="11">
        <v>75</v>
      </c>
      <c r="B79" s="8" t="str" cm="1">
        <f t="array" ref="B79">_xlfn.XLOOKUP($A79,ACT[[№]:[№]],ACT[Container No/
№ Контейнера],"",0,1)</f>
        <v>FFAU4510242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37" cm="1">
        <f t="array" ref="E79">_xlfn.XLOOKUP($A79,ACT[[№]:[№]],ACT[Date of Dispatch/ 
Дата отгрузки],"",0,1)</f>
        <v>45130</v>
      </c>
      <c r="F79" s="38" t="str" cm="1">
        <f t="array" ref="F79">_xlfn.XLOOKUP($A79,ACT[[№]:[№]],ACT[Supplier/ Поставщик],"",0,1)</f>
        <v>Erae AMS</v>
      </c>
      <c r="G79" s="38" t="str" cm="1">
        <f t="array" ref="G79">_xlfn.XLOOKUP($A79,ACT[[№]:[№]],ACT[Supplier Invoice No/                          № Инвойса Поставщика],"",0,1)</f>
        <v>DA237MD03(1)</v>
      </c>
      <c r="H79" s="39" cm="1">
        <f t="array" ref="H79">_xlfn.XLOOKUP($A79,ACT[[№]:[№]],ACT[CBM],"",0,1)</f>
        <v>1.8129999999999999</v>
      </c>
      <c r="I79" s="39" cm="1">
        <f t="array" ref="I79">_xlfn.XLOOKUP($A79,ACT[[№]:[№]],ACT[Gross weight, kg/ Вес брутто, кг],"",0,1)</f>
        <v>324.38</v>
      </c>
      <c r="J79" s="39" t="str" cm="1">
        <f t="array" ref="J79">_xlfn.XLOOKUP($A79,ACT[[№]:[№]],ACT[Delivery terms / Условия поставки],"",0,1)</f>
        <v>FCA</v>
      </c>
      <c r="K79" s="39" cm="1">
        <f t="array" ref="K79">_xlfn.XLOOKUP($A79,ACT[[№]:[№]],ACT[Container total CBM],"",0,1)</f>
        <v>64.341999999999999</v>
      </c>
      <c r="L79" s="40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232000</v>
      </c>
      <c r="M79" s="40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15392.37</v>
      </c>
      <c r="N79" s="40" cm="1">
        <f t="array" ref="N79">_xlfn.XLOOKUP($A79,ACT[[№]:[№]],ACT[Shoring, Banding, Sealing, Handling/ Крепление, Перевязка, Опечатование, Обработка
KRW],"",0,1)</f>
        <v>5460.8094246370956</v>
      </c>
      <c r="O79" s="40" cm="1">
        <f t="array" ref="O79">_xlfn.XLOOKUP($A79,ACT[[№]:[№]],ACT[Documents Work/ Сбор за подготовку документов
KRW],"",0,1)</f>
        <v>1408.8775605358862</v>
      </c>
      <c r="P79" s="40" cm="1">
        <f t="array" ref="P79">_xlfn.XLOOKUP($A79,ACT[[№]:[№]],ACT[THC/ Терминальная обработка
KRW],"",0,1)</f>
        <v>5224.1179944670666</v>
      </c>
      <c r="Q79" s="40" cm="1">
        <f t="array" ref="Q79">_xlfn.XLOOKUP($A79,ACT[[№]:[№]],ACT[Wharfage/ Портовая пошлина
KRW],"",0,1)</f>
        <v>256.41571601753134</v>
      </c>
      <c r="R79" s="40" cm="1">
        <f t="array" ref="R79">_xlfn.XLOOKUP($A79,ACT[[№]:[№]],ACT[TRUCKING CHARGE],"",0,1)</f>
        <v>0</v>
      </c>
      <c r="S79" s="40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7903.8031146063213</v>
      </c>
      <c r="T79" s="40" cm="1">
        <f t="array" ref="T79">_xlfn.XLOOKUP($A79,ACT[[№]:[№]],ACT[Special Wooden Shoring / Специальное деревянное крепление],"",0,1)</f>
        <v>0</v>
      </c>
      <c r="U79" s="9"/>
      <c r="V79" s="40" cm="1">
        <f t="array" ref="V79">_xlfn.XLOOKUP($A79,ACT[[№]:[№]],ACT[Total amount/ Общая стоимость KRW (10+11+12+13+14+15+16)],"",0,1)</f>
        <v>267646.39381026389</v>
      </c>
      <c r="W79" s="40" cm="1">
        <f t="array" ref="W79">_xlfn.XLOOKUP($A79,ACT[[№]:[№]],ACT[Total amount/ Общая стоимость (17*exchange rate/ обменный курс)
 USD],"",0,1)</f>
        <v>208.07</v>
      </c>
      <c r="X79" s="9" cm="1">
        <f t="array" ref="X7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79" s="12">
        <f>VLOOKUP(Шаблон_Формулы[[#This Row],[24]],Курс_840[[Дата]:[Курс]],2,0)</f>
        <v>12089</v>
      </c>
      <c r="Z79" s="42">
        <f>IFERROR(Шаблон_Формулы[[#This Row],[23]]*Шаблон_Формулы[[#This Row],[25]],"")</f>
        <v>2515358.23</v>
      </c>
      <c r="AA79" s="13" t="str" cm="1">
        <f t="array" ref="AA79">ACT_number[№ исходящего акта]</f>
        <v>468 LCL</v>
      </c>
    </row>
    <row r="80" spans="1:27" s="8" customFormat="1" ht="12">
      <c r="A80" s="11">
        <v>76</v>
      </c>
      <c r="B80" s="8" t="str" cm="1">
        <f t="array" ref="B80">_xlfn.XLOOKUP($A80,ACT[[№]:[№]],ACT[Container No/
№ Контейнера],"",0,1)</f>
        <v>FFAU4510242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37" cm="1">
        <f t="array" ref="E80">_xlfn.XLOOKUP($A80,ACT[[№]:[№]],ACT[Date of Dispatch/ 
Дата отгрузки],"",0,1)</f>
        <v>45130</v>
      </c>
      <c r="F80" s="38" t="str" cm="1">
        <f t="array" ref="F80">_xlfn.XLOOKUP($A80,ACT[[№]:[№]],ACT[Supplier/ Поставщик],"",0,1)</f>
        <v>Erae AMS</v>
      </c>
      <c r="G80" s="38" t="str" cm="1">
        <f t="array" ref="G80">_xlfn.XLOOKUP($A80,ACT[[№]:[№]],ACT[Supplier Invoice No/                          № Инвойса Поставщика],"",0,1)</f>
        <v>DA237MD03(2)</v>
      </c>
      <c r="H80" s="39" cm="1">
        <f t="array" ref="H80">_xlfn.XLOOKUP($A80,ACT[[№]:[№]],ACT[CBM],"",0,1)</f>
        <v>2.718</v>
      </c>
      <c r="I80" s="39" cm="1">
        <f t="array" ref="I80">_xlfn.XLOOKUP($A80,ACT[[№]:[№]],ACT[Gross weight, kg/ Вес брутто, кг],"",0,1)</f>
        <v>486.57</v>
      </c>
      <c r="J80" s="39" t="str" cm="1">
        <f t="array" ref="J80">_xlfn.XLOOKUP($A80,ACT[[№]:[№]],ACT[Delivery terms / Условия поставки],"",0,1)</f>
        <v>FCA</v>
      </c>
      <c r="K80" s="39" cm="1">
        <f t="array" ref="K80">_xlfn.XLOOKUP($A80,ACT[[№]:[№]],ACT[Container total CBM],"",0,1)</f>
        <v>64.341999999999999</v>
      </c>
      <c r="L80" s="40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232000</v>
      </c>
      <c r="M80" s="40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23075.82</v>
      </c>
      <c r="N80" s="40" cm="1">
        <f t="array" ref="N80">_xlfn.XLOOKUP($A80,ACT[[№]:[№]],ACT[Shoring, Banding, Sealing, Handling/ Крепление, Перевязка, Опечатование, Обработка
KRW],"",0,1)</f>
        <v>8186.6960927543441</v>
      </c>
      <c r="O80" s="40" cm="1">
        <f t="array" ref="O80">_xlfn.XLOOKUP($A80,ACT[[№]:[№]],ACT[Documents Work/ Сбор за подготовку документов
KRW],"",0,1)</f>
        <v>2112.1506947250632</v>
      </c>
      <c r="P80" s="40" cm="1">
        <f t="array" ref="P80">_xlfn.XLOOKUP($A80,ACT[[№]:[№]],ACT[THC/ Терминальная обработка
KRW],"",0,1)</f>
        <v>7831.8547760405345</v>
      </c>
      <c r="Q80" s="40" cm="1">
        <f t="array" ref="Q80">_xlfn.XLOOKUP($A80,ACT[[№]:[№]],ACT[Wharfage/ Портовая пошлина
KRW],"",0,1)</f>
        <v>384.41142643996142</v>
      </c>
      <c r="R80" s="40" cm="1">
        <f t="array" ref="R80">_xlfn.XLOOKUP($A80,ACT[[№]:[№]],ACT[TRUCKING CHARGE],"",0,1)</f>
        <v>0</v>
      </c>
      <c r="S80" s="40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11849.165397407603</v>
      </c>
      <c r="T80" s="40" cm="1">
        <f t="array" ref="T80">_xlfn.XLOOKUP($A80,ACT[[№]:[№]],ACT[Special Wooden Shoring / Специальное деревянное крепление],"",0,1)</f>
        <v>0</v>
      </c>
      <c r="U80" s="9"/>
      <c r="V80" s="40" cm="1">
        <f t="array" ref="V80">_xlfn.XLOOKUP($A80,ACT[[№]:[№]],ACT[Total amount/ Общая стоимость KRW (10+11+12+13+14+15+16)],"",0,1)</f>
        <v>285440.0983873675</v>
      </c>
      <c r="W80" s="40" cm="1">
        <f t="array" ref="W80">_xlfn.XLOOKUP($A80,ACT[[№]:[№]],ACT[Total amount/ Общая стоимость (17*exchange rate/ обменный курс)
 USD],"",0,1)</f>
        <v>221.91</v>
      </c>
      <c r="X80" s="9" cm="1">
        <f t="array" ref="X8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80" s="12">
        <f>VLOOKUP(Шаблон_Формулы[[#This Row],[24]],Курс_840[[Дата]:[Курс]],2,0)</f>
        <v>12089</v>
      </c>
      <c r="Z80" s="42">
        <f>IFERROR(Шаблон_Формулы[[#This Row],[23]]*Шаблон_Формулы[[#This Row],[25]],"")</f>
        <v>2682669.9899999998</v>
      </c>
      <c r="AA80" s="13" t="str" cm="1">
        <f t="array" ref="AA80">ACT_number[№ исходящего акта]</f>
        <v>468 LCL</v>
      </c>
    </row>
    <row r="81" spans="1:27" s="8" customFormat="1" ht="12">
      <c r="A81" s="11">
        <v>77</v>
      </c>
      <c r="B81" s="8" t="str" cm="1">
        <f t="array" ref="B81">_xlfn.XLOOKUP($A81,ACT[[№]:[№]],ACT[Container No/
№ Контейнера],"",0,1)</f>
        <v>SEGU6300508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37" cm="1">
        <f t="array" ref="E81">_xlfn.XLOOKUP($A81,ACT[[№]:[№]],ACT[Date of Dispatch/ 
Дата отгрузки],"",0,1)</f>
        <v>45130</v>
      </c>
      <c r="F81" s="38" t="str" cm="1">
        <f t="array" ref="F81">_xlfn.XLOOKUP($A81,ACT[[№]:[№]],ACT[Supplier/ Поставщик],"",0,1)</f>
        <v>Erae AMS</v>
      </c>
      <c r="G81" s="38" t="str" cm="1">
        <f t="array" ref="G81">_xlfn.XLOOKUP($A81,ACT[[№]:[№]],ACT[Supplier Invoice No/                          № Инвойса Поставщика],"",0,1)</f>
        <v>DM237AU03-1(12)</v>
      </c>
      <c r="H81" s="39" cm="1">
        <f t="array" ref="H81">_xlfn.XLOOKUP($A81,ACT[[№]:[№]],ACT[CBM],"",0,1)</f>
        <v>54.834000000000003</v>
      </c>
      <c r="I81" s="39" cm="1">
        <f t="array" ref="I81">_xlfn.XLOOKUP($A81,ACT[[№]:[№]],ACT[Gross weight, kg/ Вес брутто, кг],"",0,1)</f>
        <v>7091.1</v>
      </c>
      <c r="J81" s="39" t="str" cm="1">
        <f t="array" ref="J81">_xlfn.XLOOKUP($A81,ACT[[№]:[№]],ACT[Delivery terms / Условия поставки],"",0,1)</f>
        <v>FCA</v>
      </c>
      <c r="K81" s="39" cm="1">
        <f t="array" ref="K81">_xlfn.XLOOKUP($A81,ACT[[№]:[№]],ACT[Container total CBM],"",0,1)</f>
        <v>55.917000000000009</v>
      </c>
      <c r="L81" s="40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784000</v>
      </c>
      <c r="M81" s="40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465540.66</v>
      </c>
      <c r="N81" s="40" cm="1">
        <f t="array" ref="N81">_xlfn.XLOOKUP($A81,ACT[[№]:[№]],ACT[Shoring, Banding, Sealing, Handling/ Крепление, Перевязка, Опечатование, Обработка
KRW],"",0,1)</f>
        <v>190046.48318042813</v>
      </c>
      <c r="O81" s="40" cm="1">
        <f t="array" ref="O81">_xlfn.XLOOKUP($A81,ACT[[№]:[№]],ACT[Documents Work/ Сбор за подготовку документов
KRW],"",0,1)</f>
        <v>49031.600407747195</v>
      </c>
      <c r="P81" s="40" cm="1">
        <f t="array" ref="P81">_xlfn.XLOOKUP($A81,ACT[[№]:[№]],ACT[THC/ Терминальная обработка
KRW],"",0,1)</f>
        <v>181809.17431192659</v>
      </c>
      <c r="Q81" s="40" cm="1">
        <f t="array" ref="Q81">_xlfn.XLOOKUP($A81,ACT[[№]:[№]],ACT[Wharfage/ Портовая пошлина
KRW],"",0,1)</f>
        <v>8923.7512742099898</v>
      </c>
      <c r="R81" s="40" cm="1">
        <f t="array" ref="R81">_xlfn.XLOOKUP($A81,ACT[[№]:[№]],ACT[TRUCKING CHARGE],"",0,1)</f>
        <v>0</v>
      </c>
      <c r="S81" s="40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275067.27828746178</v>
      </c>
      <c r="T81" s="40" cm="1">
        <f t="array" ref="T81">_xlfn.XLOOKUP($A81,ACT[[№]:[№]],ACT[Special Wooden Shoring / Специальное деревянное крепление],"",0,1)</f>
        <v>0</v>
      </c>
      <c r="U81" s="9"/>
      <c r="V81" s="40" cm="1">
        <f t="array" ref="V81">_xlfn.XLOOKUP($A81,ACT[[№]:[№]],ACT[Total amount/ Общая стоимость KRW (10+11+12+13+14+15+16)],"",0,1)</f>
        <v>1954418.9474617736</v>
      </c>
      <c r="W81" s="40" cm="1">
        <f t="array" ref="W81">_xlfn.XLOOKUP($A81,ACT[[№]:[№]],ACT[Total amount/ Общая стоимость (17*exchange rate/ обменный курс)
 USD],"",0,1)</f>
        <v>1519.41</v>
      </c>
      <c r="X81" s="9" cm="1">
        <f t="array" ref="X8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81" s="12">
        <f>VLOOKUP(Шаблон_Формулы[[#This Row],[24]],Курс_840[[Дата]:[Курс]],2,0)</f>
        <v>12089</v>
      </c>
      <c r="Z81" s="42">
        <f>IFERROR(Шаблон_Формулы[[#This Row],[23]]*Шаблон_Формулы[[#This Row],[25]],"")</f>
        <v>18368147.490000002</v>
      </c>
      <c r="AA81" s="13" t="str" cm="1">
        <f t="array" ref="AA81">ACT_number[№ исходящего акта]</f>
        <v>468 LCL</v>
      </c>
    </row>
    <row r="82" spans="1:27" s="8" customFormat="1" ht="12">
      <c r="A82" s="11">
        <v>78</v>
      </c>
      <c r="B82" s="8" t="str" cm="1">
        <f t="array" ref="B82">_xlfn.XLOOKUP($A82,ACT[[№]:[№]],ACT[Container No/
№ Контейнера],"",0,1)</f>
        <v>SEGU6300508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37" cm="1">
        <f t="array" ref="E82">_xlfn.XLOOKUP($A82,ACT[[№]:[№]],ACT[Date of Dispatch/ 
Дата отгрузки],"",0,1)</f>
        <v>45130</v>
      </c>
      <c r="F82" s="38" t="str" cm="1">
        <f t="array" ref="F82">_xlfn.XLOOKUP($A82,ACT[[№]:[№]],ACT[Supplier/ Поставщик],"",0,1)</f>
        <v>Erae AMS</v>
      </c>
      <c r="G82" s="38" t="str" cm="1">
        <f t="array" ref="G82">_xlfn.XLOOKUP($A82,ACT[[№]:[№]],ACT[Supplier Invoice No/                          № Инвойса Поставщика],"",0,1)</f>
        <v>DM237AU03-1(13)</v>
      </c>
      <c r="H82" s="39" cm="1">
        <f t="array" ref="H82">_xlfn.XLOOKUP($A82,ACT[[№]:[№]],ACT[CBM],"",0,1)</f>
        <v>0.627</v>
      </c>
      <c r="I82" s="39" cm="1">
        <f t="array" ref="I82">_xlfn.XLOOKUP($A82,ACT[[№]:[№]],ACT[Gross weight, kg/ Вес брутто, кг],"",0,1)</f>
        <v>46.5</v>
      </c>
      <c r="J82" s="39" t="str" cm="1">
        <f t="array" ref="J82">_xlfn.XLOOKUP($A82,ACT[[№]:[№]],ACT[Delivery terms / Условия поставки],"",0,1)</f>
        <v>FCA</v>
      </c>
      <c r="K82" s="39" cm="1">
        <f t="array" ref="K82">_xlfn.XLOOKUP($A82,ACT[[№]:[№]],ACT[Container total CBM],"",0,1)</f>
        <v>55.917000000000009</v>
      </c>
      <c r="L82" s="40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232000</v>
      </c>
      <c r="M82" s="40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5323.23</v>
      </c>
      <c r="N82" s="40" cm="1">
        <f t="array" ref="N82">_xlfn.XLOOKUP($A82,ACT[[№]:[№]],ACT[Shoring, Banding, Sealing, Handling/ Крепление, Перевязка, Опечатование, Обработка
KRW],"",0,1)</f>
        <v>2173.0886850152901</v>
      </c>
      <c r="O82" s="40" cm="1">
        <f t="array" ref="O82">_xlfn.XLOOKUP($A82,ACT[[№]:[№]],ACT[Documents Work/ Сбор за подготовку документов
KRW],"",0,1)</f>
        <v>560.65239551478078</v>
      </c>
      <c r="P82" s="40" cm="1">
        <f t="array" ref="P82">_xlfn.XLOOKUP($A82,ACT[[№]:[№]],ACT[THC/ Терминальная обработка
KRW],"",0,1)</f>
        <v>2078.899082568807</v>
      </c>
      <c r="Q82" s="40" cm="1">
        <f t="array" ref="Q82">_xlfn.XLOOKUP($A82,ACT[[№]:[№]],ACT[Wharfage/ Портовая пошлина
KRW],"",0,1)</f>
        <v>102.0387359836901</v>
      </c>
      <c r="R82" s="40" cm="1">
        <f t="array" ref="R82">_xlfn.XLOOKUP($A82,ACT[[№]:[№]],ACT[TRUCKING CHARGE],"",0,1)</f>
        <v>0</v>
      </c>
      <c r="S82" s="40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3145.2599388379199</v>
      </c>
      <c r="T82" s="40" cm="1">
        <f t="array" ref="T82">_xlfn.XLOOKUP($A82,ACT[[№]:[№]],ACT[Special Wooden Shoring / Специальное деревянное крепление],"",0,1)</f>
        <v>0</v>
      </c>
      <c r="U82" s="9"/>
      <c r="V82" s="40" cm="1">
        <f t="array" ref="V82">_xlfn.XLOOKUP($A82,ACT[[№]:[№]],ACT[Total amount/ Общая стоимость KRW (10+11+12+13+14+15+16)],"",0,1)</f>
        <v>245383.1688379205</v>
      </c>
      <c r="W82" s="40" cm="1">
        <f t="array" ref="W82">_xlfn.XLOOKUP($A82,ACT[[№]:[№]],ACT[Total amount/ Общая стоимость (17*exchange rate/ обменный курс)
 USD],"",0,1)</f>
        <v>190.77</v>
      </c>
      <c r="X82" s="9" cm="1">
        <f t="array" ref="X8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82" s="12">
        <f>VLOOKUP(Шаблон_Формулы[[#This Row],[24]],Курс_840[[Дата]:[Курс]],2,0)</f>
        <v>12089</v>
      </c>
      <c r="Z82" s="42">
        <f>IFERROR(Шаблон_Формулы[[#This Row],[23]]*Шаблон_Формулы[[#This Row],[25]],"")</f>
        <v>2306218.5300000003</v>
      </c>
      <c r="AA82" s="13" t="str" cm="1">
        <f t="array" ref="AA82">ACT_number[№ исходящего акта]</f>
        <v>468 LCL</v>
      </c>
    </row>
    <row r="83" spans="1:27" s="8" customFormat="1" ht="12">
      <c r="A83" s="11">
        <v>79</v>
      </c>
      <c r="B83" s="8" t="str" cm="1">
        <f t="array" ref="B83">_xlfn.XLOOKUP($A83,ACT[[№]:[№]],ACT[Container No/
№ Контейнера],"",0,1)</f>
        <v>SEGU6300508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37" cm="1">
        <f t="array" ref="E83">_xlfn.XLOOKUP($A83,ACT[[№]:[№]],ACT[Date of Dispatch/ 
Дата отгрузки],"",0,1)</f>
        <v>45130</v>
      </c>
      <c r="F83" s="38" t="str" cm="1">
        <f t="array" ref="F83">_xlfn.XLOOKUP($A83,ACT[[№]:[№]],ACT[Supplier/ Поставщик],"",0,1)</f>
        <v>ALPS</v>
      </c>
      <c r="G83" s="38" t="str" cm="1">
        <f t="array" ref="G83">_xlfn.XLOOKUP($A83,ACT[[№]:[№]],ACT[Supplier Invoice No/                          № Инвойса Поставщика],"",0,1)</f>
        <v>61986929Inv</v>
      </c>
      <c r="H83" s="39" cm="1">
        <f t="array" ref="H83">_xlfn.XLOOKUP($A83,ACT[[№]:[№]],ACT[CBM],"",0,1)</f>
        <v>0.45600000000000002</v>
      </c>
      <c r="I83" s="39" cm="1">
        <f t="array" ref="I83">_xlfn.XLOOKUP($A83,ACT[[№]:[№]],ACT[Gross weight, kg/ Вес брутто, кг],"",0,1)</f>
        <v>85</v>
      </c>
      <c r="J83" s="39" t="str" cm="1">
        <f t="array" ref="J83">_xlfn.XLOOKUP($A83,ACT[[№]:[№]],ACT[Delivery terms / Условия поставки],"",0,1)</f>
        <v>FCA</v>
      </c>
      <c r="K83" s="39" cm="1">
        <f t="array" ref="K83">_xlfn.XLOOKUP($A83,ACT[[№]:[№]],ACT[Container total CBM],"",0,1)</f>
        <v>55.917000000000009</v>
      </c>
      <c r="L83" s="40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265000</v>
      </c>
      <c r="M83" s="40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3871.44</v>
      </c>
      <c r="N83" s="40" cm="1">
        <f t="array" ref="N83">_xlfn.XLOOKUP($A83,ACT[[№]:[№]],ACT[Shoring, Banding, Sealing, Handling/ Крепление, Перевязка, Опечатование, Обработка
KRW],"",0,1)</f>
        <v>1580.4281345565746</v>
      </c>
      <c r="O83" s="40" cm="1">
        <f t="array" ref="O83">_xlfn.XLOOKUP($A83,ACT[[№]:[№]],ACT[Documents Work/ Сбор за подготовку документов
KRW],"",0,1)</f>
        <v>407.7471967380223</v>
      </c>
      <c r="P83" s="40" cm="1">
        <f t="array" ref="P83">_xlfn.XLOOKUP($A83,ACT[[№]:[№]],ACT[THC/ Терминальная обработка
KRW],"",0,1)</f>
        <v>1511.9266055045869</v>
      </c>
      <c r="Q83" s="40" cm="1">
        <f t="array" ref="Q83">_xlfn.XLOOKUP($A83,ACT[[№]:[№]],ACT[Wharfage/ Портовая пошлина
KRW],"",0,1)</f>
        <v>74.209989806320067</v>
      </c>
      <c r="R83" s="40" cm="1">
        <f t="array" ref="R83">_xlfn.XLOOKUP($A83,ACT[[№]:[№]],ACT[TRUCKING CHARGE],"",0,1)</f>
        <v>0</v>
      </c>
      <c r="S83" s="40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2287.4617737003055</v>
      </c>
      <c r="T83" s="40" cm="1">
        <f t="array" ref="T83">_xlfn.XLOOKUP($A83,ACT[[№]:[№]],ACT[Special Wooden Shoring / Специальное деревянное крепление],"",0,1)</f>
        <v>0</v>
      </c>
      <c r="U83" s="9"/>
      <c r="V83" s="40" cm="1">
        <f t="array" ref="V83">_xlfn.XLOOKUP($A83,ACT[[№]:[№]],ACT[Total amount/ Общая стоимость KRW (10+11+12+13+14+15+16)],"",0,1)</f>
        <v>274733.21370030585</v>
      </c>
      <c r="W83" s="40" cm="1">
        <f t="array" ref="W83">_xlfn.XLOOKUP($A83,ACT[[№]:[№]],ACT[Total amount/ Общая стоимость (17*exchange rate/ обменный курс)
 USD],"",0,1)</f>
        <v>213.58</v>
      </c>
      <c r="X83" s="9" cm="1">
        <f t="array" ref="X8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83" s="12">
        <f>VLOOKUP(Шаблон_Формулы[[#This Row],[24]],Курс_840[[Дата]:[Курс]],2,0)</f>
        <v>12089</v>
      </c>
      <c r="Z83" s="42">
        <f>IFERROR(Шаблон_Формулы[[#This Row],[23]]*Шаблон_Формулы[[#This Row],[25]],"")</f>
        <v>2581968.62</v>
      </c>
      <c r="AA83" s="13" t="str" cm="1">
        <f t="array" ref="AA83">ACT_number[№ исходящего акта]</f>
        <v>468 LCL</v>
      </c>
    </row>
    <row r="84" spans="1:27" s="8" customFormat="1" ht="12">
      <c r="A84" s="11">
        <v>80</v>
      </c>
      <c r="B84" s="8" t="str" cm="1">
        <f t="array" ref="B84">_xlfn.XLOOKUP($A84,ACT[[№]:[№]],ACT[Container No/
№ Контейнера],"",0,1)</f>
        <v>SEGU4020426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37" cm="1">
        <f t="array" ref="E84">_xlfn.XLOOKUP($A84,ACT[[№]:[№]],ACT[Date of Dispatch/ 
Дата отгрузки],"",0,1)</f>
        <v>45130</v>
      </c>
      <c r="F84" s="38" t="str" cm="1">
        <f t="array" ref="F84">_xlfn.XLOOKUP($A84,ACT[[№]:[№]],ACT[Supplier/ Поставщик],"",0,1)</f>
        <v>Erae AMS</v>
      </c>
      <c r="G84" s="38" t="str" cm="1">
        <f t="array" ref="G84">_xlfn.XLOOKUP($A84,ACT[[№]:[№]],ACT[Supplier Invoice No/                          № Инвойса Поставщика],"",0,1)</f>
        <v>DM237AU03-1(14)</v>
      </c>
      <c r="H84" s="39" cm="1">
        <f t="array" ref="H84">_xlfn.XLOOKUP($A84,ACT[[№]:[№]],ACT[CBM],"",0,1)</f>
        <v>24.812000000000001</v>
      </c>
      <c r="I84" s="39" cm="1">
        <f t="array" ref="I84">_xlfn.XLOOKUP($A84,ACT[[№]:[№]],ACT[Gross weight, kg/ Вес брутто, кг],"",0,1)</f>
        <v>3089.82</v>
      </c>
      <c r="J84" s="39" t="str" cm="1">
        <f t="array" ref="J84">_xlfn.XLOOKUP($A84,ACT[[№]:[№]],ACT[Delivery terms / Условия поставки],"",0,1)</f>
        <v>FCA</v>
      </c>
      <c r="K84" s="39" cm="1">
        <f t="array" ref="K84">_xlfn.XLOOKUP($A84,ACT[[№]:[№]],ACT[Container total CBM],"",0,1)</f>
        <v>60.662999999999997</v>
      </c>
      <c r="L84" s="40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392000</v>
      </c>
      <c r="M84" s="40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210653.88</v>
      </c>
      <c r="N84" s="40" cm="1">
        <f t="array" ref="N84">_xlfn.XLOOKUP($A84,ACT[[№]:[№]],ACT[Shoring, Banding, Sealing, Handling/ Крепление, Перевязка, Опечатование, Обработка
KRW],"",0,1)</f>
        <v>79266.861183917717</v>
      </c>
      <c r="O84" s="40" cm="1">
        <f t="array" ref="O84">_xlfn.XLOOKUP($A84,ACT[[№]:[№]],ACT[Documents Work/ Сбор за подготовку документов
KRW],"",0,1)</f>
        <v>20450.686579958132</v>
      </c>
      <c r="P84" s="40" cm="1">
        <f t="array" ref="P84">_xlfn.XLOOKUP($A84,ACT[[№]:[№]],ACT[THC/ Терминальная обработка
KRW],"",0,1)</f>
        <v>75831.14583848475</v>
      </c>
      <c r="Q84" s="40" cm="1">
        <f t="array" ref="Q84">_xlfn.XLOOKUP($A84,ACT[[№]:[№]],ACT[Wharfage/ Портовая пошлина
KRW],"",0,1)</f>
        <v>3722.0249575523799</v>
      </c>
      <c r="R84" s="40" cm="1">
        <f t="array" ref="R84">_xlfn.XLOOKUP($A84,ACT[[№]:[№]],ACT[TRUCKING CHARGE],"",0,1)</f>
        <v>0</v>
      </c>
      <c r="S84" s="40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114728.35171356512</v>
      </c>
      <c r="T84" s="40" cm="1">
        <f t="array" ref="T84">_xlfn.XLOOKUP($A84,ACT[[№]:[№]],ACT[Special Wooden Shoring / Специальное деревянное крепление],"",0,1)</f>
        <v>0</v>
      </c>
      <c r="U84" s="9"/>
      <c r="V84" s="40" cm="1">
        <f t="array" ref="V84">_xlfn.XLOOKUP($A84,ACT[[№]:[№]],ACT[Total amount/ Общая стоимость KRW (10+11+12+13+14+15+16)],"",0,1)</f>
        <v>896652.95027347829</v>
      </c>
      <c r="W84" s="40" cm="1">
        <f t="array" ref="W84">_xlfn.XLOOKUP($A84,ACT[[№]:[№]],ACT[Total amount/ Общая стоимость (17*exchange rate/ обменный курс)
 USD],"",0,1)</f>
        <v>697.08</v>
      </c>
      <c r="X84" s="9" cm="1">
        <f t="array" ref="X8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84" s="12">
        <f>VLOOKUP(Шаблон_Формулы[[#This Row],[24]],Курс_840[[Дата]:[Курс]],2,0)</f>
        <v>12089</v>
      </c>
      <c r="Z84" s="42">
        <f>IFERROR(Шаблон_Формулы[[#This Row],[23]]*Шаблон_Формулы[[#This Row],[25]],"")</f>
        <v>8427000.120000001</v>
      </c>
      <c r="AA84" s="13" t="str" cm="1">
        <f t="array" ref="AA84">ACT_number[№ исходящего акта]</f>
        <v>468 LCL</v>
      </c>
    </row>
    <row r="85" spans="1:27" s="8" customFormat="1" ht="12">
      <c r="A85" s="11">
        <v>81</v>
      </c>
      <c r="B85" s="8" t="str" cm="1">
        <f t="array" ref="B85">_xlfn.XLOOKUP($A85,ACT[[№]:[№]],ACT[Container No/
№ Контейнера],"",0,1)</f>
        <v>SEGU4020426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37" cm="1">
        <f t="array" ref="E85">_xlfn.XLOOKUP($A85,ACT[[№]:[№]],ACT[Date of Dispatch/ 
Дата отгрузки],"",0,1)</f>
        <v>45130</v>
      </c>
      <c r="F85" s="38" t="str" cm="1">
        <f t="array" ref="F85">_xlfn.XLOOKUP($A85,ACT[[№]:[№]],ACT[Supplier/ Поставщик],"",0,1)</f>
        <v>Erae AMS</v>
      </c>
      <c r="G85" s="38" t="str" cm="1">
        <f t="array" ref="G85">_xlfn.XLOOKUP($A85,ACT[[№]:[№]],ACT[Supplier Invoice No/                          № Инвойса Поставщика],"",0,1)</f>
        <v>DM237AU03-1(15)</v>
      </c>
      <c r="H85" s="39" cm="1">
        <f t="array" ref="H85">_xlfn.XLOOKUP($A85,ACT[[№]:[№]],ACT[CBM],"",0,1)</f>
        <v>14.026999999999999</v>
      </c>
      <c r="I85" s="39" cm="1">
        <f t="array" ref="I85">_xlfn.XLOOKUP($A85,ACT[[№]:[№]],ACT[Gross weight, kg/ Вес брутто, кг],"",0,1)</f>
        <v>12019.8</v>
      </c>
      <c r="J85" s="39" t="str" cm="1">
        <f t="array" ref="J85">_xlfn.XLOOKUP($A85,ACT[[№]:[№]],ACT[Delivery terms / Условия поставки],"",0,1)</f>
        <v>FCA</v>
      </c>
      <c r="K85" s="39" cm="1">
        <f t="array" ref="K85">_xlfn.XLOOKUP($A85,ACT[[№]:[№]],ACT[Container total CBM],"",0,1)</f>
        <v>60.662999999999997</v>
      </c>
      <c r="L85" s="40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624000</v>
      </c>
      <c r="M85" s="40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119089.23</v>
      </c>
      <c r="N85" s="40" cm="1">
        <f t="array" ref="N85">_xlfn.XLOOKUP($A85,ACT[[№]:[№]],ACT[Shoring, Banding, Sealing, Handling/ Крепление, Перевязка, Опечатование, Обработка
KRW],"",0,1)</f>
        <v>44812.036991246721</v>
      </c>
      <c r="O85" s="40" cm="1">
        <f t="array" ref="O85">_xlfn.XLOOKUP($A85,ACT[[№]:[№]],ACT[Documents Work/ Сбор за подготовку документов
KRW],"",0,1)</f>
        <v>11561.413052437234</v>
      </c>
      <c r="P85" s="40" cm="1">
        <f t="array" ref="P85">_xlfn.XLOOKUP($A85,ACT[[№]:[№]],ACT[THC/ Терминальная обработка
KRW],"",0,1)</f>
        <v>42869.719598437267</v>
      </c>
      <c r="Q85" s="40" cm="1">
        <f t="array" ref="Q85">_xlfn.XLOOKUP($A85,ACT[[№]:[№]],ACT[Wharfage/ Портовая пошлина
KRW],"",0,1)</f>
        <v>2104.1771755435766</v>
      </c>
      <c r="R85" s="40" cm="1">
        <f t="array" ref="R85">_xlfn.XLOOKUP($A85,ACT[[№]:[№]],ACT[TRUCKING CHARGE],"",0,1)</f>
        <v>0</v>
      </c>
      <c r="S85" s="40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64859.527224172889</v>
      </c>
      <c r="T85" s="40" cm="1">
        <f t="array" ref="T85">_xlfn.XLOOKUP($A85,ACT[[№]:[№]],ACT[Special Wooden Shoring / Специальное деревянное крепление],"",0,1)</f>
        <v>0</v>
      </c>
      <c r="U85" s="9"/>
      <c r="V85" s="40" cm="1">
        <f t="array" ref="V85">_xlfn.XLOOKUP($A85,ACT[[№]:[№]],ACT[Total amount/ Общая стоимость KRW (10+11+12+13+14+15+16)],"",0,1)</f>
        <v>909296.10404183774</v>
      </c>
      <c r="W85" s="40" cm="1">
        <f t="array" ref="W85">_xlfn.XLOOKUP($A85,ACT[[№]:[№]],ACT[Total amount/ Общая стоимость (17*exchange rate/ обменный курс)
 USD],"",0,1)</f>
        <v>706.91</v>
      </c>
      <c r="X85" s="9" cm="1">
        <f t="array" ref="X8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85" s="12">
        <f>VLOOKUP(Шаблон_Формулы[[#This Row],[24]],Курс_840[[Дата]:[Курс]],2,0)</f>
        <v>12089</v>
      </c>
      <c r="Z85" s="42">
        <f>IFERROR(Шаблон_Формулы[[#This Row],[23]]*Шаблон_Формулы[[#This Row],[25]],"")</f>
        <v>8545834.9900000002</v>
      </c>
      <c r="AA85" s="13" t="str" cm="1">
        <f t="array" ref="AA85">ACT_number[№ исходящего акта]</f>
        <v>468 LCL</v>
      </c>
    </row>
    <row r="86" spans="1:27" s="8" customFormat="1" ht="12">
      <c r="A86" s="11">
        <v>82</v>
      </c>
      <c r="B86" s="8" t="str" cm="1">
        <f t="array" ref="B86">_xlfn.XLOOKUP($A86,ACT[[№]:[№]],ACT[Container No/
№ Контейнера],"",0,1)</f>
        <v>SEGU4020426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37" cm="1">
        <f t="array" ref="E86">_xlfn.XLOOKUP($A86,ACT[[№]:[№]],ACT[Date of Dispatch/ 
Дата отгрузки],"",0,1)</f>
        <v>45130</v>
      </c>
      <c r="F86" s="38" t="str" cm="1">
        <f t="array" ref="F86">_xlfn.XLOOKUP($A86,ACT[[№]:[№]],ACT[Supplier/ Поставщик],"",0,1)</f>
        <v>Erae AMS</v>
      </c>
      <c r="G86" s="38" t="str" cm="1">
        <f t="array" ref="G86">_xlfn.XLOOKUP($A86,ACT[[№]:[№]],ACT[Supplier Invoice No/                          № Инвойса Поставщика],"",0,1)</f>
        <v>DS237HF03(1)</v>
      </c>
      <c r="H86" s="39" cm="1">
        <f t="array" ref="H86">_xlfn.XLOOKUP($A86,ACT[[№]:[№]],ACT[CBM],"",0,1)</f>
        <v>21.824000000000002</v>
      </c>
      <c r="I86" s="39" cm="1">
        <f t="array" ref="I86">_xlfn.XLOOKUP($A86,ACT[[№]:[№]],ACT[Gross weight, kg/ Вес брутто, кг],"",0,1)</f>
        <v>7810</v>
      </c>
      <c r="J86" s="39" t="str" cm="1">
        <f t="array" ref="J86">_xlfn.XLOOKUP($A86,ACT[[№]:[№]],ACT[Delivery terms / Условия поставки],"",0,1)</f>
        <v>FCA</v>
      </c>
      <c r="K86" s="39" cm="1">
        <f t="array" ref="K86">_xlfn.XLOOKUP($A86,ACT[[№]:[№]],ACT[Container total CBM],"",0,1)</f>
        <v>60.662999999999997</v>
      </c>
      <c r="L86" s="40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392000</v>
      </c>
      <c r="M86" s="40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185285.76000000001</v>
      </c>
      <c r="N86" s="40" cm="1">
        <f t="array" ref="N86">_xlfn.XLOOKUP($A86,ACT[[№]:[№]],ACT[Shoring, Banding, Sealing, Handling/ Крепление, Перевязка, Опечатование, Обработка
KRW],"",0,1)</f>
        <v>69721.101824835569</v>
      </c>
      <c r="O86" s="40" cm="1">
        <f t="array" ref="O86">_xlfn.XLOOKUP($A86,ACT[[№]:[№]],ACT[Documents Work/ Сбор за подготовку документов
KRW],"",0,1)</f>
        <v>17987.900367604638</v>
      </c>
      <c r="P86" s="40" cm="1">
        <f t="array" ref="P86">_xlfn.XLOOKUP($A86,ACT[[№]:[№]],ACT[THC/ Терминальная обработка
KRW],"",0,1)</f>
        <v>66699.134563077998</v>
      </c>
      <c r="Q86" s="40" cm="1">
        <f t="array" ref="Q86">_xlfn.XLOOKUP($A86,ACT[[№]:[№]],ACT[Wharfage/ Портовая пошлина
KRW],"",0,1)</f>
        <v>3273.797866904044</v>
      </c>
      <c r="R86" s="40" cm="1">
        <f t="array" ref="R86">_xlfn.XLOOKUP($A86,ACT[[№]:[№]],ACT[TRUCKING CHARGE],"",0,1)</f>
        <v>0</v>
      </c>
      <c r="S86" s="40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100912.121062262</v>
      </c>
      <c r="T86" s="40" cm="1">
        <f t="array" ref="T86">_xlfn.XLOOKUP($A86,ACT[[№]:[№]],ACT[Special Wooden Shoring / Специальное деревянное крепление],"",0,1)</f>
        <v>0</v>
      </c>
      <c r="U86" s="9"/>
      <c r="V86" s="40" cm="1">
        <f t="array" ref="V86">_xlfn.XLOOKUP($A86,ACT[[№]:[№]],ACT[Total amount/ Общая стоимость KRW (10+11+12+13+14+15+16)],"",0,1)</f>
        <v>835879.8156846842</v>
      </c>
      <c r="W86" s="40" cm="1">
        <f t="array" ref="W86">_xlfn.XLOOKUP($A86,ACT[[№]:[№]],ACT[Total amount/ Общая стоимость (17*exchange rate/ обменный курс)
 USD],"",0,1)</f>
        <v>649.83000000000004</v>
      </c>
      <c r="X86" s="9" cm="1">
        <f t="array" ref="X8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86" s="12">
        <f>VLOOKUP(Шаблон_Формулы[[#This Row],[24]],Курс_840[[Дата]:[Курс]],2,0)</f>
        <v>12089</v>
      </c>
      <c r="Z86" s="42">
        <f>IFERROR(Шаблон_Формулы[[#This Row],[23]]*Шаблон_Формулы[[#This Row],[25]],"")</f>
        <v>7855794.8700000001</v>
      </c>
      <c r="AA86" s="13" t="str" cm="1">
        <f t="array" ref="AA86">ACT_number[№ исходящего акта]</f>
        <v>468 LCL</v>
      </c>
    </row>
    <row r="87" spans="1:27" s="8" customFormat="1" ht="12">
      <c r="A87" s="11">
        <v>83</v>
      </c>
      <c r="B87" s="8" t="str" cm="1">
        <f t="array" ref="B87">_xlfn.XLOOKUP($A87,ACT[[№]:[№]],ACT[Container No/
№ Контейнера],"",0,1)</f>
        <v>FFAU4760489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37" cm="1">
        <f t="array" ref="E87">_xlfn.XLOOKUP($A87,ACT[[№]:[№]],ACT[Date of Dispatch/ 
Дата отгрузки],"",0,1)</f>
        <v>45130</v>
      </c>
      <c r="F87" s="38" t="str" cm="1">
        <f t="array" ref="F87">_xlfn.XLOOKUP($A87,ACT[[№]:[№]],ACT[Supplier/ Поставщик],"",0,1)</f>
        <v>Erae AMS</v>
      </c>
      <c r="G87" s="38" t="str" cm="1">
        <f t="array" ref="G87">_xlfn.XLOOKUP($A87,ACT[[№]:[№]],ACT[Supplier Invoice No/                          № Инвойса Поставщика],"",0,1)</f>
        <v>DS237HF03(2)</v>
      </c>
      <c r="H87" s="39" cm="1">
        <f t="array" ref="H87">_xlfn.XLOOKUP($A87,ACT[[№]:[№]],ACT[CBM],"",0,1)</f>
        <v>20.010000000000002</v>
      </c>
      <c r="I87" s="39" cm="1">
        <f t="array" ref="I87">_xlfn.XLOOKUP($A87,ACT[[№]:[№]],ACT[Gross weight, kg/ Вес брутто, кг],"",0,1)</f>
        <v>8250</v>
      </c>
      <c r="J87" s="39" t="str" cm="1">
        <f t="array" ref="J87">_xlfn.XLOOKUP($A87,ACT[[№]:[№]],ACT[Delivery terms / Условия поставки],"",0,1)</f>
        <v>FCA</v>
      </c>
      <c r="K87" s="39" cm="1">
        <f t="array" ref="K87">_xlfn.XLOOKUP($A87,ACT[[№]:[№]],ACT[Container total CBM],"",0,1)</f>
        <v>61.136000000000003</v>
      </c>
      <c r="L87" s="40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392000</v>
      </c>
      <c r="M87" s="40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169884.90000000002</v>
      </c>
      <c r="N87" s="40" cm="1">
        <f t="array" ref="N87">_xlfn.XLOOKUP($A87,ACT[[№]:[№]],ACT[Shoring, Banding, Sealing, Handling/ Крепление, Перевязка, Опечатование, Обработка
KRW],"",0,1)</f>
        <v>63431.333420570525</v>
      </c>
      <c r="O87" s="40" cm="1">
        <f t="array" ref="O87">_xlfn.XLOOKUP($A87,ACT[[№]:[№]],ACT[Documents Work/ Сбор за подготовку документов
KRW],"",0,1)</f>
        <v>16365.153101282389</v>
      </c>
      <c r="P87" s="40" cm="1">
        <f t="array" ref="P87">_xlfn.XLOOKUP($A87,ACT[[№]:[№]],ACT[THC/ Терминальная обработка
KRW],"",0,1)</f>
        <v>60681.987699555088</v>
      </c>
      <c r="Q87" s="40" cm="1">
        <f t="array" ref="Q87">_xlfn.XLOOKUP($A87,ACT[[№]:[№]],ACT[Wharfage/ Портовая пошлина
KRW],"",0,1)</f>
        <v>2978.4578644333942</v>
      </c>
      <c r="R87" s="40" cm="1">
        <f t="array" ref="R87">_xlfn.XLOOKUP($A87,ACT[[№]:[№]],ACT[TRUCKING CHARGE],"",0,1)</f>
        <v>0</v>
      </c>
      <c r="S87" s="40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91808.508898194195</v>
      </c>
      <c r="T87" s="40" cm="1">
        <f t="array" ref="T87">_xlfn.XLOOKUP($A87,ACT[[№]:[№]],ACT[Special Wooden Shoring / Специальное деревянное крепление],"",0,1)</f>
        <v>0</v>
      </c>
      <c r="U87" s="9"/>
      <c r="V87" s="40" cm="1">
        <f t="array" ref="V87">_xlfn.XLOOKUP($A87,ACT[[№]:[№]],ACT[Total amount/ Общая стоимость KRW (10+11+12+13+14+15+16)],"",0,1)</f>
        <v>797150.34098403563</v>
      </c>
      <c r="W87" s="40" cm="1">
        <f t="array" ref="W87">_xlfn.XLOOKUP($A87,ACT[[№]:[№]],ACT[Total amount/ Общая стоимость (17*exchange rate/ обменный курс)
 USD],"",0,1)</f>
        <v>619.72</v>
      </c>
      <c r="X87" s="9" cm="1">
        <f t="array" ref="X8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87" s="12">
        <f>VLOOKUP(Шаблон_Формулы[[#This Row],[24]],Курс_840[[Дата]:[Курс]],2,0)</f>
        <v>12089</v>
      </c>
      <c r="Z87" s="42">
        <f>IFERROR(Шаблон_Формулы[[#This Row],[23]]*Шаблон_Формулы[[#This Row],[25]],"")</f>
        <v>7491795.0800000001</v>
      </c>
      <c r="AA87" s="13" t="str" cm="1">
        <f t="array" ref="AA87">ACT_number[№ исходящего акта]</f>
        <v>468 LCL</v>
      </c>
    </row>
    <row r="88" spans="1:27" s="8" customFormat="1" ht="12">
      <c r="A88" s="11">
        <v>84</v>
      </c>
      <c r="B88" s="8" t="str" cm="1">
        <f t="array" ref="B88">_xlfn.XLOOKUP($A88,ACT[[№]:[№]],ACT[Container No/
№ Контейнера],"",0,1)</f>
        <v>FFAU4760489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37" cm="1">
        <f t="array" ref="E88">_xlfn.XLOOKUP($A88,ACT[[№]:[№]],ACT[Date of Dispatch/ 
Дата отгрузки],"",0,1)</f>
        <v>45130</v>
      </c>
      <c r="F88" s="38" t="str" cm="1">
        <f t="array" ref="F88">_xlfn.XLOOKUP($A88,ACT[[№]:[№]],ACT[Supplier/ Поставщик],"",0,1)</f>
        <v>Erae AMS</v>
      </c>
      <c r="G88" s="38" t="str" cm="1">
        <f t="array" ref="G88">_xlfn.XLOOKUP($A88,ACT[[№]:[№]],ACT[Supplier Invoice No/                          № Инвойса Поставщика],"",0,1)</f>
        <v>DS237HF03(3)</v>
      </c>
      <c r="H88" s="39" cm="1">
        <f t="array" ref="H88">_xlfn.XLOOKUP($A88,ACT[[№]:[№]],ACT[CBM],"",0,1)</f>
        <v>7.9359999999999999</v>
      </c>
      <c r="I88" s="39" cm="1">
        <f t="array" ref="I88">_xlfn.XLOOKUP($A88,ACT[[№]:[№]],ACT[Gross weight, kg/ Вес брутто, кг],"",0,1)</f>
        <v>2840</v>
      </c>
      <c r="J88" s="39" t="str" cm="1">
        <f t="array" ref="J88">_xlfn.XLOOKUP($A88,ACT[[№]:[№]],ACT[Delivery terms / Условия поставки],"",0,1)</f>
        <v>FCA</v>
      </c>
      <c r="K88" s="39" cm="1">
        <f t="array" ref="K88">_xlfn.XLOOKUP($A88,ACT[[№]:[№]],ACT[Container total CBM],"",0,1)</f>
        <v>61.136000000000003</v>
      </c>
      <c r="L88" s="40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332000</v>
      </c>
      <c r="M88" s="40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67376.639999999999</v>
      </c>
      <c r="N88" s="40" cm="1">
        <f t="array" ref="N88">_xlfn.XLOOKUP($A88,ACT[[№]:[№]],ACT[Shoring, Banding, Sealing, Handling/ Крепление, Перевязка, Опечатование, Обработка
KRW],"",0,1)</f>
        <v>25156.974613975399</v>
      </c>
      <c r="O88" s="40" cm="1">
        <f t="array" ref="O88">_xlfn.XLOOKUP($A88,ACT[[№]:[№]],ACT[Documents Work/ Сбор за подготовку документов
KRW],"",0,1)</f>
        <v>6490.4475268254382</v>
      </c>
      <c r="P88" s="40" cm="1">
        <f t="array" ref="P88">_xlfn.XLOOKUP($A88,ACT[[№]:[№]],ACT[THC/ Терминальная обработка
KRW],"",0,1)</f>
        <v>24066.579429468729</v>
      </c>
      <c r="Q88" s="40" cm="1">
        <f t="array" ref="Q88">_xlfn.XLOOKUP($A88,ACT[[№]:[№]],ACT[Wharfage/ Портовая пошлина
KRW],"",0,1)</f>
        <v>1181.2614498822295</v>
      </c>
      <c r="R88" s="40" cm="1">
        <f t="array" ref="R88">_xlfn.XLOOKUP($A88,ACT[[№]:[№]],ACT[TRUCKING CHARGE],"",0,1)</f>
        <v>0</v>
      </c>
      <c r="S88" s="40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36411.410625490709</v>
      </c>
      <c r="T88" s="40" cm="1">
        <f t="array" ref="T88">_xlfn.XLOOKUP($A88,ACT[[№]:[№]],ACT[Special Wooden Shoring / Специальное деревянное крепление],"",0,1)</f>
        <v>0</v>
      </c>
      <c r="U88" s="9"/>
      <c r="V88" s="40" cm="1">
        <f t="array" ref="V88">_xlfn.XLOOKUP($A88,ACT[[№]:[№]],ACT[Total amount/ Общая стоимость KRW (10+11+12+13+14+15+16)],"",0,1)</f>
        <v>492683.31364564248</v>
      </c>
      <c r="W88" s="40" cm="1">
        <f t="array" ref="W88">_xlfn.XLOOKUP($A88,ACT[[№]:[№]],ACT[Total amount/ Общая стоимость (17*exchange rate/ обменный курс)
 USD],"",0,1)</f>
        <v>383.02</v>
      </c>
      <c r="X88" s="9" cm="1">
        <f t="array" ref="X8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88" s="12">
        <f>VLOOKUP(Шаблон_Формулы[[#This Row],[24]],Курс_840[[Дата]:[Курс]],2,0)</f>
        <v>12089</v>
      </c>
      <c r="Z88" s="42">
        <f>IFERROR(Шаблон_Формулы[[#This Row],[23]]*Шаблон_Формулы[[#This Row],[25]],"")</f>
        <v>4630328.7799999993</v>
      </c>
      <c r="AA88" s="13" t="str" cm="1">
        <f t="array" ref="AA88">ACT_number[№ исходящего акта]</f>
        <v>468 LCL</v>
      </c>
    </row>
    <row r="89" spans="1:27" s="8" customFormat="1" ht="12">
      <c r="A89" s="11">
        <v>85</v>
      </c>
      <c r="B89" s="8" t="str" cm="1">
        <f t="array" ref="B89">_xlfn.XLOOKUP($A89,ACT[[№]:[№]],ACT[Container No/
№ Контейнера],"",0,1)</f>
        <v>FFAU4760489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37" cm="1">
        <f t="array" ref="E89">_xlfn.XLOOKUP($A89,ACT[[№]:[№]],ACT[Date of Dispatch/ 
Дата отгрузки],"",0,1)</f>
        <v>45130</v>
      </c>
      <c r="F89" s="38" t="str" cm="1">
        <f t="array" ref="F89">_xlfn.XLOOKUP($A89,ACT[[№]:[№]],ACT[Supplier/ Поставщик],"",0,1)</f>
        <v>Erae AMS</v>
      </c>
      <c r="G89" s="38" t="str" cm="1">
        <f t="array" ref="G89">_xlfn.XLOOKUP($A89,ACT[[№]:[№]],ACT[Supplier Invoice No/                          № Инвойса Поставщика],"",0,1)</f>
        <v>DS237HF03(4)</v>
      </c>
      <c r="H89" s="39" cm="1">
        <f t="array" ref="H89">_xlfn.XLOOKUP($A89,ACT[[№]:[№]],ACT[CBM],"",0,1)</f>
        <v>19.84</v>
      </c>
      <c r="I89" s="39" cm="1">
        <f t="array" ref="I89">_xlfn.XLOOKUP($A89,ACT[[№]:[№]],ACT[Gross weight, kg/ Вес брутто, кг],"",0,1)</f>
        <v>7100</v>
      </c>
      <c r="J89" s="39" t="str" cm="1">
        <f t="array" ref="J89">_xlfn.XLOOKUP($A89,ACT[[№]:[№]],ACT[Delivery terms / Условия поставки],"",0,1)</f>
        <v>FCA</v>
      </c>
      <c r="K89" s="39" cm="1">
        <f t="array" ref="K89">_xlfn.XLOOKUP($A89,ACT[[№]:[№]],ACT[Container total CBM],"",0,1)</f>
        <v>61.136000000000003</v>
      </c>
      <c r="L89" s="40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376000</v>
      </c>
      <c r="M89" s="40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168441.60000000001</v>
      </c>
      <c r="N89" s="40" cm="1">
        <f t="array" ref="N89">_xlfn.XLOOKUP($A89,ACT[[№]:[№]],ACT[Shoring, Banding, Sealing, Handling/ Крепление, Перевязка, Опечатование, Обработка
KRW],"",0,1)</f>
        <v>62892.436534938497</v>
      </c>
      <c r="O89" s="40" cm="1">
        <f t="array" ref="O89">_xlfn.XLOOKUP($A89,ACT[[№]:[№]],ACT[Documents Work/ Сбор за подготовку документов
KRW],"",0,1)</f>
        <v>16226.118817063594</v>
      </c>
      <c r="P89" s="40" cm="1">
        <f t="array" ref="P89">_xlfn.XLOOKUP($A89,ACT[[№]:[№]],ACT[THC/ Терминальная обработка
KRW],"",0,1)</f>
        <v>60166.448573671805</v>
      </c>
      <c r="Q89" s="40" cm="1">
        <f t="array" ref="Q89">_xlfn.XLOOKUP($A89,ACT[[№]:[№]],ACT[Wharfage/ Портовая пошлина
KRW],"",0,1)</f>
        <v>2953.1536247055742</v>
      </c>
      <c r="R89" s="40" cm="1">
        <f t="array" ref="R89">_xlfn.XLOOKUP($A89,ACT[[№]:[№]],ACT[TRUCKING CHARGE],"",0,1)</f>
        <v>0</v>
      </c>
      <c r="S89" s="40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91028.526563726773</v>
      </c>
      <c r="T89" s="40" cm="1">
        <f t="array" ref="T89">_xlfn.XLOOKUP($A89,ACT[[№]:[№]],ACT[Special Wooden Shoring / Специальное деревянное крепление],"",0,1)</f>
        <v>0</v>
      </c>
      <c r="U89" s="9"/>
      <c r="V89" s="40" cm="1">
        <f t="array" ref="V89">_xlfn.XLOOKUP($A89,ACT[[№]:[№]],ACT[Total amount/ Общая стоимость KRW (10+11+12+13+14+15+16)],"",0,1)</f>
        <v>777708.28411410644</v>
      </c>
      <c r="W89" s="40" cm="1">
        <f t="array" ref="W89">_xlfn.XLOOKUP($A89,ACT[[№]:[№]],ACT[Total amount/ Общая стоимость (17*exchange rate/ обменный курс)
 USD],"",0,1)</f>
        <v>604.61</v>
      </c>
      <c r="X89" s="9" cm="1">
        <f t="array" ref="X8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89" s="12">
        <f>VLOOKUP(Шаблон_Формулы[[#This Row],[24]],Курс_840[[Дата]:[Курс]],2,0)</f>
        <v>12089</v>
      </c>
      <c r="Z89" s="42">
        <f>IFERROR(Шаблон_Формулы[[#This Row],[23]]*Шаблон_Формулы[[#This Row],[25]],"")</f>
        <v>7309130.29</v>
      </c>
      <c r="AA89" s="13" t="str" cm="1">
        <f t="array" ref="AA89">ACT_number[№ исходящего акта]</f>
        <v>468 LCL</v>
      </c>
    </row>
    <row r="90" spans="1:27" s="8" customFormat="1" ht="12">
      <c r="A90" s="11">
        <v>86</v>
      </c>
      <c r="B90" s="8" t="str" cm="1">
        <f t="array" ref="B90">_xlfn.XLOOKUP($A90,ACT[[№]:[№]],ACT[Container No/
№ Контейнера],"",0,1)</f>
        <v>FFAU4760489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37" cm="1">
        <f t="array" ref="E90">_xlfn.XLOOKUP($A90,ACT[[№]:[№]],ACT[Date of Dispatch/ 
Дата отгрузки],"",0,1)</f>
        <v>45130</v>
      </c>
      <c r="F90" s="38" t="str" cm="1">
        <f t="array" ref="F90">_xlfn.XLOOKUP($A90,ACT[[№]:[№]],ACT[Supplier/ Поставщик],"",0,1)</f>
        <v>Erae AMS</v>
      </c>
      <c r="G90" s="38" t="str" cm="1">
        <f t="array" ref="G90">_xlfn.XLOOKUP($A90,ACT[[№]:[№]],ACT[Supplier Invoice No/                          № Инвойса Поставщика],"",0,1)</f>
        <v>DS237HF03(5)</v>
      </c>
      <c r="H90" s="39" cm="1">
        <f t="array" ref="H90">_xlfn.XLOOKUP($A90,ACT[[№]:[№]],ACT[CBM],"",0,1)</f>
        <v>13.35</v>
      </c>
      <c r="I90" s="39" cm="1">
        <f t="array" ref="I90">_xlfn.XLOOKUP($A90,ACT[[№]:[№]],ACT[Gross weight, kg/ Вес брутто, кг],"",0,1)</f>
        <v>5480</v>
      </c>
      <c r="J90" s="39" t="str" cm="1">
        <f t="array" ref="J90">_xlfn.XLOOKUP($A90,ACT[[№]:[№]],ACT[Delivery terms / Условия поставки],"",0,1)</f>
        <v>FCA</v>
      </c>
      <c r="K90" s="39" cm="1">
        <f t="array" ref="K90">_xlfn.XLOOKUP($A90,ACT[[№]:[№]],ACT[Container total CBM],"",0,1)</f>
        <v>61.136000000000003</v>
      </c>
      <c r="L90" s="40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40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113341.5</v>
      </c>
      <c r="N90" s="40" cm="1">
        <f t="array" ref="N90">_xlfn.XLOOKUP($A90,ACT[[№]:[№]],ACT[Shoring, Banding, Sealing, Handling/ Крепление, Перевязка, Опечатование, Обработка
KRW],"",0,1)</f>
        <v>42319.255430515565</v>
      </c>
      <c r="O90" s="40" cm="1">
        <f t="array" ref="O90">_xlfn.XLOOKUP($A90,ACT[[№]:[№]],ACT[Documents Work/ Сбор за подготовку документов
KRW],"",0,1)</f>
        <v>10918.280554828578</v>
      </c>
      <c r="P90" s="40" cm="1">
        <f t="array" ref="P90">_xlfn.XLOOKUP($A90,ACT[[№]:[№]],ACT[THC/ Терминальная обработка
KRW],"",0,1)</f>
        <v>40484.984297304371</v>
      </c>
      <c r="Q90" s="40" cm="1">
        <f t="array" ref="Q90">_xlfn.XLOOKUP($A90,ACT[[№]:[№]],ACT[Wharfage/ Портовая пошлина
KRW],"",0,1)</f>
        <v>1987.1270609788016</v>
      </c>
      <c r="R90" s="40" cm="1">
        <f t="array" ref="R90">_xlfn.XLOOKUP($A90,ACT[[№]:[№]],ACT[TRUCKING CHARGE],"",0,1)</f>
        <v>0</v>
      </c>
      <c r="S90" s="40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61251.553912588322</v>
      </c>
      <c r="T90" s="40" cm="1">
        <f t="array" ref="T90">_xlfn.XLOOKUP($A90,ACT[[№]:[№]],ACT[Special Wooden Shoring / Специальное деревянное крепление],"",0,1)</f>
        <v>0</v>
      </c>
      <c r="U90" s="9"/>
      <c r="V90" s="40" cm="1">
        <f t="array" ref="V90">_xlfn.XLOOKUP($A90,ACT[[№]:[№]],ACT[Total amount/ Общая стоимость KRW (10+11+12+13+14+15+16)],"",0,1)</f>
        <v>646302.70125621569</v>
      </c>
      <c r="W90" s="40" cm="1">
        <f t="array" ref="W90">_xlfn.XLOOKUP($A90,ACT[[№]:[№]],ACT[Total amount/ Общая стоимость (17*exchange rate/ обменный курс)
 USD],"",0,1)</f>
        <v>502.45</v>
      </c>
      <c r="X90" s="9" cm="1">
        <f t="array" ref="X9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90" s="12">
        <f>VLOOKUP(Шаблон_Формулы[[#This Row],[24]],Курс_840[[Дата]:[Курс]],2,0)</f>
        <v>12089</v>
      </c>
      <c r="Z90" s="42">
        <f>IFERROR(Шаблон_Формулы[[#This Row],[23]]*Шаблон_Формулы[[#This Row],[25]],"")</f>
        <v>6074118.0499999998</v>
      </c>
      <c r="AA90" s="13" t="str" cm="1">
        <f t="array" ref="AA90">ACT_number[№ исходящего акта]</f>
        <v>468 LCL</v>
      </c>
    </row>
    <row r="91" spans="1:27" s="8" customFormat="1" ht="12">
      <c r="A91" s="11">
        <v>87</v>
      </c>
      <c r="B91" s="8" t="str" cm="1">
        <f t="array" ref="B91">_xlfn.XLOOKUP($A91,ACT[[№]:[№]],ACT[Container No/
№ Контейнера],"",0,1)</f>
        <v>SEGU4774200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37" cm="1">
        <f t="array" ref="E91">_xlfn.XLOOKUP($A91,ACT[[№]:[№]],ACT[Date of Dispatch/ 
Дата отгрузки],"",0,1)</f>
        <v>45130</v>
      </c>
      <c r="F91" s="38" t="str" cm="1">
        <f t="array" ref="F91">_xlfn.XLOOKUP($A91,ACT[[№]:[№]],ACT[Supplier/ Поставщик],"",0,1)</f>
        <v>Erae AMS</v>
      </c>
      <c r="G91" s="38" t="str" cm="1">
        <f t="array" ref="G91">_xlfn.XLOOKUP($A91,ACT[[№]:[№]],ACT[Supplier Invoice No/                          № Инвойса Поставщика],"",0,1)</f>
        <v>DM237WO03(1)</v>
      </c>
      <c r="H91" s="39" cm="1">
        <f t="array" ref="H91">_xlfn.XLOOKUP($A91,ACT[[№]:[№]],ACT[CBM],"",0,1)</f>
        <v>66.432000000000002</v>
      </c>
      <c r="I91" s="39" cm="1">
        <f t="array" ref="I91">_xlfn.XLOOKUP($A91,ACT[[№]:[№]],ACT[Gross weight, kg/ Вес брутто, кг],"",0,1)</f>
        <v>11352</v>
      </c>
      <c r="J91" s="39" t="str" cm="1">
        <f t="array" ref="J91">_xlfn.XLOOKUP($A91,ACT[[№]:[№]],ACT[Delivery terms / Условия поставки],"",0,1)</f>
        <v>FCA</v>
      </c>
      <c r="K91" s="39" cm="1">
        <f t="array" ref="K91">_xlfn.XLOOKUP($A91,ACT[[№]:[№]],ACT[Container total CBM],"",0,1)</f>
        <v>66.432000000000002</v>
      </c>
      <c r="L91" s="40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40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40" cm="1">
        <f t="array" ref="N91">_xlfn.XLOOKUP($A91,ACT[[№]:[№]],ACT[Shoring, Banding, Sealing, Handling/ Крепление, Перевязка, Опечатование, Обработка
KRW],"",0,1)</f>
        <v>193800</v>
      </c>
      <c r="O91" s="40" cm="1">
        <f t="array" ref="O91">_xlfn.XLOOKUP($A91,ACT[[№]:[№]],ACT[Documents Work/ Сбор за подготовку документов
KRW],"",0,1)</f>
        <v>50000</v>
      </c>
      <c r="P91" s="40" cm="1">
        <f t="array" ref="P91">_xlfn.XLOOKUP($A91,ACT[[№]:[№]],ACT[THC/ Терминальная обработка
KRW],"",0,1)</f>
        <v>185400</v>
      </c>
      <c r="Q91" s="40" cm="1">
        <f t="array" ref="Q91">_xlfn.XLOOKUP($A91,ACT[[№]:[№]],ACT[Wharfage/ Портовая пошлина
KRW],"",0,1)</f>
        <v>9100</v>
      </c>
      <c r="R91" s="40" cm="1">
        <f t="array" ref="R91">_xlfn.XLOOKUP($A91,ACT[[№]:[№]],ACT[TRUCKING CHARGE],"",0,1)</f>
        <v>0</v>
      </c>
      <c r="S91" s="40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40" cm="1">
        <f t="array" ref="T91">_xlfn.XLOOKUP($A91,ACT[[№]:[№]],ACT[Special Wooden Shoring / Специальное деревянное крепление],"",0,1)</f>
        <v>0</v>
      </c>
      <c r="U91" s="9"/>
      <c r="V91" s="40" cm="1">
        <f t="array" ref="V91">_xlfn.XLOOKUP($A91,ACT[[№]:[№]],ACT[Total amount/ Общая стоимость KRW (10+11+12+13+14+15+16)],"",0,1)</f>
        <v>2298807.6800000002</v>
      </c>
      <c r="W91" s="40" cm="1">
        <f t="array" ref="W91">_xlfn.XLOOKUP($A91,ACT[[№]:[№]],ACT[Total amount/ Общая стоимость (17*exchange rate/ обменный курс)
 USD],"",0,1)</f>
        <v>1787.15</v>
      </c>
      <c r="X91" s="9" cm="1">
        <f t="array" ref="X9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91" s="12">
        <f>VLOOKUP(Шаблон_Формулы[[#This Row],[24]],Курс_840[[Дата]:[Курс]],2,0)</f>
        <v>12089</v>
      </c>
      <c r="Z91" s="42">
        <f>IFERROR(Шаблон_Формулы[[#This Row],[23]]*Шаблон_Формулы[[#This Row],[25]],"")</f>
        <v>21604856.350000001</v>
      </c>
      <c r="AA91" s="13" t="str" cm="1">
        <f t="array" ref="AA91">ACT_number[№ исходящего акта]</f>
        <v>468 LCL</v>
      </c>
    </row>
    <row r="92" spans="1:27" s="8" customFormat="1" ht="12">
      <c r="A92" s="11">
        <v>88</v>
      </c>
      <c r="B92" s="8" t="str" cm="1">
        <f t="array" ref="B92">_xlfn.XLOOKUP($A92,ACT[[№]:[№]],ACT[Container No/
№ Контейнера],"",0,1)</f>
        <v>SEGU6463275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37" cm="1">
        <f t="array" ref="E92">_xlfn.XLOOKUP($A92,ACT[[№]:[№]],ACT[Date of Dispatch/ 
Дата отгрузки],"",0,1)</f>
        <v>45130</v>
      </c>
      <c r="F92" s="38" t="str" cm="1">
        <f t="array" ref="F92">_xlfn.XLOOKUP($A92,ACT[[№]:[№]],ACT[Supplier/ Поставщик],"",0,1)</f>
        <v>Erae AMS</v>
      </c>
      <c r="G92" s="38" t="str" cm="1">
        <f t="array" ref="G92">_xlfn.XLOOKUP($A92,ACT[[№]:[№]],ACT[Supplier Invoice No/                          № Инвойса Поставщика],"",0,1)</f>
        <v>DM237WO03(2)</v>
      </c>
      <c r="H92" s="39" cm="1">
        <f t="array" ref="H92">_xlfn.XLOOKUP($A92,ACT[[№]:[№]],ACT[CBM],"",0,1)</f>
        <v>23.527999999999999</v>
      </c>
      <c r="I92" s="39" cm="1">
        <f t="array" ref="I92">_xlfn.XLOOKUP($A92,ACT[[№]:[№]],ACT[Gross weight, kg/ Вес брутто, кг],"",0,1)</f>
        <v>4020.5</v>
      </c>
      <c r="J92" s="39" t="str" cm="1">
        <f t="array" ref="J92">_xlfn.XLOOKUP($A92,ACT[[№]:[№]],ACT[Delivery terms / Условия поставки],"",0,1)</f>
        <v>FCA</v>
      </c>
      <c r="K92" s="39" cm="1">
        <f t="array" ref="K92">_xlfn.XLOOKUP($A92,ACT[[№]:[№]],ACT[Container total CBM],"",0,1)</f>
        <v>62.363999999999997</v>
      </c>
      <c r="L92" s="40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392000</v>
      </c>
      <c r="M92" s="40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199752.72</v>
      </c>
      <c r="N92" s="40" cm="1">
        <f t="array" ref="N92">_xlfn.XLOOKUP($A92,ACT[[№]:[№]],ACT[Shoring, Banding, Sealing, Handling/ Крепление, Перевязка, Опечатование, Обработка
KRW],"",0,1)</f>
        <v>73114.720030786993</v>
      </c>
      <c r="O92" s="40" cm="1">
        <f t="array" ref="O92">_xlfn.XLOOKUP($A92,ACT[[№]:[№]],ACT[Documents Work/ Сбор за подготовку документов
KRW],"",0,1)</f>
        <v>18863.44686036816</v>
      </c>
      <c r="P92" s="40" cm="1">
        <f t="array" ref="P92">_xlfn.XLOOKUP($A92,ACT[[№]:[№]],ACT[THC/ Терминальная обработка
KRW],"",0,1)</f>
        <v>69945.660958245135</v>
      </c>
      <c r="Q92" s="40" cm="1">
        <f t="array" ref="Q92">_xlfn.XLOOKUP($A92,ACT[[№]:[№]],ACT[Wharfage/ Портовая пошлина
KRW],"",0,1)</f>
        <v>3433.1473285870052</v>
      </c>
      <c r="R92" s="40" cm="1">
        <f t="array" ref="R92">_xlfn.XLOOKUP($A92,ACT[[№]:[№]],ACT[TRUCKING CHARGE],"",0,1)</f>
        <v>0</v>
      </c>
      <c r="S92" s="40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105823.93688666538</v>
      </c>
      <c r="T92" s="40" cm="1">
        <f t="array" ref="T92">_xlfn.XLOOKUP($A92,ACT[[№]:[№]],ACT[Special Wooden Shoring / Специальное деревянное крепление],"",0,1)</f>
        <v>0</v>
      </c>
      <c r="U92" s="9"/>
      <c r="V92" s="40" cm="1">
        <f t="array" ref="V92">_xlfn.XLOOKUP($A92,ACT[[№]:[№]],ACT[Total amount/ Общая стоимость KRW (10+11+12+13+14+15+16)],"",0,1)</f>
        <v>862933.63206465263</v>
      </c>
      <c r="W92" s="40" cm="1">
        <f t="array" ref="W92">_xlfn.XLOOKUP($A92,ACT[[№]:[№]],ACT[Total amount/ Общая стоимость (17*exchange rate/ обменный курс)
 USD],"",0,1)</f>
        <v>670.87</v>
      </c>
      <c r="X92" s="9" cm="1">
        <f t="array" ref="X9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92" s="12">
        <f>VLOOKUP(Шаблон_Формулы[[#This Row],[24]],Курс_840[[Дата]:[Курс]],2,0)</f>
        <v>12089</v>
      </c>
      <c r="Z92" s="42">
        <f>IFERROR(Шаблон_Формулы[[#This Row],[23]]*Шаблон_Формулы[[#This Row],[25]],"")</f>
        <v>8110147.4299999997</v>
      </c>
      <c r="AA92" s="13" t="str" cm="1">
        <f t="array" ref="AA92">ACT_number[№ исходящего акта]</f>
        <v>468 LCL</v>
      </c>
    </row>
    <row r="93" spans="1:27" s="8" customFormat="1" ht="12">
      <c r="A93" s="11">
        <v>89</v>
      </c>
      <c r="B93" s="8" t="str" cm="1">
        <f t="array" ref="B93">_xlfn.XLOOKUP($A93,ACT[[№]:[№]],ACT[Container No/
№ Контейнера],"",0,1)</f>
        <v>SEGU6463275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37" cm="1">
        <f t="array" ref="E93">_xlfn.XLOOKUP($A93,ACT[[№]:[№]],ACT[Date of Dispatch/ 
Дата отгрузки],"",0,1)</f>
        <v>45130</v>
      </c>
      <c r="F93" s="38" t="str" cm="1">
        <f t="array" ref="F93">_xlfn.XLOOKUP($A93,ACT[[№]:[№]],ACT[Supplier/ Поставщик],"",0,1)</f>
        <v>Erae AMS</v>
      </c>
      <c r="G93" s="38" t="str" cm="1">
        <f t="array" ref="G93">_xlfn.XLOOKUP($A93,ACT[[№]:[№]],ACT[Supplier Invoice No/                          № Инвойса Поставщика],"",0,1)</f>
        <v>DM237WO03(3)</v>
      </c>
      <c r="H93" s="39" cm="1">
        <f t="array" ref="H93">_xlfn.XLOOKUP($A93,ACT[[№]:[№]],ACT[CBM],"",0,1)</f>
        <v>30.206</v>
      </c>
      <c r="I93" s="39" cm="1">
        <f t="array" ref="I93">_xlfn.XLOOKUP($A93,ACT[[№]:[№]],ACT[Gross weight, kg/ Вес брутто, кг],"",0,1)</f>
        <v>5096</v>
      </c>
      <c r="J93" s="39" t="str" cm="1">
        <f t="array" ref="J93">_xlfn.XLOOKUP($A93,ACT[[№]:[№]],ACT[Delivery terms / Условия поставки],"",0,1)</f>
        <v>FCA</v>
      </c>
      <c r="K93" s="39" cm="1">
        <f t="array" ref="K93">_xlfn.XLOOKUP($A93,ACT[[№]:[№]],ACT[Container total CBM],"",0,1)</f>
        <v>62.363999999999997</v>
      </c>
      <c r="L93" s="40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40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256448.94</v>
      </c>
      <c r="N93" s="40" cm="1">
        <f t="array" ref="N93">_xlfn.XLOOKUP($A93,ACT[[№]:[№]],ACT[Shoring, Banding, Sealing, Handling/ Крепление, Перевязка, Опечатование, Обработка
KRW],"",0,1)</f>
        <v>93867.019434289017</v>
      </c>
      <c r="O93" s="40" cm="1">
        <f t="array" ref="O93">_xlfn.XLOOKUP($A93,ACT[[№]:[№]],ACT[Documents Work/ Сбор за подготовку документов
KRW],"",0,1)</f>
        <v>24217.497274068373</v>
      </c>
      <c r="P93" s="40" cm="1">
        <f t="array" ref="P93">_xlfn.XLOOKUP($A93,ACT[[№]:[№]],ACT[THC/ Терминальная обработка
KRW],"",0,1)</f>
        <v>89798.479892245523</v>
      </c>
      <c r="Q93" s="40" cm="1">
        <f t="array" ref="Q93">_xlfn.XLOOKUP($A93,ACT[[№]:[№]],ACT[Wharfage/ Портовая пошлина
KRW],"",0,1)</f>
        <v>4407.5845038804437</v>
      </c>
      <c r="R93" s="40" cm="1">
        <f t="array" ref="R93">_xlfn.XLOOKUP($A93,ACT[[№]:[№]],ACT[TRUCKING CHARGE],"",0,1)</f>
        <v>0</v>
      </c>
      <c r="S93" s="40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135860.15970752356</v>
      </c>
      <c r="T93" s="40" cm="1">
        <f t="array" ref="T93">_xlfn.XLOOKUP($A93,ACT[[№]:[№]],ACT[Special Wooden Shoring / Специальное деревянное крепление],"",0,1)</f>
        <v>0</v>
      </c>
      <c r="U93" s="9"/>
      <c r="V93" s="40" cm="1">
        <f t="array" ref="V93">_xlfn.XLOOKUP($A93,ACT[[№]:[№]],ACT[Total amount/ Общая стоимость KRW (10+11+12+13+14+15+16)],"",0,1)</f>
        <v>996599.68081200693</v>
      </c>
      <c r="W93" s="40" cm="1">
        <f t="array" ref="W93">_xlfn.XLOOKUP($A93,ACT[[№]:[№]],ACT[Total amount/ Общая стоимость (17*exchange rate/ обменный курс)
 USD],"",0,1)</f>
        <v>774.78</v>
      </c>
      <c r="X93" s="9" cm="1">
        <f t="array" ref="X9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93" s="12">
        <f>VLOOKUP(Шаблон_Формулы[[#This Row],[24]],Курс_840[[Дата]:[Курс]],2,0)</f>
        <v>12089</v>
      </c>
      <c r="Z93" s="42">
        <f>IFERROR(Шаблон_Формулы[[#This Row],[23]]*Шаблон_Формулы[[#This Row],[25]],"")</f>
        <v>9366315.4199999999</v>
      </c>
      <c r="AA93" s="13" t="str" cm="1">
        <f t="array" ref="AA93">ACT_number[№ исходящего акта]</f>
        <v>468 LCL</v>
      </c>
    </row>
    <row r="94" spans="1:27" s="8" customFormat="1" ht="12">
      <c r="A94" s="11">
        <v>90</v>
      </c>
      <c r="B94" s="8" t="str" cm="1">
        <f t="array" ref="B94">_xlfn.XLOOKUP($A94,ACT[[№]:[№]],ACT[Container No/
№ Контейнера],"",0,1)</f>
        <v>SEGU6463275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37" cm="1">
        <f t="array" ref="E94">_xlfn.XLOOKUP($A94,ACT[[№]:[№]],ACT[Date of Dispatch/ 
Дата отгрузки],"",0,1)</f>
        <v>45130</v>
      </c>
      <c r="F94" s="38" t="str" cm="1">
        <f t="array" ref="F94">_xlfn.XLOOKUP($A94,ACT[[№]:[№]],ACT[Supplier/ Поставщик],"",0,1)</f>
        <v>Erae AMS</v>
      </c>
      <c r="G94" s="38" t="str" cm="1">
        <f t="array" ref="G94">_xlfn.XLOOKUP($A94,ACT[[№]:[№]],ACT[Supplier Invoice No/                          № Инвойса Поставщика],"",0,1)</f>
        <v>DM237AU03-1(16)</v>
      </c>
      <c r="H94" s="39" cm="1">
        <f t="array" ref="H94">_xlfn.XLOOKUP($A94,ACT[[№]:[№]],ACT[CBM],"",0,1)</f>
        <v>8.6300000000000008</v>
      </c>
      <c r="I94" s="39" cm="1">
        <f t="array" ref="I94">_xlfn.XLOOKUP($A94,ACT[[№]:[№]],ACT[Gross weight, kg/ Вес брутто, кг],"",0,1)</f>
        <v>4832</v>
      </c>
      <c r="J94" s="39" t="str" cm="1">
        <f t="array" ref="J94">_xlfn.XLOOKUP($A94,ACT[[№]:[№]],ACT[Delivery terms / Условия поставки],"",0,1)</f>
        <v>FCA</v>
      </c>
      <c r="K94" s="39" cm="1">
        <f t="array" ref="K94">_xlfn.XLOOKUP($A94,ACT[[№]:[№]],ACT[Container total CBM],"",0,1)</f>
        <v>62.363999999999997</v>
      </c>
      <c r="L94" s="40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332000</v>
      </c>
      <c r="M94" s="40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73268.700000000012</v>
      </c>
      <c r="N94" s="40" cm="1">
        <f t="array" ref="N94">_xlfn.XLOOKUP($A94,ACT[[№]:[№]],ACT[Shoring, Banding, Sealing, Handling/ Крепление, Перевязка, Опечатование, Обработка
KRW],"",0,1)</f>
        <v>26818.260534923997</v>
      </c>
      <c r="O94" s="40" cm="1">
        <f t="array" ref="O94">_xlfn.XLOOKUP($A94,ACT[[№]:[№]],ACT[Documents Work/ Сбор за подготовку документов
KRW],"",0,1)</f>
        <v>6919.0558655634668</v>
      </c>
      <c r="P94" s="40" cm="1">
        <f t="array" ref="P94">_xlfn.XLOOKUP($A94,ACT[[№]:[№]],ACT[THC/ Терминальная обработка
KRW],"",0,1)</f>
        <v>25655.859149509335</v>
      </c>
      <c r="Q94" s="40" cm="1">
        <f t="array" ref="Q94">_xlfn.XLOOKUP($A94,ACT[[№]:[№]],ACT[Wharfage/ Портовая пошлина
KRW],"",0,1)</f>
        <v>1259.2681675325507</v>
      </c>
      <c r="R94" s="40" cm="1">
        <f t="array" ref="R94">_xlfn.XLOOKUP($A94,ACT[[№]:[№]],ACT[TRUCKING CHARGE],"",0,1)</f>
        <v>0</v>
      </c>
      <c r="S94" s="40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38815.903405811048</v>
      </c>
      <c r="T94" s="40" cm="1">
        <f t="array" ref="T94">_xlfn.XLOOKUP($A94,ACT[[№]:[№]],ACT[Special Wooden Shoring / Специальное деревянное крепление],"",0,1)</f>
        <v>0</v>
      </c>
      <c r="U94" s="9"/>
      <c r="V94" s="40" cm="1">
        <f t="array" ref="V94">_xlfn.XLOOKUP($A94,ACT[[№]:[№]],ACT[Total amount/ Общая стоимость KRW (10+11+12+13+14+15+16)],"",0,1)</f>
        <v>504737.04712334042</v>
      </c>
      <c r="W94" s="40" cm="1">
        <f t="array" ref="W94">_xlfn.XLOOKUP($A94,ACT[[№]:[№]],ACT[Total amount/ Общая стоимость (17*exchange rate/ обменный курс)
 USD],"",0,1)</f>
        <v>392.39</v>
      </c>
      <c r="X94" s="9" cm="1">
        <f t="array" ref="X9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94" s="12">
        <f>VLOOKUP(Шаблон_Формулы[[#This Row],[24]],Курс_840[[Дата]:[Курс]],2,0)</f>
        <v>12089</v>
      </c>
      <c r="Z94" s="42">
        <f>IFERROR(Шаблон_Формулы[[#This Row],[23]]*Шаблон_Формулы[[#This Row],[25]],"")</f>
        <v>4743602.71</v>
      </c>
      <c r="AA94" s="13" t="str" cm="1">
        <f t="array" ref="AA94">ACT_number[№ исходящего акта]</f>
        <v>468 LCL</v>
      </c>
    </row>
    <row r="95" spans="1:27" s="8" customFormat="1" ht="12">
      <c r="A95" s="11">
        <v>91</v>
      </c>
      <c r="B95" s="8" t="str" cm="1">
        <f t="array" ref="B95">_xlfn.XLOOKUP($A95,ACT[[№]:[№]],ACT[Container No/
№ Контейнера],"",0,1)</f>
        <v>SEGU4683917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37" cm="1">
        <f t="array" ref="E95">_xlfn.XLOOKUP($A95,ACT[[№]:[№]],ACT[Date of Dispatch/ 
Дата отгрузки],"",0,1)</f>
        <v>45130</v>
      </c>
      <c r="F95" s="38" t="str" cm="1">
        <f t="array" ref="F95">_xlfn.XLOOKUP($A95,ACT[[№]:[№]],ACT[Supplier/ Поставщик],"",0,1)</f>
        <v>Erae AMS</v>
      </c>
      <c r="G95" s="38" t="str" cm="1">
        <f t="array" ref="G95">_xlfn.XLOOKUP($A95,ACT[[№]:[№]],ACT[Supplier Invoice No/                          № Инвойса Поставщика],"",0,1)</f>
        <v>DM237WO03(4)</v>
      </c>
      <c r="H95" s="39" cm="1">
        <f t="array" ref="H95">_xlfn.XLOOKUP($A95,ACT[[№]:[№]],ACT[CBM],"",0,1)</f>
        <v>30.206</v>
      </c>
      <c r="I95" s="39" cm="1">
        <f t="array" ref="I95">_xlfn.XLOOKUP($A95,ACT[[№]:[№]],ACT[Gross weight, kg/ Вес брутто, кг],"",0,1)</f>
        <v>5096</v>
      </c>
      <c r="J95" s="39" t="str" cm="1">
        <f t="array" ref="J95">_xlfn.XLOOKUP($A95,ACT[[№]:[№]],ACT[Delivery terms / Условия поставки],"",0,1)</f>
        <v>FCA</v>
      </c>
      <c r="K95" s="39" cm="1">
        <f t="array" ref="K95">_xlfn.XLOOKUP($A95,ACT[[№]:[№]],ACT[Container total CBM],"",0,1)</f>
        <v>64.733999999999995</v>
      </c>
      <c r="L95" s="40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392000</v>
      </c>
      <c r="M95" s="40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256448.94</v>
      </c>
      <c r="N95" s="40" cm="1">
        <f t="array" ref="N95">_xlfn.XLOOKUP($A95,ACT[[№]:[№]],ACT[Shoring, Banding, Sealing, Handling/ Крепление, Перевязка, Опечатование, Обработка
KRW],"",0,1)</f>
        <v>90430.419872091952</v>
      </c>
      <c r="O95" s="40" cm="1">
        <f t="array" ref="O95">_xlfn.XLOOKUP($A95,ACT[[№]:[№]],ACT[Documents Work/ Сбор за подготовку документов
KRW],"",0,1)</f>
        <v>23330.861680106282</v>
      </c>
      <c r="P95" s="40" cm="1">
        <f t="array" ref="P95">_xlfn.XLOOKUP($A95,ACT[[№]:[№]],ACT[THC/ Терминальная обработка
KRW],"",0,1)</f>
        <v>86510.835109834094</v>
      </c>
      <c r="Q95" s="40" cm="1">
        <f t="array" ref="Q95">_xlfn.XLOOKUP($A95,ACT[[№]:[№]],ACT[Wharfage/ Портовая пошлина
KRW],"",0,1)</f>
        <v>4246.2168257793437</v>
      </c>
      <c r="R95" s="40" cm="1">
        <f t="array" ref="R95">_xlfn.XLOOKUP($A95,ACT[[№]:[№]],ACT[TRUCKING CHARGE],"",0,1)</f>
        <v>0</v>
      </c>
      <c r="S95" s="40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130886.13402539624</v>
      </c>
      <c r="T95" s="40" cm="1">
        <f t="array" ref="T95">_xlfn.XLOOKUP($A95,ACT[[№]:[№]],ACT[Special Wooden Shoring / Специальное деревянное крепление],"",0,1)</f>
        <v>0</v>
      </c>
      <c r="U95" s="9"/>
      <c r="V95" s="40" cm="1">
        <f t="array" ref="V95">_xlfn.XLOOKUP($A95,ACT[[№]:[№]],ACT[Total amount/ Общая стоимость KRW (10+11+12+13+14+15+16)],"",0,1)</f>
        <v>983853.40751320764</v>
      </c>
      <c r="W95" s="40" cm="1">
        <f t="array" ref="W95">_xlfn.XLOOKUP($A95,ACT[[№]:[№]],ACT[Total amount/ Общая стоимость (17*exchange rate/ обменный курс)
 USD],"",0,1)</f>
        <v>764.87</v>
      </c>
      <c r="X95" s="9" cm="1">
        <f t="array" ref="X9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95" s="12">
        <f>VLOOKUP(Шаблон_Формулы[[#This Row],[24]],Курс_840[[Дата]:[Курс]],2,0)</f>
        <v>12089</v>
      </c>
      <c r="Z95" s="42">
        <f>IFERROR(Шаблон_Формулы[[#This Row],[23]]*Шаблон_Формулы[[#This Row],[25]],"")</f>
        <v>9246513.4299999997</v>
      </c>
      <c r="AA95" s="13" t="str" cm="1">
        <f t="array" ref="AA95">ACT_number[№ исходящего акта]</f>
        <v>468 LCL</v>
      </c>
    </row>
    <row r="96" spans="1:27" s="8" customFormat="1" ht="12">
      <c r="A96" s="11">
        <v>92</v>
      </c>
      <c r="B96" s="8" t="str" cm="1">
        <f t="array" ref="B96">_xlfn.XLOOKUP($A96,ACT[[№]:[№]],ACT[Container No/
№ Контейнера],"",0,1)</f>
        <v>SEGU4683917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37" cm="1">
        <f t="array" ref="E96">_xlfn.XLOOKUP($A96,ACT[[№]:[№]],ACT[Date of Dispatch/ 
Дата отгрузки],"",0,1)</f>
        <v>45130</v>
      </c>
      <c r="F96" s="38" t="str" cm="1">
        <f t="array" ref="F96">_xlfn.XLOOKUP($A96,ACT[[№]:[№]],ACT[Supplier/ Поставщик],"",0,1)</f>
        <v>Erae AMS</v>
      </c>
      <c r="G96" s="38" t="str" cm="1">
        <f t="array" ref="G96">_xlfn.XLOOKUP($A96,ACT[[№]:[№]],ACT[Supplier Invoice No/                          № Инвойса Поставщика],"",0,1)</f>
        <v>DM237WO03(5)</v>
      </c>
      <c r="H96" s="39" cm="1">
        <f t="array" ref="H96">_xlfn.XLOOKUP($A96,ACT[[№]:[№]],ACT[CBM],"",0,1)</f>
        <v>17.263999999999999</v>
      </c>
      <c r="I96" s="39" cm="1">
        <f t="array" ref="I96">_xlfn.XLOOKUP($A96,ACT[[№]:[№]],ACT[Gross weight, kg/ Вес брутто, кг],"",0,1)</f>
        <v>5136</v>
      </c>
      <c r="J96" s="39" t="str" cm="1">
        <f t="array" ref="J96">_xlfn.XLOOKUP($A96,ACT[[№]:[№]],ACT[Delivery terms / Условия поставки],"",0,1)</f>
        <v>FCA</v>
      </c>
      <c r="K96" s="39" cm="1">
        <f t="array" ref="K96">_xlfn.XLOOKUP($A96,ACT[[№]:[№]],ACT[Container total CBM],"",0,1)</f>
        <v>64.733999999999995</v>
      </c>
      <c r="L96" s="40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376000</v>
      </c>
      <c r="M96" s="40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146571.35999999999</v>
      </c>
      <c r="N96" s="40" cm="1">
        <f t="array" ref="N96">_xlfn.XLOOKUP($A96,ACT[[№]:[№]],ACT[Shoring, Banding, Sealing, Handling/ Крепление, Перевязка, Опечатование, Обработка
KRW],"",0,1)</f>
        <v>51684.790063954031</v>
      </c>
      <c r="O96" s="40" cm="1">
        <f t="array" ref="O96">_xlfn.XLOOKUP($A96,ACT[[№]:[№]],ACT[Documents Work/ Сбор за подготовку документов
KRW],"",0,1)</f>
        <v>13334.569159946859</v>
      </c>
      <c r="P96" s="40" cm="1">
        <f t="array" ref="P96">_xlfn.XLOOKUP($A96,ACT[[№]:[№]],ACT[THC/ Терминальная обработка
KRW],"",0,1)</f>
        <v>49444.58244508296</v>
      </c>
      <c r="Q96" s="40" cm="1">
        <f t="array" ref="Q96">_xlfn.XLOOKUP($A96,ACT[[№]:[№]],ACT[Wharfage/ Портовая пошлина
KRW],"",0,1)</f>
        <v>2426.8915871103286</v>
      </c>
      <c r="R96" s="40" cm="1">
        <f t="array" ref="R96">_xlfn.XLOOKUP($A96,ACT[[№]:[№]],ACT[TRUCKING CHARGE],"",0,1)</f>
        <v>0</v>
      </c>
      <c r="S96" s="40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74806.932987301887</v>
      </c>
      <c r="T96" s="40" cm="1">
        <f t="array" ref="T96">_xlfn.XLOOKUP($A96,ACT[[№]:[№]],ACT[Special Wooden Shoring / Специальное деревянное крепление],"",0,1)</f>
        <v>0</v>
      </c>
      <c r="U96" s="9"/>
      <c r="V96" s="40" cm="1">
        <f t="array" ref="V96">_xlfn.XLOOKUP($A96,ACT[[№]:[№]],ACT[Total amount/ Общая стоимость KRW (10+11+12+13+14+15+16)],"",0,1)</f>
        <v>714269.12624339608</v>
      </c>
      <c r="W96" s="40" cm="1">
        <f t="array" ref="W96">_xlfn.XLOOKUP($A96,ACT[[№]:[№]],ACT[Total amount/ Общая стоимость (17*exchange rate/ обменный курс)
 USD],"",0,1)</f>
        <v>555.29</v>
      </c>
      <c r="X96" s="9" cm="1">
        <f t="array" ref="X9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96" s="12">
        <f>VLOOKUP(Шаблон_Формулы[[#This Row],[24]],Курс_840[[Дата]:[Курс]],2,0)</f>
        <v>12089</v>
      </c>
      <c r="Z96" s="42">
        <f>IFERROR(Шаблон_Формулы[[#This Row],[23]]*Шаблон_Формулы[[#This Row],[25]],"")</f>
        <v>6712900.8099999996</v>
      </c>
      <c r="AA96" s="13" t="str" cm="1">
        <f t="array" ref="AA96">ACT_number[№ исходящего акта]</f>
        <v>468 LCL</v>
      </c>
    </row>
    <row r="97" spans="1:27" s="8" customFormat="1" ht="12">
      <c r="A97" s="11">
        <v>93</v>
      </c>
      <c r="B97" s="8" t="str" cm="1">
        <f t="array" ref="B97">_xlfn.XLOOKUP($A97,ACT[[№]:[№]],ACT[Container No/
№ Контейнера],"",0,1)</f>
        <v>SEGU4683917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37" cm="1">
        <f t="array" ref="E97">_xlfn.XLOOKUP($A97,ACT[[№]:[№]],ACT[Date of Dispatch/ 
Дата отгрузки],"",0,1)</f>
        <v>45130</v>
      </c>
      <c r="F97" s="38" t="str" cm="1">
        <f t="array" ref="F97">_xlfn.XLOOKUP($A97,ACT[[№]:[№]],ACT[Supplier/ Поставщик],"",0,1)</f>
        <v>Erae AMS</v>
      </c>
      <c r="G97" s="38" t="str" cm="1">
        <f t="array" ref="G97">_xlfn.XLOOKUP($A97,ACT[[№]:[№]],ACT[Supplier Invoice No/                          № Инвойса Поставщика],"",0,1)</f>
        <v>DM237WO03(6)</v>
      </c>
      <c r="H97" s="39" cm="1">
        <f t="array" ref="H97">_xlfn.XLOOKUP($A97,ACT[[№]:[№]],ACT[CBM],"",0,1)</f>
        <v>17.263999999999999</v>
      </c>
      <c r="I97" s="39" cm="1">
        <f t="array" ref="I97">_xlfn.XLOOKUP($A97,ACT[[№]:[№]],ACT[Gross weight, kg/ Вес брутто, кг],"",0,1)</f>
        <v>5136</v>
      </c>
      <c r="J97" s="39" t="str" cm="1">
        <f t="array" ref="J97">_xlfn.XLOOKUP($A97,ACT[[№]:[№]],ACT[Delivery terms / Условия поставки],"",0,1)</f>
        <v>FCA</v>
      </c>
      <c r="K97" s="39" cm="1">
        <f t="array" ref="K97">_xlfn.XLOOKUP($A97,ACT[[№]:[№]],ACT[Container total CBM],"",0,1)</f>
        <v>64.733999999999995</v>
      </c>
      <c r="L97" s="40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376000</v>
      </c>
      <c r="M97" s="40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146571.35999999999</v>
      </c>
      <c r="N97" s="40" cm="1">
        <f t="array" ref="N97">_xlfn.XLOOKUP($A97,ACT[[№]:[№]],ACT[Shoring, Banding, Sealing, Handling/ Крепление, Перевязка, Опечатование, Обработка
KRW],"",0,1)</f>
        <v>51684.790063954031</v>
      </c>
      <c r="O97" s="40" cm="1">
        <f t="array" ref="O97">_xlfn.XLOOKUP($A97,ACT[[№]:[№]],ACT[Documents Work/ Сбор за подготовку документов
KRW],"",0,1)</f>
        <v>13334.569159946859</v>
      </c>
      <c r="P97" s="40" cm="1">
        <f t="array" ref="P97">_xlfn.XLOOKUP($A97,ACT[[№]:[№]],ACT[THC/ Терминальная обработка
KRW],"",0,1)</f>
        <v>49444.58244508296</v>
      </c>
      <c r="Q97" s="40" cm="1">
        <f t="array" ref="Q97">_xlfn.XLOOKUP($A97,ACT[[№]:[№]],ACT[Wharfage/ Портовая пошлина
KRW],"",0,1)</f>
        <v>2426.8915871103286</v>
      </c>
      <c r="R97" s="40" cm="1">
        <f t="array" ref="R97">_xlfn.XLOOKUP($A97,ACT[[№]:[№]],ACT[TRUCKING CHARGE],"",0,1)</f>
        <v>0</v>
      </c>
      <c r="S97" s="40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74806.932987301887</v>
      </c>
      <c r="T97" s="40" cm="1">
        <f t="array" ref="T97">_xlfn.XLOOKUP($A97,ACT[[№]:[№]],ACT[Special Wooden Shoring / Специальное деревянное крепление],"",0,1)</f>
        <v>0</v>
      </c>
      <c r="U97" s="9"/>
      <c r="V97" s="40" cm="1">
        <f t="array" ref="V97">_xlfn.XLOOKUP($A97,ACT[[№]:[№]],ACT[Total amount/ Общая стоимость KRW (10+11+12+13+14+15+16)],"",0,1)</f>
        <v>714269.12624339608</v>
      </c>
      <c r="W97" s="40" cm="1">
        <f t="array" ref="W97">_xlfn.XLOOKUP($A97,ACT[[№]:[№]],ACT[Total amount/ Общая стоимость (17*exchange rate/ обменный курс)
 USD],"",0,1)</f>
        <v>555.29</v>
      </c>
      <c r="X97" s="9" cm="1">
        <f t="array" ref="X9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97" s="12">
        <f>VLOOKUP(Шаблон_Формулы[[#This Row],[24]],Курс_840[[Дата]:[Курс]],2,0)</f>
        <v>12089</v>
      </c>
      <c r="Z97" s="42">
        <f>IFERROR(Шаблон_Формулы[[#This Row],[23]]*Шаблон_Формулы[[#This Row],[25]],"")</f>
        <v>6712900.8099999996</v>
      </c>
      <c r="AA97" s="13" t="str" cm="1">
        <f t="array" ref="AA97">ACT_number[№ исходящего акта]</f>
        <v>468 LCL</v>
      </c>
    </row>
    <row r="98" spans="1:27" s="8" customFormat="1" ht="12">
      <c r="A98" s="11">
        <v>94</v>
      </c>
      <c r="B98" s="8" t="str" cm="1">
        <f t="array" ref="B98">_xlfn.XLOOKUP($A98,ACT[[№]:[№]],ACT[Container No/
№ Контейнера],"",0,1)</f>
        <v>AKLU6510221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37" cm="1">
        <f t="array" ref="E98">_xlfn.XLOOKUP($A98,ACT[[№]:[№]],ACT[Date of Dispatch/ 
Дата отгрузки],"",0,1)</f>
        <v>45130</v>
      </c>
      <c r="F98" s="38" t="str" cm="1">
        <f t="array" ref="F98">_xlfn.XLOOKUP($A98,ACT[[№]:[№]],ACT[Supplier/ Поставщик],"",0,1)</f>
        <v>Cosmo Eng</v>
      </c>
      <c r="G98" s="38" t="str" cm="1">
        <f t="array" ref="G98">_xlfn.XLOOKUP($A98,ACT[[№]:[№]],ACT[Supplier Invoice No/                          № Инвойса Поставщика],"",0,1)</f>
        <v>GUZ230703-1</v>
      </c>
      <c r="H98" s="39" cm="1">
        <f t="array" ref="H98">_xlfn.XLOOKUP($A98,ACT[[№]:[№]],ACT[CBM],"",0,1)</f>
        <v>54.673999999999999</v>
      </c>
      <c r="I98" s="39" cm="1">
        <f t="array" ref="I98">_xlfn.XLOOKUP($A98,ACT[[№]:[№]],ACT[Gross weight, kg/ Вес брутто, кг],"",0,1)</f>
        <v>3815.36</v>
      </c>
      <c r="J98" s="39" t="str" cm="1">
        <f t="array" ref="J98">_xlfn.XLOOKUP($A98,ACT[[№]:[№]],ACT[Delivery terms / Условия поставки],"",0,1)</f>
        <v>FCA</v>
      </c>
      <c r="K98" s="39" cm="1">
        <f t="array" ref="K98">_xlfn.XLOOKUP($A98,ACT[[№]:[№]],ACT[Container total CBM],"",0,1)</f>
        <v>54.673999999999999</v>
      </c>
      <c r="L98" s="40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1504000</v>
      </c>
      <c r="M98" s="40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464182.26</v>
      </c>
      <c r="N98" s="40" cm="1">
        <f t="array" ref="N98">_xlfn.XLOOKUP($A98,ACT[[№]:[№]],ACT[Shoring, Banding, Sealing, Handling/ Крепление, Перевязка, Опечатование, Обработка
KRW],"",0,1)</f>
        <v>193800</v>
      </c>
      <c r="O98" s="40" cm="1">
        <f t="array" ref="O98">_xlfn.XLOOKUP($A98,ACT[[№]:[№]],ACT[Documents Work/ Сбор за подготовку документов
KRW],"",0,1)</f>
        <v>50000</v>
      </c>
      <c r="P98" s="40" cm="1">
        <f t="array" ref="P98">_xlfn.XLOOKUP($A98,ACT[[№]:[№]],ACT[THC/ Терминальная обработка
KRW],"",0,1)</f>
        <v>185400</v>
      </c>
      <c r="Q98" s="40" cm="1">
        <f t="array" ref="Q98">_xlfn.XLOOKUP($A98,ACT[[№]:[№]],ACT[Wharfage/ Портовая пошлина
KRW],"",0,1)</f>
        <v>9100</v>
      </c>
      <c r="R98" s="40" cm="1">
        <f t="array" ref="R98">_xlfn.XLOOKUP($A98,ACT[[№]:[№]],ACT[TRUCKING CHARGE],"",0,1)</f>
        <v>0</v>
      </c>
      <c r="S98" s="40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8" s="40" cm="1">
        <f t="array" ref="T98">_xlfn.XLOOKUP($A98,ACT[[№]:[№]],ACT[Special Wooden Shoring / Специальное деревянное крепление],"",0,1)</f>
        <v>0</v>
      </c>
      <c r="U98" s="9"/>
      <c r="V98" s="40" cm="1">
        <f t="array" ref="V98">_xlfn.XLOOKUP($A98,ACT[[№]:[№]],ACT[Total amount/ Общая стоимость KRW (10+11+12+13+14+15+16)],"",0,1)</f>
        <v>2686982.26</v>
      </c>
      <c r="W98" s="40" cm="1">
        <f t="array" ref="W98">_xlfn.XLOOKUP($A98,ACT[[№]:[№]],ACT[Total amount/ Общая стоимость (17*exchange rate/ обменный курс)
 USD],"",0,1)</f>
        <v>2088.92</v>
      </c>
      <c r="X98" s="9" cm="1">
        <f t="array" ref="X9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98" s="12">
        <f>VLOOKUP(Шаблон_Формулы[[#This Row],[24]],Курс_840[[Дата]:[Курс]],2,0)</f>
        <v>12089</v>
      </c>
      <c r="Z98" s="42">
        <f>IFERROR(Шаблон_Формулы[[#This Row],[23]]*Шаблон_Формулы[[#This Row],[25]],"")</f>
        <v>25252953.880000003</v>
      </c>
      <c r="AA98" s="13" t="str" cm="1">
        <f t="array" ref="AA98">ACT_number[№ исходящего акта]</f>
        <v>468 LCL</v>
      </c>
    </row>
    <row r="99" spans="1:27" s="8" customFormat="1" ht="12">
      <c r="A99" s="11">
        <v>95</v>
      </c>
      <c r="B99" s="8" t="str" cm="1">
        <f t="array" ref="B99">_xlfn.XLOOKUP($A99,ACT[[№]:[№]],ACT[Container No/
№ Контейнера],"",0,1)</f>
        <v>TGHU9108415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37" cm="1">
        <f t="array" ref="E99">_xlfn.XLOOKUP($A99,ACT[[№]:[№]],ACT[Date of Dispatch/ 
Дата отгрузки],"",0,1)</f>
        <v>45130</v>
      </c>
      <c r="F99" s="38" t="str" cm="1">
        <f t="array" ref="F99">_xlfn.XLOOKUP($A99,ACT[[№]:[№]],ACT[Supplier/ Поставщик],"",0,1)</f>
        <v>Cosmo Eng</v>
      </c>
      <c r="G99" s="38" t="str" cm="1">
        <f t="array" ref="G99">_xlfn.XLOOKUP($A99,ACT[[№]:[№]],ACT[Supplier Invoice No/                          № Инвойса Поставщика],"",0,1)</f>
        <v>GUZ230703-2</v>
      </c>
      <c r="H99" s="39" cm="1">
        <f t="array" ref="H99">_xlfn.XLOOKUP($A99,ACT[[№]:[№]],ACT[CBM],"",0,1)</f>
        <v>34.170999999999999</v>
      </c>
      <c r="I99" s="39" cm="1">
        <f t="array" ref="I99">_xlfn.XLOOKUP($A99,ACT[[№]:[№]],ACT[Gross weight, kg/ Вес брутто, кг],"",0,1)</f>
        <v>2384.6</v>
      </c>
      <c r="J99" s="39" t="str" cm="1">
        <f t="array" ref="J99">_xlfn.XLOOKUP($A99,ACT[[№]:[№]],ACT[Delivery terms / Условия поставки],"",0,1)</f>
        <v>FCA</v>
      </c>
      <c r="K99" s="39" cm="1">
        <f t="array" ref="K99">_xlfn.XLOOKUP($A99,ACT[[№]:[№]],ACT[Container total CBM],"",0,1)</f>
        <v>59.970999999999997</v>
      </c>
      <c r="L99" s="40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1164000</v>
      </c>
      <c r="M99" s="40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290111.78999999998</v>
      </c>
      <c r="N99" s="40" cm="1">
        <f t="array" ref="N99">_xlfn.XLOOKUP($A99,ACT[[№]:[№]],ACT[Shoring, Banding, Sealing, Handling/ Крепление, Перевязка, Опечатование, Обработка
KRW],"",0,1)</f>
        <v>110425.7024228377</v>
      </c>
      <c r="O99" s="40" cm="1">
        <f t="array" ref="O99">_xlfn.XLOOKUP($A99,ACT[[№]:[№]],ACT[Documents Work/ Сбор за подготовку документов
KRW],"",0,1)</f>
        <v>28489.603308265661</v>
      </c>
      <c r="P99" s="40" cm="1">
        <f t="array" ref="P99">_xlfn.XLOOKUP($A99,ACT[[№]:[№]],ACT[THC/ Терминальная обработка
KRW],"",0,1)</f>
        <v>105639.44906704906</v>
      </c>
      <c r="Q99" s="40" cm="1">
        <f t="array" ref="Q99">_xlfn.XLOOKUP($A99,ACT[[№]:[№]],ACT[Wharfage/ Портовая пошлина
KRW],"",0,1)</f>
        <v>5185.1078021043504</v>
      </c>
      <c r="R99" s="40" cm="1">
        <f t="array" ref="R99">_xlfn.XLOOKUP($A99,ACT[[№]:[№]],ACT[TRUCKING CHARGE],"",0,1)</f>
        <v>0</v>
      </c>
      <c r="S99" s="40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159826.67455937035</v>
      </c>
      <c r="T99" s="40" cm="1">
        <f t="array" ref="T99">_xlfn.XLOOKUP($A99,ACT[[№]:[№]],ACT[Special Wooden Shoring / Специальное деревянное крепление],"",0,1)</f>
        <v>0</v>
      </c>
      <c r="U99" s="9"/>
      <c r="V99" s="40" cm="1">
        <f t="array" ref="V99">_xlfn.XLOOKUP($A99,ACT[[№]:[№]],ACT[Total amount/ Общая стоимость KRW (10+11+12+13+14+15+16)],"",0,1)</f>
        <v>1863678.3271596271</v>
      </c>
      <c r="W99" s="40" cm="1">
        <f t="array" ref="W99">_xlfn.XLOOKUP($A99,ACT[[№]:[№]],ACT[Total amount/ Общая стоимость (17*exchange rate/ обменный курс)
 USD],"",0,1)</f>
        <v>1448.87</v>
      </c>
      <c r="X99" s="9" cm="1">
        <f t="array" ref="X9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99" s="12">
        <f>VLOOKUP(Шаблон_Формулы[[#This Row],[24]],Курс_840[[Дата]:[Курс]],2,0)</f>
        <v>12089</v>
      </c>
      <c r="Z99" s="42">
        <f>IFERROR(Шаблон_Формулы[[#This Row],[23]]*Шаблон_Формулы[[#This Row],[25]],"")</f>
        <v>17515389.43</v>
      </c>
      <c r="AA99" s="13" t="str" cm="1">
        <f t="array" ref="AA99">ACT_number[№ исходящего акта]</f>
        <v>468 LCL</v>
      </c>
    </row>
    <row r="100" spans="1:27" s="8" customFormat="1" ht="12">
      <c r="A100" s="11">
        <v>96</v>
      </c>
      <c r="B100" s="8" t="str" cm="1">
        <f t="array" ref="B100">_xlfn.XLOOKUP($A100,ACT[[№]:[№]],ACT[Container No/
№ Контейнера],"",0,1)</f>
        <v>TGHU9108415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37" cm="1">
        <f t="array" ref="E100">_xlfn.XLOOKUP($A100,ACT[[№]:[№]],ACT[Date of Dispatch/ 
Дата отгрузки],"",0,1)</f>
        <v>45130</v>
      </c>
      <c r="F100" s="38" t="str" cm="1">
        <f t="array" ref="F100">_xlfn.XLOOKUP($A100,ACT[[№]:[№]],ACT[Supplier/ Поставщик],"",0,1)</f>
        <v>Mando Wonju</v>
      </c>
      <c r="G100" s="38" t="str" cm="1">
        <f t="array" ref="G100">_xlfn.XLOOKUP($A100,ACT[[№]:[№]],ACT[Supplier Invoice No/                          № Инвойса Поставщика],"",0,1)</f>
        <v>CKWJ2307037</v>
      </c>
      <c r="H100" s="39" cm="1">
        <f t="array" ref="H100">_xlfn.XLOOKUP($A100,ACT[[№]:[№]],ACT[CBM],"",0,1)</f>
        <v>25.8</v>
      </c>
      <c r="I100" s="39" cm="1">
        <f t="array" ref="I100">_xlfn.XLOOKUP($A100,ACT[[№]:[№]],ACT[Gross weight, kg/ Вес брутто, кг],"",0,1)</f>
        <v>4738.5600000000004</v>
      </c>
      <c r="J100" s="39" t="str" cm="1">
        <f t="array" ref="J100">_xlfn.XLOOKUP($A100,ACT[[№]:[№]],ACT[Delivery terms / Условия поставки],"",0,1)</f>
        <v>FCA</v>
      </c>
      <c r="K100" s="39" cm="1">
        <f t="array" ref="K100">_xlfn.XLOOKUP($A100,ACT[[№]:[№]],ACT[Container total CBM],"",0,1)</f>
        <v>59.970999999999997</v>
      </c>
      <c r="L100" s="40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549000</v>
      </c>
      <c r="M100" s="40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219042</v>
      </c>
      <c r="N100" s="40" cm="1">
        <f t="array" ref="N100">_xlfn.XLOOKUP($A100,ACT[[№]:[№]],ACT[Shoring, Banding, Sealing, Handling/ Крепление, Перевязка, Опечатование, Обработка
KRW],"",0,1)</f>
        <v>83374.297577162288</v>
      </c>
      <c r="O100" s="40" cm="1">
        <f t="array" ref="O100">_xlfn.XLOOKUP($A100,ACT[[№]:[№]],ACT[Documents Work/ Сбор за подготовку документов
KRW],"",0,1)</f>
        <v>21510.396691734339</v>
      </c>
      <c r="P100" s="40" cm="1">
        <f t="array" ref="P100">_xlfn.XLOOKUP($A100,ACT[[№]:[№]],ACT[THC/ Терминальная обработка
KRW],"",0,1)</f>
        <v>79760.550932950922</v>
      </c>
      <c r="Q100" s="40" cm="1">
        <f t="array" ref="Q100">_xlfn.XLOOKUP($A100,ACT[[№]:[№]],ACT[Wharfage/ Портовая пошлина
KRW],"",0,1)</f>
        <v>3914.8921978956496</v>
      </c>
      <c r="R100" s="40" cm="1">
        <f t="array" ref="R100">_xlfn.XLOOKUP($A100,ACT[[№]:[№]],ACT[TRUCKING CHARGE],"",0,1)</f>
        <v>0</v>
      </c>
      <c r="S100" s="40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120673.32544062963</v>
      </c>
      <c r="T100" s="40" cm="1">
        <f t="array" ref="T100">_xlfn.XLOOKUP($A100,ACT[[№]:[№]],ACT[Special Wooden Shoring / Специальное деревянное крепление],"",0,1)</f>
        <v>0</v>
      </c>
      <c r="U100" s="9"/>
      <c r="V100" s="40" cm="1">
        <f t="array" ref="V100">_xlfn.XLOOKUP($A100,ACT[[№]:[№]],ACT[Total amount/ Общая стоимость KRW (10+11+12+13+14+15+16)],"",0,1)</f>
        <v>1077275.4628403727</v>
      </c>
      <c r="W100" s="40" cm="1">
        <f t="array" ref="W100">_xlfn.XLOOKUP($A100,ACT[[№]:[№]],ACT[Total amount/ Общая стоимость (17*exchange rate/ обменный курс)
 USD],"",0,1)</f>
        <v>837.5</v>
      </c>
      <c r="X100" s="9" cm="1">
        <f t="array" ref="X10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00" s="12">
        <f>VLOOKUP(Шаблон_Формулы[[#This Row],[24]],Курс_840[[Дата]:[Курс]],2,0)</f>
        <v>12089</v>
      </c>
      <c r="Z100" s="42">
        <f>IFERROR(Шаблон_Формулы[[#This Row],[23]]*Шаблон_Формулы[[#This Row],[25]],"")</f>
        <v>10124537.5</v>
      </c>
      <c r="AA100" s="13" t="str" cm="1">
        <f t="array" ref="AA100">ACT_number[№ исходящего акта]</f>
        <v>468 LCL</v>
      </c>
    </row>
    <row r="101" spans="1:27" s="8" customFormat="1" ht="12">
      <c r="A101" s="11">
        <v>97</v>
      </c>
      <c r="B101" s="8" t="str" cm="1">
        <f t="array" ref="B101">_xlfn.XLOOKUP($A101,ACT[[№]:[№]],ACT[Container No/
№ Контейнера],"",0,1)</f>
        <v>FFAU4762413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37" cm="1">
        <f t="array" ref="E101">_xlfn.XLOOKUP($A101,ACT[[№]:[№]],ACT[Date of Dispatch/ 
Дата отгрузки],"",0,1)</f>
        <v>45130</v>
      </c>
      <c r="F101" s="38" t="str" cm="1">
        <f t="array" ref="F101">_xlfn.XLOOKUP($A101,ACT[[№]:[№]],ACT[Supplier/ Поставщик],"",0,1)</f>
        <v>Hanyang Precision</v>
      </c>
      <c r="G101" s="38" t="str" cm="1">
        <f t="array" ref="G101">_xlfn.XLOOKUP($A101,ACT[[№]:[№]],ACT[Supplier Invoice No/                          № Инвойса Поставщика],"",0,1)</f>
        <v>HY230717U(2)</v>
      </c>
      <c r="H101" s="39" cm="1">
        <f t="array" ref="H101">_xlfn.XLOOKUP($A101,ACT[[№]:[№]],ACT[CBM],"",0,1)</f>
        <v>12.349</v>
      </c>
      <c r="I101" s="39" cm="1">
        <f t="array" ref="I101">_xlfn.XLOOKUP($A101,ACT[[№]:[№]],ACT[Gross weight, kg/ Вес брутто, кг],"",0,1)</f>
        <v>9240</v>
      </c>
      <c r="J101" s="39" t="str" cm="1">
        <f t="array" ref="J101">_xlfn.XLOOKUP($A101,ACT[[№]:[№]],ACT[Delivery terms / Условия поставки],"",0,1)</f>
        <v>FCA</v>
      </c>
      <c r="K101" s="39" cm="1">
        <f t="array" ref="K101">_xlfn.XLOOKUP($A101,ACT[[№]:[№]],ACT[Container total CBM],"",0,1)</f>
        <v>57.853999999999999</v>
      </c>
      <c r="L101" s="40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752000</v>
      </c>
      <c r="M101" s="40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104843.01</v>
      </c>
      <c r="N101" s="40" cm="1">
        <f t="array" ref="N101">_xlfn.XLOOKUP($A101,ACT[[№]:[№]],ACT[Shoring, Banding, Sealing, Handling/ Крепление, Перевязка, Опечатование, Обработка
KRW],"",0,1)</f>
        <v>41366.823382998584</v>
      </c>
      <c r="O101" s="40" cm="1">
        <f t="array" ref="O101">_xlfn.XLOOKUP($A101,ACT[[№]:[№]],ACT[Documents Work/ Сбор за подготовку документов
KRW],"",0,1)</f>
        <v>10672.555052373216</v>
      </c>
      <c r="P101" s="40" cm="1">
        <f t="array" ref="P101">_xlfn.XLOOKUP($A101,ACT[[№]:[№]],ACT[THC/ Терминальная обработка
KRW],"",0,1)</f>
        <v>39573.834134199882</v>
      </c>
      <c r="Q101" s="40" cm="1">
        <f t="array" ref="Q101">_xlfn.XLOOKUP($A101,ACT[[№]:[№]],ACT[Wharfage/ Портовая пошлина
KRW],"",0,1)</f>
        <v>1942.4050195319253</v>
      </c>
      <c r="R101" s="40" cm="1">
        <f t="array" ref="R101">_xlfn.XLOOKUP($A101,ACT[[№]:[№]],ACT[TRUCKING CHARGE],"",0,1)</f>
        <v>0</v>
      </c>
      <c r="S101" s="40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59873.033843813741</v>
      </c>
      <c r="T101" s="40" cm="1">
        <f t="array" ref="T101">_xlfn.XLOOKUP($A101,ACT[[№]:[№]],ACT[Special Wooden Shoring / Специальное деревянное крепление],"",0,1)</f>
        <v>0</v>
      </c>
      <c r="U101" s="9"/>
      <c r="V101" s="40" cm="1">
        <f t="array" ref="V101">_xlfn.XLOOKUP($A101,ACT[[№]:[№]],ACT[Total amount/ Общая стоимость KRW (10+11+12+13+14+15+16)],"",0,1)</f>
        <v>1010271.6614329172</v>
      </c>
      <c r="W101" s="40" cm="1">
        <f t="array" ref="W101">_xlfn.XLOOKUP($A101,ACT[[№]:[№]],ACT[Total amount/ Общая стоимость (17*exchange rate/ обменный курс)
 USD],"",0,1)</f>
        <v>785.41</v>
      </c>
      <c r="X101" s="9" cm="1">
        <f t="array" ref="X10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01" s="12">
        <f>VLOOKUP(Шаблон_Формулы[[#This Row],[24]],Курс_840[[Дата]:[Курс]],2,0)</f>
        <v>12089</v>
      </c>
      <c r="Z101" s="42">
        <f>IFERROR(Шаблон_Формулы[[#This Row],[23]]*Шаблон_Формулы[[#This Row],[25]],"")</f>
        <v>9494821.4900000002</v>
      </c>
      <c r="AA101" s="13" t="str" cm="1">
        <f t="array" ref="AA101">ACT_number[№ исходящего акта]</f>
        <v>468 LCL</v>
      </c>
    </row>
    <row r="102" spans="1:27" s="8" customFormat="1" ht="12">
      <c r="A102" s="11">
        <v>98</v>
      </c>
      <c r="B102" s="8" t="str" cm="1">
        <f t="array" ref="B102">_xlfn.XLOOKUP($A102,ACT[[№]:[№]],ACT[Container No/
№ Контейнера],"",0,1)</f>
        <v>FFAU4762413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37" cm="1">
        <f t="array" ref="E102">_xlfn.XLOOKUP($A102,ACT[[№]:[№]],ACT[Date of Dispatch/ 
Дата отгрузки],"",0,1)</f>
        <v>45130</v>
      </c>
      <c r="F102" s="38" t="str" cm="1">
        <f t="array" ref="F102">_xlfn.XLOOKUP($A102,ACT[[№]:[№]],ACT[Supplier/ Поставщик],"",0,1)</f>
        <v>Cosmo Eng</v>
      </c>
      <c r="G102" s="38" t="str" cm="1">
        <f t="array" ref="G102">_xlfn.XLOOKUP($A102,ACT[[№]:[№]],ACT[Supplier Invoice No/                          № Инвойса Поставщика],"",0,1)</f>
        <v>UZ230702</v>
      </c>
      <c r="H102" s="39" cm="1">
        <f t="array" ref="H102">_xlfn.XLOOKUP($A102,ACT[[№]:[№]],ACT[CBM],"",0,1)</f>
        <v>45.505000000000003</v>
      </c>
      <c r="I102" s="39" cm="1">
        <f t="array" ref="I102">_xlfn.XLOOKUP($A102,ACT[[№]:[№]],ACT[Gross weight, kg/ Вес брутто, кг],"",0,1)</f>
        <v>3998.8</v>
      </c>
      <c r="J102" s="39" t="str" cm="1">
        <f t="array" ref="J102">_xlfn.XLOOKUP($A102,ACT[[№]:[№]],ACT[Delivery terms / Условия поставки],"",0,1)</f>
        <v>FCA</v>
      </c>
      <c r="K102" s="39" cm="1">
        <f t="array" ref="K102">_xlfn.XLOOKUP($A102,ACT[[№]:[№]],ACT[Container total CBM],"",0,1)</f>
        <v>57.853999999999999</v>
      </c>
      <c r="L102" s="40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1384500</v>
      </c>
      <c r="M102" s="40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386337.45</v>
      </c>
      <c r="N102" s="40" cm="1">
        <f t="array" ref="N102">_xlfn.XLOOKUP($A102,ACT[[№]:[№]],ACT[Shoring, Banding, Sealing, Handling/ Крепление, Перевязка, Опечатование, Обработка
KRW],"",0,1)</f>
        <v>152433.17661700145</v>
      </c>
      <c r="O102" s="40" cm="1">
        <f t="array" ref="O102">_xlfn.XLOOKUP($A102,ACT[[№]:[№]],ACT[Documents Work/ Сбор за подготовку документов
KRW],"",0,1)</f>
        <v>39327.444947626791</v>
      </c>
      <c r="P102" s="40" cm="1">
        <f t="array" ref="P102">_xlfn.XLOOKUP($A102,ACT[[№]:[№]],ACT[THC/ Терминальная обработка
KRW],"",0,1)</f>
        <v>145826.16586580014</v>
      </c>
      <c r="Q102" s="40" cm="1">
        <f t="array" ref="Q102">_xlfn.XLOOKUP($A102,ACT[[№]:[№]],ACT[Wharfage/ Портовая пошлина
KRW],"",0,1)</f>
        <v>7157.5949804680758</v>
      </c>
      <c r="R102" s="40" cm="1">
        <f t="array" ref="R102">_xlfn.XLOOKUP($A102,ACT[[№]:[№]],ACT[TRUCKING CHARGE],"",0,1)</f>
        <v>0</v>
      </c>
      <c r="S102" s="40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220626.96615618627</v>
      </c>
      <c r="T102" s="40" cm="1">
        <f t="array" ref="T102">_xlfn.XLOOKUP($A102,ACT[[№]:[№]],ACT[Special Wooden Shoring / Специальное деревянное крепление],"",0,1)</f>
        <v>0</v>
      </c>
      <c r="U102" s="9"/>
      <c r="V102" s="40" cm="1">
        <f t="array" ref="V102">_xlfn.XLOOKUP($A102,ACT[[№]:[№]],ACT[Total amount/ Общая стоимость KRW (10+11+12+13+14+15+16)],"",0,1)</f>
        <v>2336208.7985670827</v>
      </c>
      <c r="W102" s="40" cm="1">
        <f t="array" ref="W102">_xlfn.XLOOKUP($A102,ACT[[№]:[№]],ACT[Total amount/ Общая стоимость (17*exchange rate/ обменный курс)
 USD],"",0,1)</f>
        <v>1816.22</v>
      </c>
      <c r="X102" s="9" cm="1">
        <f t="array" ref="X10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02" s="12">
        <f>VLOOKUP(Шаблон_Формулы[[#This Row],[24]],Курс_840[[Дата]:[Курс]],2,0)</f>
        <v>12089</v>
      </c>
      <c r="Z102" s="42">
        <f>IFERROR(Шаблон_Формулы[[#This Row],[23]]*Шаблон_Формулы[[#This Row],[25]],"")</f>
        <v>21956283.580000002</v>
      </c>
      <c r="AA102" s="13" t="str" cm="1">
        <f t="array" ref="AA102">ACT_number[№ исходящего акта]</f>
        <v>468 LCL</v>
      </c>
    </row>
    <row r="103" spans="1:27" s="8" customFormat="1" ht="12">
      <c r="A103" s="11">
        <v>99</v>
      </c>
      <c r="B103" s="8" t="str" cm="1">
        <f t="array" ref="B103">_xlfn.XLOOKUP($A103,ACT[[№]:[№]],ACT[Container No/
№ Контейнера],"",0,1)</f>
        <v>SEGU5293636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37" cm="1">
        <f t="array" ref="E103">_xlfn.XLOOKUP($A103,ACT[[№]:[№]],ACT[Date of Dispatch/ 
Дата отгрузки],"",0,1)</f>
        <v>45130</v>
      </c>
      <c r="F103" s="38" t="str" cm="1">
        <f t="array" ref="F103">_xlfn.XLOOKUP($A103,ACT[[№]:[№]],ACT[Supplier/ Поставщик],"",0,1)</f>
        <v>Hanyang Precision</v>
      </c>
      <c r="G103" s="38" t="str" cm="1">
        <f t="array" ref="G103">_xlfn.XLOOKUP($A103,ACT[[№]:[№]],ACT[Supplier Invoice No/                          № Инвойса Поставщика],"",0,1)</f>
        <v>HY230717U(3)</v>
      </c>
      <c r="H103" s="39" cm="1">
        <f t="array" ref="H103">_xlfn.XLOOKUP($A103,ACT[[№]:[№]],ACT[CBM],"",0,1)</f>
        <v>10.291</v>
      </c>
      <c r="I103" s="39" cm="1">
        <f t="array" ref="I103">_xlfn.XLOOKUP($A103,ACT[[№]:[№]],ACT[Gross weight, kg/ Вес брутто, кг],"",0,1)</f>
        <v>7700</v>
      </c>
      <c r="J103" s="39" t="str" cm="1">
        <f t="array" ref="J103">_xlfn.XLOOKUP($A103,ACT[[№]:[№]],ACT[Delivery terms / Условия поставки],"",0,1)</f>
        <v>FCA</v>
      </c>
      <c r="K103" s="39" cm="1">
        <f t="array" ref="K103">_xlfn.XLOOKUP($A103,ACT[[№]:[№]],ACT[Container total CBM],"",0,1)</f>
        <v>57.068000000000005</v>
      </c>
      <c r="L103" s="40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698500</v>
      </c>
      <c r="M103" s="40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87370.59</v>
      </c>
      <c r="N103" s="40" cm="1">
        <f t="array" ref="N103">_xlfn.XLOOKUP($A103,ACT[[№]:[№]],ACT[Shoring, Banding, Sealing, Handling/ Крепление, Перевязка, Опечатование, Обработка
KRW],"",0,1)</f>
        <v>34947.707997476697</v>
      </c>
      <c r="O103" s="40" cm="1">
        <f t="array" ref="O103">_xlfn.XLOOKUP($A103,ACT[[№]:[№]],ACT[Documents Work/ Сбор за подготовку документов
KRW],"",0,1)</f>
        <v>9016.4365318567325</v>
      </c>
      <c r="P103" s="40" cm="1">
        <f t="array" ref="P103">_xlfn.XLOOKUP($A103,ACT[[№]:[№]],ACT[THC/ Терминальная обработка
KRW],"",0,1)</f>
        <v>33432.946660124762</v>
      </c>
      <c r="Q103" s="40" cm="1">
        <f t="array" ref="Q103">_xlfn.XLOOKUP($A103,ACT[[№]:[№]],ACT[Wharfage/ Портовая пошлина
KRW],"",0,1)</f>
        <v>1640.9914487979252</v>
      </c>
      <c r="R103" s="40" cm="1">
        <f t="array" ref="R103">_xlfn.XLOOKUP($A103,ACT[[№]:[№]],ACT[TRUCKING CHARGE],"",0,1)</f>
        <v>0</v>
      </c>
      <c r="S103" s="40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50582.208943716265</v>
      </c>
      <c r="T103" s="40" cm="1">
        <f t="array" ref="T103">_xlfn.XLOOKUP($A103,ACT[[№]:[№]],ACT[Special Wooden Shoring / Специальное деревянное крепление],"",0,1)</f>
        <v>0</v>
      </c>
      <c r="U103" s="9"/>
      <c r="V103" s="40" cm="1">
        <f t="array" ref="V103">_xlfn.XLOOKUP($A103,ACT[[№]:[№]],ACT[Total amount/ Общая стоимость KRW (10+11+12+13+14+15+16)],"",0,1)</f>
        <v>915490.88158197235</v>
      </c>
      <c r="W103" s="40" cm="1">
        <f t="array" ref="W103">_xlfn.XLOOKUP($A103,ACT[[№]:[№]],ACT[Total amount/ Общая стоимость (17*exchange rate/ обменный курс)
 USD],"",0,1)</f>
        <v>711.72</v>
      </c>
      <c r="X103" s="9" cm="1">
        <f t="array" ref="X10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03" s="12">
        <f>VLOOKUP(Шаблон_Формулы[[#This Row],[24]],Курс_840[[Дата]:[Курс]],2,0)</f>
        <v>12089</v>
      </c>
      <c r="Z103" s="42">
        <f>IFERROR(Шаблон_Формулы[[#This Row],[23]]*Шаблон_Формулы[[#This Row],[25]],"")</f>
        <v>8603983.0800000001</v>
      </c>
      <c r="AA103" s="13" t="str" cm="1">
        <f t="array" ref="AA103">ACT_number[№ исходящего акта]</f>
        <v>468 LCL</v>
      </c>
    </row>
    <row r="104" spans="1:27" s="8" customFormat="1" ht="12">
      <c r="A104" s="11">
        <v>100</v>
      </c>
      <c r="B104" s="8" t="str" cm="1">
        <f t="array" ref="B104">_xlfn.XLOOKUP($A104,ACT[[№]:[№]],ACT[Container No/
№ Контейнера],"",0,1)</f>
        <v>SEGU5293636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37" cm="1">
        <f t="array" ref="E104">_xlfn.XLOOKUP($A104,ACT[[№]:[№]],ACT[Date of Dispatch/ 
Дата отгрузки],"",0,1)</f>
        <v>45130</v>
      </c>
      <c r="F104" s="38" t="str" cm="1">
        <f t="array" ref="F104">_xlfn.XLOOKUP($A104,ACT[[№]:[№]],ACT[Supplier/ Поставщик],"",0,1)</f>
        <v>DMC</v>
      </c>
      <c r="G104" s="38" t="str" cm="1">
        <f t="array" ref="G104">_xlfn.XLOOKUP($A104,ACT[[№]:[№]],ACT[Supplier Invoice No/                          № Инвойса Поставщика],"",0,1)</f>
        <v>GMUZ23-018</v>
      </c>
      <c r="H104" s="39" cm="1">
        <f t="array" ref="H104">_xlfn.XLOOKUP($A104,ACT[[№]:[№]],ACT[CBM],"",0,1)</f>
        <v>26.257000000000001</v>
      </c>
      <c r="I104" s="39" cm="1">
        <f t="array" ref="I104">_xlfn.XLOOKUP($A104,ACT[[№]:[№]],ACT[Gross weight, kg/ Вес брутто, кг],"",0,1)</f>
        <v>3570</v>
      </c>
      <c r="J104" s="39" t="str" cm="1">
        <f t="array" ref="J104">_xlfn.XLOOKUP($A104,ACT[[№]:[№]],ACT[Delivery terms / Условия поставки],"",0,1)</f>
        <v>FCA</v>
      </c>
      <c r="K104" s="39" cm="1">
        <f t="array" ref="K104">_xlfn.XLOOKUP($A104,ACT[[№]:[№]],ACT[Container total CBM],"",0,1)</f>
        <v>57.068000000000005</v>
      </c>
      <c r="L104" s="40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370000</v>
      </c>
      <c r="M104" s="40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222921.93</v>
      </c>
      <c r="N104" s="40" cm="1">
        <f t="array" ref="N104">_xlfn.XLOOKUP($A104,ACT[[№]:[№]],ACT[Shoring, Banding, Sealing, Handling/ Крепление, Перевязка, Опечатование, Обработка
KRW],"",0,1)</f>
        <v>89167.424826522736</v>
      </c>
      <c r="O104" s="40" cm="1">
        <f t="array" ref="O104">_xlfn.XLOOKUP($A104,ACT[[№]:[№]],ACT[Documents Work/ Сбор за подготовку документов
KRW],"",0,1)</f>
        <v>23005.011565150347</v>
      </c>
      <c r="P104" s="40" cm="1">
        <f t="array" ref="P104">_xlfn.XLOOKUP($A104,ACT[[№]:[№]],ACT[THC/ Терминальная обработка
KRW],"",0,1)</f>
        <v>85302.582883577488</v>
      </c>
      <c r="Q104" s="40" cm="1">
        <f t="array" ref="Q104">_xlfn.XLOOKUP($A104,ACT[[№]:[№]],ACT[Wharfage/ Портовая пошлина
KRW],"",0,1)</f>
        <v>4186.9121048573634</v>
      </c>
      <c r="R104" s="40" cm="1">
        <f t="array" ref="R104">_xlfn.XLOOKUP($A104,ACT[[№]:[№]],ACT[TRUCKING CHARGE],"",0,1)</f>
        <v>0</v>
      </c>
      <c r="S104" s="40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129058.11488049343</v>
      </c>
      <c r="T104" s="40" cm="1">
        <f t="array" ref="T104">_xlfn.XLOOKUP($A104,ACT[[№]:[№]],ACT[Special Wooden Shoring / Специальное деревянное крепление],"",0,1)</f>
        <v>0</v>
      </c>
      <c r="U104" s="9"/>
      <c r="V104" s="40" cm="1">
        <f t="array" ref="V104">_xlfn.XLOOKUP($A104,ACT[[№]:[№]],ACT[Total amount/ Общая стоимость KRW (10+11+12+13+14+15+16)],"",0,1)</f>
        <v>923641.97626060143</v>
      </c>
      <c r="W104" s="40" cm="1">
        <f t="array" ref="W104">_xlfn.XLOOKUP($A104,ACT[[№]:[№]],ACT[Total amount/ Общая стоимость (17*exchange rate/ обменный курс)
 USD],"",0,1)</f>
        <v>718.06</v>
      </c>
      <c r="X104" s="9" cm="1">
        <f t="array" ref="X10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04" s="12">
        <f>VLOOKUP(Шаблон_Формулы[[#This Row],[24]],Курс_840[[Дата]:[Курс]],2,0)</f>
        <v>12089</v>
      </c>
      <c r="Z104" s="42">
        <f>IFERROR(Шаблон_Формулы[[#This Row],[23]]*Шаблон_Формулы[[#This Row],[25]],"")</f>
        <v>8680627.3399999999</v>
      </c>
      <c r="AA104" s="13" t="str" cm="1">
        <f t="array" ref="AA104">ACT_number[№ исходящего акта]</f>
        <v>468 LCL</v>
      </c>
    </row>
    <row r="105" spans="1:27" s="8" customFormat="1" ht="12">
      <c r="A105" s="11">
        <v>101</v>
      </c>
      <c r="B105" s="8" t="str" cm="1">
        <f t="array" ref="B105">_xlfn.XLOOKUP($A105,ACT[[№]:[№]],ACT[Container No/
№ Контейнера],"",0,1)</f>
        <v>SEGU5293636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37" cm="1">
        <f t="array" ref="E105">_xlfn.XLOOKUP($A105,ACT[[№]:[№]],ACT[Date of Dispatch/ 
Дата отгрузки],"",0,1)</f>
        <v>45130</v>
      </c>
      <c r="F105" s="38" t="str" cm="1">
        <f t="array" ref="F105">_xlfn.XLOOKUP($A105,ACT[[№]:[№]],ACT[Supplier/ Поставщик],"",0,1)</f>
        <v>Daeshin</v>
      </c>
      <c r="G105" s="38" t="str" cm="1">
        <f t="array" ref="G105">_xlfn.XLOOKUP($A105,ACT[[№]:[№]],ACT[Supplier Invoice No/                          № Инвойса Поставщика],"",0,1)</f>
        <v>U23072001</v>
      </c>
      <c r="H105" s="39" cm="1">
        <f t="array" ref="H105">_xlfn.XLOOKUP($A105,ACT[[№]:[№]],ACT[CBM],"",0,1)</f>
        <v>8.3460000000000001</v>
      </c>
      <c r="I105" s="39" cm="1">
        <f t="array" ref="I105">_xlfn.XLOOKUP($A105,ACT[[№]:[№]],ACT[Gross weight, kg/ Вес брутто, кг],"",0,1)</f>
        <v>586.79999999999995</v>
      </c>
      <c r="J105" s="39" t="str" cm="1">
        <f t="array" ref="J105">_xlfn.XLOOKUP($A105,ACT[[№]:[№]],ACT[Delivery terms / Условия поставки],"",0,1)</f>
        <v>FCA</v>
      </c>
      <c r="K105" s="39" cm="1">
        <f t="array" ref="K105">_xlfn.XLOOKUP($A105,ACT[[№]:[№]],ACT[Container total CBM],"",0,1)</f>
        <v>57.068000000000005</v>
      </c>
      <c r="L105" s="40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448000</v>
      </c>
      <c r="M105" s="40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70857.539999999994</v>
      </c>
      <c r="N105" s="40" cm="1">
        <f t="array" ref="N105">_xlfn.XLOOKUP($A105,ACT[[№]:[№]],ACT[Shoring, Banding, Sealing, Handling/ Крепление, Перевязка, Опечатование, Обработка
KRW],"",0,1)</f>
        <v>28342.587790004905</v>
      </c>
      <c r="O105" s="40" cm="1">
        <f t="array" ref="O105">_xlfn.XLOOKUP($A105,ACT[[№]:[№]],ACT[Documents Work/ Сбор за подготовку документов
KRW],"",0,1)</f>
        <v>7312.3291511880561</v>
      </c>
      <c r="P105" s="40" cm="1">
        <f t="array" ref="P105">_xlfn.XLOOKUP($A105,ACT[[№]:[№]],ACT[THC/ Терминальная обработка
KRW],"",0,1)</f>
        <v>27114.11649260531</v>
      </c>
      <c r="Q105" s="40" cm="1">
        <f t="array" ref="Q105">_xlfn.XLOOKUP($A105,ACT[[№]:[№]],ACT[Wharfage/ Портовая пошлина
KRW],"",0,1)</f>
        <v>1330.8439055162262</v>
      </c>
      <c r="R105" s="40" cm="1">
        <f t="array" ref="R105">_xlfn.XLOOKUP($A105,ACT[[№]:[№]],ACT[TRUCKING CHARGE],"",0,1)</f>
        <v>0</v>
      </c>
      <c r="S105" s="40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41022.166538164995</v>
      </c>
      <c r="T105" s="40" cm="1">
        <f t="array" ref="T105">_xlfn.XLOOKUP($A105,ACT[[№]:[№]],ACT[Special Wooden Shoring / Специальное деревянное крепление],"",0,1)</f>
        <v>0</v>
      </c>
      <c r="U105" s="9"/>
      <c r="V105" s="40" cm="1">
        <f t="array" ref="V105">_xlfn.XLOOKUP($A105,ACT[[№]:[№]],ACT[Total amount/ Общая стоимость KRW (10+11+12+13+14+15+16)],"",0,1)</f>
        <v>623979.58387747931</v>
      </c>
      <c r="W105" s="40" cm="1">
        <f t="array" ref="W105">_xlfn.XLOOKUP($A105,ACT[[№]:[№]],ACT[Total amount/ Общая стоимость (17*exchange rate/ обменный курс)
 USD],"",0,1)</f>
        <v>485.1</v>
      </c>
      <c r="X105" s="9" cm="1">
        <f t="array" ref="X10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05" s="12">
        <f>VLOOKUP(Шаблон_Формулы[[#This Row],[24]],Курс_840[[Дата]:[Курс]],2,0)</f>
        <v>12089</v>
      </c>
      <c r="Z105" s="42">
        <f>IFERROR(Шаблон_Формулы[[#This Row],[23]]*Шаблон_Формулы[[#This Row],[25]],"")</f>
        <v>5864373.9000000004</v>
      </c>
      <c r="AA105" s="13" t="str" cm="1">
        <f t="array" ref="AA105">ACT_number[№ исходящего акта]</f>
        <v>468 LCL</v>
      </c>
    </row>
    <row r="106" spans="1:27" s="8" customFormat="1" ht="12">
      <c r="A106" s="11">
        <v>102</v>
      </c>
      <c r="B106" s="8" t="str" cm="1">
        <f t="array" ref="B106">_xlfn.XLOOKUP($A106,ACT[[№]:[№]],ACT[Container No/
№ Контейнера],"",0,1)</f>
        <v>SEGU5293636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37" cm="1">
        <f t="array" ref="E106">_xlfn.XLOOKUP($A106,ACT[[№]:[№]],ACT[Date of Dispatch/ 
Дата отгрузки],"",0,1)</f>
        <v>45130</v>
      </c>
      <c r="F106" s="38" t="str" cm="1">
        <f t="array" ref="F106">_xlfn.XLOOKUP($A106,ACT[[№]:[№]],ACT[Supplier/ Поставщик],"",0,1)</f>
        <v>Hwaseung R&amp;A</v>
      </c>
      <c r="G106" s="38" t="str" cm="1">
        <f t="array" ref="G106">_xlfn.XLOOKUP($A106,ACT[[№]:[№]],ACT[Supplier Invoice No/                          № Инвойса Поставщика],"",0,1)</f>
        <v>J23071913</v>
      </c>
      <c r="H106" s="39" cm="1">
        <f t="array" ref="H106">_xlfn.XLOOKUP($A106,ACT[[№]:[№]],ACT[CBM],"",0,1)</f>
        <v>3.65</v>
      </c>
      <c r="I106" s="39" cm="1">
        <f t="array" ref="I106">_xlfn.XLOOKUP($A106,ACT[[№]:[№]],ACT[Gross weight, kg/ Вес брутто, кг],"",0,1)</f>
        <v>666</v>
      </c>
      <c r="J106" s="39" t="str" cm="1">
        <f t="array" ref="J106">_xlfn.XLOOKUP($A106,ACT[[№]:[№]],ACT[Delivery terms / Условия поставки],"",0,1)</f>
        <v>FCA</v>
      </c>
      <c r="K106" s="39" cm="1">
        <f t="array" ref="K106">_xlfn.XLOOKUP($A106,ACT[[№]:[№]],ACT[Container total CBM],"",0,1)</f>
        <v>57.068000000000005</v>
      </c>
      <c r="L106" s="40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147000</v>
      </c>
      <c r="M106" s="40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30988.5</v>
      </c>
      <c r="N106" s="40" cm="1">
        <f t="array" ref="N106">_xlfn.XLOOKUP($A106,ACT[[№]:[№]],ACT[Shoring, Banding, Sealing, Handling/ Крепление, Перевязка, Опечатование, Обработка
KRW],"",0,1)</f>
        <v>12395.212728674564</v>
      </c>
      <c r="O106" s="40" cm="1">
        <f t="array" ref="O106">_xlfn.XLOOKUP($A106,ACT[[№]:[№]],ACT[Documents Work/ Сбор за подготовку документов
KRW],"",0,1)</f>
        <v>3197.9393004836338</v>
      </c>
      <c r="P106" s="40" cm="1">
        <f t="array" ref="P106">_xlfn.XLOOKUP($A106,ACT[[№]:[№]],ACT[THC/ Терминальная обработка
KRW],"",0,1)</f>
        <v>11857.958926193312</v>
      </c>
      <c r="Q106" s="40" cm="1">
        <f t="array" ref="Q106">_xlfn.XLOOKUP($A106,ACT[[№]:[№]],ACT[Wharfage/ Портовая пошлина
KRW],"",0,1)</f>
        <v>582.02495268802124</v>
      </c>
      <c r="R106" s="40" cm="1">
        <f t="array" ref="R106">_xlfn.XLOOKUP($A106,ACT[[№]:[№]],ACT[TRUCKING CHARGE],"",0,1)</f>
        <v>0</v>
      </c>
      <c r="S106" s="40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17940.439475713185</v>
      </c>
      <c r="T106" s="40" cm="1">
        <f t="array" ref="T106">_xlfn.XLOOKUP($A106,ACT[[№]:[№]],ACT[Special Wooden Shoring / Специальное деревянное крепление],"",0,1)</f>
        <v>0</v>
      </c>
      <c r="U106" s="9"/>
      <c r="V106" s="40" cm="1">
        <f t="array" ref="V106">_xlfn.XLOOKUP($A106,ACT[[№]:[№]],ACT[Total amount/ Общая стоимость KRW (10+11+12+13+14+15+16)],"",0,1)</f>
        <v>223962.0753837527</v>
      </c>
      <c r="W106" s="40" cm="1">
        <f t="array" ref="W106">_xlfn.XLOOKUP($A106,ACT[[№]:[№]],ACT[Total amount/ Общая стоимость (17*exchange rate/ обменный курс)
 USD],"",0,1)</f>
        <v>174.11</v>
      </c>
      <c r="X106" s="9" cm="1">
        <f t="array" ref="X10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06" s="12">
        <f>VLOOKUP(Шаблон_Формулы[[#This Row],[24]],Курс_840[[Дата]:[Курс]],2,0)</f>
        <v>12089</v>
      </c>
      <c r="Z106" s="42">
        <f>IFERROR(Шаблон_Формулы[[#This Row],[23]]*Шаблон_Формулы[[#This Row],[25]],"")</f>
        <v>2104815.79</v>
      </c>
      <c r="AA106" s="13" t="str" cm="1">
        <f t="array" ref="AA106">ACT_number[№ исходящего акта]</f>
        <v>468 LCL</v>
      </c>
    </row>
    <row r="107" spans="1:27" s="8" customFormat="1" ht="12">
      <c r="A107" s="11">
        <v>103</v>
      </c>
      <c r="B107" s="8" t="str" cm="1">
        <f t="array" ref="B107">_xlfn.XLOOKUP($A107,ACT[[№]:[№]],ACT[Container No/
№ Контейнера],"",0,1)</f>
        <v>SEGU5293636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37" cm="1">
        <f t="array" ref="E107">_xlfn.XLOOKUP($A107,ACT[[№]:[№]],ACT[Date of Dispatch/ 
Дата отгрузки],"",0,1)</f>
        <v>45130</v>
      </c>
      <c r="F107" s="38" t="str" cm="1">
        <f t="array" ref="F107">_xlfn.XLOOKUP($A107,ACT[[№]:[№]],ACT[Supplier/ Поставщик],"",0,1)</f>
        <v>Hwaseung R&amp;A</v>
      </c>
      <c r="G107" s="38" t="str" cm="1">
        <f t="array" ref="G107">_xlfn.XLOOKUP($A107,ACT[[№]:[№]],ACT[Supplier Invoice No/                          № Инвойса Поставщика],"",0,1)</f>
        <v>J23071914</v>
      </c>
      <c r="H107" s="39" cm="1">
        <f t="array" ref="H107">_xlfn.XLOOKUP($A107,ACT[[№]:[№]],ACT[CBM],"",0,1)</f>
        <v>8.5239999999999991</v>
      </c>
      <c r="I107" s="39" cm="1">
        <f t="array" ref="I107">_xlfn.XLOOKUP($A107,ACT[[№]:[№]],ACT[Gross weight, kg/ Вес брутто, кг],"",0,1)</f>
        <v>540</v>
      </c>
      <c r="J107" s="39" t="str" cm="1">
        <f t="array" ref="J107">_xlfn.XLOOKUP($A107,ACT[[№]:[№]],ACT[Delivery terms / Условия поставки],"",0,1)</f>
        <v>FCA</v>
      </c>
      <c r="K107" s="39" cm="1">
        <f t="array" ref="K107">_xlfn.XLOOKUP($A107,ACT[[№]:[№]],ACT[Container total CBM],"",0,1)</f>
        <v>57.068000000000005</v>
      </c>
      <c r="L107" s="40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232000</v>
      </c>
      <c r="M107" s="40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72368.759999999995</v>
      </c>
      <c r="N107" s="40" cm="1">
        <f t="array" ref="N107">_xlfn.XLOOKUP($A107,ACT[[№]:[№]],ACT[Shoring, Banding, Sealing, Handling/ Крепление, Перевязка, Опечатование, Обработка
KRW],"",0,1)</f>
        <v>28947.066657321087</v>
      </c>
      <c r="O107" s="40" cm="1">
        <f t="array" ref="O107">_xlfn.XLOOKUP($A107,ACT[[№]:[№]],ACT[Documents Work/ Сбор за подготовку документов
KRW],"",0,1)</f>
        <v>7468.2834513212292</v>
      </c>
      <c r="P107" s="40" cm="1">
        <f t="array" ref="P107">_xlfn.XLOOKUP($A107,ACT[[№]:[№]],ACT[THC/ Терминальная обработка
KRW],"",0,1)</f>
        <v>27692.395037499118</v>
      </c>
      <c r="Q107" s="40" cm="1">
        <f t="array" ref="Q107">_xlfn.XLOOKUP($A107,ACT[[№]:[№]],ACT[Wharfage/ Портовая пошлина
KRW],"",0,1)</f>
        <v>1359.2275881404637</v>
      </c>
      <c r="R107" s="40" cm="1">
        <f t="array" ref="R107">_xlfn.XLOOKUP($A107,ACT[[№]:[№]],ACT[TRUCKING CHARGE],"",0,1)</f>
        <v>0</v>
      </c>
      <c r="S107" s="40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41897.070161912096</v>
      </c>
      <c r="T107" s="40" cm="1">
        <f t="array" ref="T107">_xlfn.XLOOKUP($A107,ACT[[№]:[№]],ACT[Special Wooden Shoring / Специальное деревянное крепление],"",0,1)</f>
        <v>0</v>
      </c>
      <c r="U107" s="9"/>
      <c r="V107" s="40" cm="1">
        <f t="array" ref="V107">_xlfn.XLOOKUP($A107,ACT[[№]:[№]],ACT[Total amount/ Общая стоимость KRW (10+11+12+13+14+15+16)],"",0,1)</f>
        <v>411732.8028961941</v>
      </c>
      <c r="W107" s="40" cm="1">
        <f t="array" ref="W107">_xlfn.XLOOKUP($A107,ACT[[№]:[№]],ACT[Total amount/ Общая стоимость (17*exchange rate/ обменный курс)
 USD],"",0,1)</f>
        <v>320.08999999999997</v>
      </c>
      <c r="X107" s="9" cm="1">
        <f t="array" ref="X10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07" s="12">
        <f>VLOOKUP(Шаблон_Формулы[[#This Row],[24]],Курс_840[[Дата]:[Курс]],2,0)</f>
        <v>12089</v>
      </c>
      <c r="Z107" s="42">
        <f>IFERROR(Шаблон_Формулы[[#This Row],[23]]*Шаблон_Формулы[[#This Row],[25]],"")</f>
        <v>3869568.01</v>
      </c>
      <c r="AA107" s="13" t="str" cm="1">
        <f t="array" ref="AA107">ACT_number[№ исходящего акта]</f>
        <v>468 LCL</v>
      </c>
    </row>
    <row r="108" spans="1:27" s="8" customFormat="1" ht="12">
      <c r="A108" s="11">
        <v>104</v>
      </c>
      <c r="B108" s="8" t="str" cm="1">
        <f t="array" ref="B108">_xlfn.XLOOKUP($A108,ACT[[№]:[№]],ACT[Container No/
№ Контейнера],"",0,1)</f>
        <v>SEGU4226490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37" cm="1">
        <f t="array" ref="E108">_xlfn.XLOOKUP($A108,ACT[[№]:[№]],ACT[Date of Dispatch/ 
Дата отгрузки],"",0,1)</f>
        <v>45130</v>
      </c>
      <c r="F108" s="38" t="str" cm="1">
        <f t="array" ref="F108">_xlfn.XLOOKUP($A108,ACT[[№]:[№]],ACT[Supplier/ Поставщик],"",0,1)</f>
        <v>Hanyang Precision</v>
      </c>
      <c r="G108" s="38" t="str" cm="1">
        <f t="array" ref="G108">_xlfn.XLOOKUP($A108,ACT[[№]:[№]],ACT[Supplier Invoice No/                          № Инвойса Поставщика],"",0,1)</f>
        <v>HY230717U(4)</v>
      </c>
      <c r="H108" s="39" cm="1">
        <f t="array" ref="H108">_xlfn.XLOOKUP($A108,ACT[[№]:[№]],ACT[CBM],"",0,1)</f>
        <v>17.940000000000001</v>
      </c>
      <c r="I108" s="39" cm="1">
        <f t="array" ref="I108">_xlfn.XLOOKUP($A108,ACT[[№]:[№]],ACT[Gross weight, kg/ Вес брутто, кг],"",0,1)</f>
        <v>7704</v>
      </c>
      <c r="J108" s="39" t="str" cm="1">
        <f t="array" ref="J108">_xlfn.XLOOKUP($A108,ACT[[№]:[№]],ACT[Delivery terms / Условия поставки],"",0,1)</f>
        <v>FCA</v>
      </c>
      <c r="K108" s="39" cm="1">
        <f t="array" ref="K108">_xlfn.XLOOKUP($A108,ACT[[№]:[№]],ACT[Container total CBM],"",0,1)</f>
        <v>66.493000000000009</v>
      </c>
      <c r="L108" s="40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698500</v>
      </c>
      <c r="M108" s="40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152310.6</v>
      </c>
      <c r="N108" s="40" cm="1">
        <f t="array" ref="N108">_xlfn.XLOOKUP($A108,ACT[[№]:[№]],ACT[Shoring, Banding, Sealing, Handling/ Крепление, Перевязка, Опечатование, Обработка
KRW],"",0,1)</f>
        <v>52287.789692148035</v>
      </c>
      <c r="O108" s="40" cm="1">
        <f t="array" ref="O108">_xlfn.XLOOKUP($A108,ACT[[№]:[№]],ACT[Documents Work/ Сбор за подготовку документов
KRW],"",0,1)</f>
        <v>13490.141819439636</v>
      </c>
      <c r="P108" s="40" cm="1">
        <f t="array" ref="P108">_xlfn.XLOOKUP($A108,ACT[[№]:[№]],ACT[THC/ Терминальная обработка
KRW],"",0,1)</f>
        <v>50021.44586648218</v>
      </c>
      <c r="Q108" s="40" cm="1">
        <f t="array" ref="Q108">_xlfn.XLOOKUP($A108,ACT[[№]:[№]],ACT[Wharfage/ Портовая пошлина
KRW],"",0,1)</f>
        <v>2455.2058111380143</v>
      </c>
      <c r="R108" s="40" cm="1">
        <f t="array" ref="R108">_xlfn.XLOOKUP($A108,ACT[[№]:[№]],ACT[TRUCKING CHARGE],"",0,1)</f>
        <v>0</v>
      </c>
      <c r="S108" s="40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75679.69560705639</v>
      </c>
      <c r="T108" s="40" cm="1">
        <f t="array" ref="T108">_xlfn.XLOOKUP($A108,ACT[[№]:[№]],ACT[Special Wooden Shoring / Специальное деревянное крепление],"",0,1)</f>
        <v>0</v>
      </c>
      <c r="U108" s="9"/>
      <c r="V108" s="40" cm="1">
        <f t="array" ref="V108">_xlfn.XLOOKUP($A108,ACT[[№]:[№]],ACT[Total amount/ Общая стоимость KRW (10+11+12+13+14+15+16)],"",0,1)</f>
        <v>1044744.8787962642</v>
      </c>
      <c r="W108" s="40" cm="1">
        <f t="array" ref="W108">_xlfn.XLOOKUP($A108,ACT[[№]:[№]],ACT[Total amount/ Общая стоимость (17*exchange rate/ обменный курс)
 USD],"",0,1)</f>
        <v>812.21</v>
      </c>
      <c r="X108" s="9" cm="1">
        <f t="array" ref="X10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08" s="12">
        <f>VLOOKUP(Шаблон_Формулы[[#This Row],[24]],Курс_840[[Дата]:[Курс]],2,0)</f>
        <v>12089</v>
      </c>
      <c r="Z108" s="42">
        <f>IFERROR(Шаблон_Формулы[[#This Row],[23]]*Шаблон_Формулы[[#This Row],[25]],"")</f>
        <v>9818806.6900000013</v>
      </c>
      <c r="AA108" s="13" t="str" cm="1">
        <f t="array" ref="AA108">ACT_number[№ исходящего акта]</f>
        <v>468 LCL</v>
      </c>
    </row>
    <row r="109" spans="1:27" s="8" customFormat="1" ht="12">
      <c r="A109" s="11">
        <v>105</v>
      </c>
      <c r="B109" s="8" t="str" cm="1">
        <f t="array" ref="B109">_xlfn.XLOOKUP($A109,ACT[[№]:[№]],ACT[Container No/
№ Контейнера],"",0,1)</f>
        <v>SEGU4226490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37" cm="1">
        <f t="array" ref="E109">_xlfn.XLOOKUP($A109,ACT[[№]:[№]],ACT[Date of Dispatch/ 
Дата отгрузки],"",0,1)</f>
        <v>45130</v>
      </c>
      <c r="F109" s="38" t="str" cm="1">
        <f t="array" ref="F109">_xlfn.XLOOKUP($A109,ACT[[№]:[№]],ACT[Supplier/ Поставщик],"",0,1)</f>
        <v>Daedong System</v>
      </c>
      <c r="G109" s="38" t="str" cm="1">
        <f t="array" ref="G109">_xlfn.XLOOKUP($A109,ACT[[№]:[№]],ACT[Supplier Invoice No/                          № Инвойса Поставщика],"",0,1)</f>
        <v>UZA23027</v>
      </c>
      <c r="H109" s="39" cm="1">
        <f t="array" ref="H109">_xlfn.XLOOKUP($A109,ACT[[№]:[№]],ACT[CBM],"",0,1)</f>
        <v>23.359000000000002</v>
      </c>
      <c r="I109" s="39" cm="1">
        <f t="array" ref="I109">_xlfn.XLOOKUP($A109,ACT[[№]:[№]],ACT[Gross weight, kg/ Вес брутто, кг],"",0,1)</f>
        <v>4979</v>
      </c>
      <c r="J109" s="39" t="str" cm="1">
        <f t="array" ref="J109">_xlfn.XLOOKUP($A109,ACT[[№]:[№]],ACT[Delivery terms / Условия поставки],"",0,1)</f>
        <v>FCA</v>
      </c>
      <c r="K109" s="39" cm="1">
        <f t="array" ref="K109">_xlfn.XLOOKUP($A109,ACT[[№]:[№]],ACT[Container total CBM],"",0,1)</f>
        <v>66.493000000000009</v>
      </c>
      <c r="L109" s="40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635000</v>
      </c>
      <c r="M109" s="40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198317.91</v>
      </c>
      <c r="N109" s="40" cm="1">
        <f t="array" ref="N109">_xlfn.XLOOKUP($A109,ACT[[№]:[№]],ACT[Shoring, Banding, Sealing, Handling/ Крепление, Перевязка, Опечатование, Обработка
KRW],"",0,1)</f>
        <v>68081.966522791874</v>
      </c>
      <c r="O109" s="40" cm="1">
        <f t="array" ref="O109">_xlfn.XLOOKUP($A109,ACT[[№]:[№]],ACT[Documents Work/ Сбор за подготовку документов
KRW],"",0,1)</f>
        <v>17565.006842825558</v>
      </c>
      <c r="P109" s="40" cm="1">
        <f t="array" ref="P109">_xlfn.XLOOKUP($A109,ACT[[№]:[№]],ACT[THC/ Терминальная обработка
KRW],"",0,1)</f>
        <v>65131.045373197165</v>
      </c>
      <c r="Q109" s="40" cm="1">
        <f t="array" ref="Q109">_xlfn.XLOOKUP($A109,ACT[[№]:[№]],ACT[Wharfage/ Портовая пошлина
KRW],"",0,1)</f>
        <v>3196.8312453942517</v>
      </c>
      <c r="R109" s="40" cm="1">
        <f t="array" ref="R109">_xlfn.XLOOKUP($A109,ACT[[№]:[№]],ACT[TRUCKING CHARGE],"",0,1)</f>
        <v>0</v>
      </c>
      <c r="S109" s="40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98539.688388251379</v>
      </c>
      <c r="T109" s="40" cm="1">
        <f t="array" ref="T109">_xlfn.XLOOKUP($A109,ACT[[№]:[№]],ACT[Special Wooden Shoring / Специальное деревянное крепление],"",0,1)</f>
        <v>0</v>
      </c>
      <c r="U109" s="9"/>
      <c r="V109" s="40" cm="1">
        <f t="array" ref="V109">_xlfn.XLOOKUP($A109,ACT[[№]:[№]],ACT[Total amount/ Общая стоимость KRW (10+11+12+13+14+15+16)],"",0,1)</f>
        <v>1085832.4483724604</v>
      </c>
      <c r="W109" s="40" cm="1">
        <f t="array" ref="W109">_xlfn.XLOOKUP($A109,ACT[[№]:[№]],ACT[Total amount/ Общая стоимость (17*exchange rate/ обменный курс)
 USD],"",0,1)</f>
        <v>844.15</v>
      </c>
      <c r="X109" s="9" cm="1">
        <f t="array" ref="X10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09" s="12">
        <f>VLOOKUP(Шаблон_Формулы[[#This Row],[24]],Курс_840[[Дата]:[Курс]],2,0)</f>
        <v>12089</v>
      </c>
      <c r="Z109" s="42">
        <f>IFERROR(Шаблон_Формулы[[#This Row],[23]]*Шаблон_Формулы[[#This Row],[25]],"")</f>
        <v>10204929.35</v>
      </c>
      <c r="AA109" s="13" t="str" cm="1">
        <f t="array" ref="AA109">ACT_number[№ исходящего акта]</f>
        <v>468 LCL</v>
      </c>
    </row>
    <row r="110" spans="1:27" s="8" customFormat="1" ht="12">
      <c r="A110" s="11">
        <v>106</v>
      </c>
      <c r="B110" s="8" t="str" cm="1">
        <f t="array" ref="B110">_xlfn.XLOOKUP($A110,ACT[[№]:[№]],ACT[Container No/
№ Контейнера],"",0,1)</f>
        <v>SEGU4226490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37" cm="1">
        <f t="array" ref="E110">_xlfn.XLOOKUP($A110,ACT[[№]:[№]],ACT[Date of Dispatch/ 
Дата отгрузки],"",0,1)</f>
        <v>45130</v>
      </c>
      <c r="F110" s="38" t="str" cm="1">
        <f t="array" ref="F110">_xlfn.XLOOKUP($A110,ACT[[№]:[№]],ACT[Supplier/ Поставщик],"",0,1)</f>
        <v>Humax Automotive</v>
      </c>
      <c r="G110" s="38" t="str" cm="1">
        <f t="array" ref="G110">_xlfn.XLOOKUP($A110,ACT[[№]:[№]],ACT[Supplier Invoice No/                          № Инвойса Поставщика],"",0,1)</f>
        <v>IN80473491</v>
      </c>
      <c r="H110" s="39" cm="1">
        <f t="array" ref="H110">_xlfn.XLOOKUP($A110,ACT[[№]:[№]],ACT[CBM],"",0,1)</f>
        <v>25.193999999999999</v>
      </c>
      <c r="I110" s="39" cm="1">
        <f t="array" ref="I110">_xlfn.XLOOKUP($A110,ACT[[№]:[№]],ACT[Gross weight, kg/ Вес брутто, кг],"",0,1)</f>
        <v>3542.4</v>
      </c>
      <c r="J110" s="39" t="str" cm="1">
        <f t="array" ref="J110">_xlfn.XLOOKUP($A110,ACT[[№]:[№]],ACT[Delivery terms / Условия поставки],"",0,1)</f>
        <v>FCA</v>
      </c>
      <c r="K110" s="39" cm="1">
        <f t="array" ref="K110">_xlfn.XLOOKUP($A110,ACT[[№]:[№]],ACT[Container total CBM],"",0,1)</f>
        <v>66.493000000000009</v>
      </c>
      <c r="L110" s="40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603000</v>
      </c>
      <c r="M110" s="40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213897.06</v>
      </c>
      <c r="N110" s="40" cm="1">
        <f t="array" ref="N110">_xlfn.XLOOKUP($A110,ACT[[№]:[№]],ACT[Shoring, Banding, Sealing, Handling/ Крепление, Перевязка, Опечатование, Обработка
KRW],"",0,1)</f>
        <v>73430.243785060069</v>
      </c>
      <c r="O110" s="40" cm="1">
        <f t="array" ref="O110">_xlfn.XLOOKUP($A110,ACT[[№]:[№]],ACT[Documents Work/ Сбор за подготовку документов
KRW],"",0,1)</f>
        <v>18944.851337734795</v>
      </c>
      <c r="P110" s="40" cm="1">
        <f t="array" ref="P110">_xlfn.XLOOKUP($A110,ACT[[№]:[№]],ACT[THC/ Терминальная обработка
KRW],"",0,1)</f>
        <v>70247.508760320634</v>
      </c>
      <c r="Q110" s="40" cm="1">
        <f t="array" ref="Q110">_xlfn.XLOOKUP($A110,ACT[[№]:[№]],ACT[Wharfage/ Портовая пошлина
KRW],"",0,1)</f>
        <v>3447.9629434677331</v>
      </c>
      <c r="R110" s="40" cm="1">
        <f t="array" ref="R110">_xlfn.XLOOKUP($A110,ACT[[№]:[№]],ACT[TRUCKING CHARGE],"",0,1)</f>
        <v>0</v>
      </c>
      <c r="S110" s="40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106280.61600469222</v>
      </c>
      <c r="T110" s="40" cm="1">
        <f t="array" ref="T110">_xlfn.XLOOKUP($A110,ACT[[№]:[№]],ACT[Special Wooden Shoring / Специальное деревянное крепление],"",0,1)</f>
        <v>0</v>
      </c>
      <c r="U110" s="9"/>
      <c r="V110" s="40" cm="1">
        <f t="array" ref="V110">_xlfn.XLOOKUP($A110,ACT[[№]:[№]],ACT[Total amount/ Общая стоимость KRW (10+11+12+13+14+15+16)],"",0,1)</f>
        <v>1089248.2428312756</v>
      </c>
      <c r="W110" s="40" cm="1">
        <f t="array" ref="W110">_xlfn.XLOOKUP($A110,ACT[[№]:[№]],ACT[Total amount/ Общая стоимость (17*exchange rate/ обменный курс)
 USD],"",0,1)</f>
        <v>846.81</v>
      </c>
      <c r="X110" s="9" cm="1">
        <f t="array" ref="X1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10" s="12">
        <f>VLOOKUP(Шаблон_Формулы[[#This Row],[24]],Курс_840[[Дата]:[Курс]],2,0)</f>
        <v>12089</v>
      </c>
      <c r="Z110" s="42">
        <f>IFERROR(Шаблон_Формулы[[#This Row],[23]]*Шаблон_Формулы[[#This Row],[25]],"")</f>
        <v>10237086.09</v>
      </c>
      <c r="AA110" s="13" t="str" cm="1">
        <f t="array" ref="AA110">ACT_number[№ исходящего акта]</f>
        <v>468 LCL</v>
      </c>
    </row>
    <row r="111" spans="1:27" s="8" customFormat="1" ht="12">
      <c r="A111" s="11">
        <v>107</v>
      </c>
      <c r="B111" s="8" t="str" cm="1">
        <f t="array" ref="B111">_xlfn.XLOOKUP($A111,ACT[[№]:[№]],ACT[Container No/
№ Контейнера],"",0,1)</f>
        <v>SEGU5853514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37" cm="1">
        <f t="array" ref="E111">_xlfn.XLOOKUP($A111,ACT[[№]:[№]],ACT[Date of Dispatch/ 
Дата отгрузки],"",0,1)</f>
        <v>45130</v>
      </c>
      <c r="F111" s="38" t="str" cm="1">
        <f t="array" ref="F111">_xlfn.XLOOKUP($A111,ACT[[№]:[№]],ACT[Supplier/ Поставщик],"",0,1)</f>
        <v>Hanyang Precision</v>
      </c>
      <c r="G111" s="38" t="str" cm="1">
        <f t="array" ref="G111">_xlfn.XLOOKUP($A111,ACT[[№]:[№]],ACT[Supplier Invoice No/                          № Инвойса Поставщика],"",0,1)</f>
        <v>HY230717U(5)</v>
      </c>
      <c r="H111" s="39" cm="1">
        <f t="array" ref="H111">_xlfn.XLOOKUP($A111,ACT[[№]:[№]],ACT[CBM],"",0,1)</f>
        <v>7.26</v>
      </c>
      <c r="I111" s="39" cm="1">
        <f t="array" ref="I111">_xlfn.XLOOKUP($A111,ACT[[№]:[№]],ACT[Gross weight, kg/ Вес брутто, кг],"",0,1)</f>
        <v>3272</v>
      </c>
      <c r="J111" s="39" t="str" cm="1">
        <f t="array" ref="J111">_xlfn.XLOOKUP($A111,ACT[[№]:[№]],ACT[Delivery terms / Условия поставки],"",0,1)</f>
        <v>FCA</v>
      </c>
      <c r="K111" s="39" cm="1">
        <f t="array" ref="K111">_xlfn.XLOOKUP($A111,ACT[[№]:[№]],ACT[Container total CBM],"",0,1)</f>
        <v>59.45</v>
      </c>
      <c r="L111" s="40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632500</v>
      </c>
      <c r="M111" s="40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61637.4</v>
      </c>
      <c r="N111" s="40" cm="1">
        <f t="array" ref="N111">_xlfn.XLOOKUP($A111,ACT[[№]:[№]],ACT[Shoring, Banding, Sealing, Handling/ Крепление, Перевязка, Опечатование, Обработка
KRW],"",0,1)</f>
        <v>23666.745164003365</v>
      </c>
      <c r="O111" s="40" cm="1">
        <f t="array" ref="O111">_xlfn.XLOOKUP($A111,ACT[[№]:[№]],ACT[Documents Work/ Сбор за подготовку документов
KRW],"",0,1)</f>
        <v>6105.9714045416322</v>
      </c>
      <c r="P111" s="40" cm="1">
        <f t="array" ref="P111">_xlfn.XLOOKUP($A111,ACT[[№]:[№]],ACT[THC/ Терминальная обработка
KRW],"",0,1)</f>
        <v>22640.94196804037</v>
      </c>
      <c r="Q111" s="40" cm="1">
        <f t="array" ref="Q111">_xlfn.XLOOKUP($A111,ACT[[№]:[№]],ACT[Wharfage/ Портовая пошлина
KRW],"",0,1)</f>
        <v>1111.286795626577</v>
      </c>
      <c r="R111" s="40" cm="1">
        <f t="array" ref="R111">_xlfn.XLOOKUP($A111,ACT[[№]:[№]],ACT[TRUCKING CHARGE],"",0,1)</f>
        <v>0</v>
      </c>
      <c r="S111" s="40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34254.499579478557</v>
      </c>
      <c r="T111" s="40" cm="1">
        <f t="array" ref="T111">_xlfn.XLOOKUP($A111,ACT[[№]:[№]],ACT[Special Wooden Shoring / Специальное деревянное крепление],"",0,1)</f>
        <v>0</v>
      </c>
      <c r="U111" s="9"/>
      <c r="V111" s="40" cm="1">
        <f t="array" ref="V111">_xlfn.XLOOKUP($A111,ACT[[№]:[№]],ACT[Total amount/ Общая стоимость KRW (10+11+12+13+14+15+16)],"",0,1)</f>
        <v>781916.84491169057</v>
      </c>
      <c r="W111" s="40" cm="1">
        <f t="array" ref="W111">_xlfn.XLOOKUP($A111,ACT[[№]:[№]],ACT[Total amount/ Общая стоимость (17*exchange rate/ обменный курс)
 USD],"",0,1)</f>
        <v>607.88</v>
      </c>
      <c r="X111" s="9" cm="1">
        <f t="array" ref="X1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11" s="12">
        <f>VLOOKUP(Шаблон_Формулы[[#This Row],[24]],Курс_840[[Дата]:[Курс]],2,0)</f>
        <v>12089</v>
      </c>
      <c r="Z111" s="42">
        <f>IFERROR(Шаблон_Формулы[[#This Row],[23]]*Шаблон_Формулы[[#This Row],[25]],"")</f>
        <v>7348661.3200000003</v>
      </c>
      <c r="AA111" s="13" t="str" cm="1">
        <f t="array" ref="AA111">ACT_number[№ исходящего акта]</f>
        <v>468 LCL</v>
      </c>
    </row>
    <row r="112" spans="1:27" s="8" customFormat="1" ht="12">
      <c r="A112" s="11">
        <v>108</v>
      </c>
      <c r="B112" s="8" t="str" cm="1">
        <f t="array" ref="B112">_xlfn.XLOOKUP($A112,ACT[[№]:[№]],ACT[Container No/
№ Контейнера],"",0,1)</f>
        <v>SEGU5853514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37" cm="1">
        <f t="array" ref="E112">_xlfn.XLOOKUP($A112,ACT[[№]:[№]],ACT[Date of Dispatch/ 
Дата отгрузки],"",0,1)</f>
        <v>45130</v>
      </c>
      <c r="F112" s="38" t="str" cm="1">
        <f t="array" ref="F112">_xlfn.XLOOKUP($A112,ACT[[№]:[№]],ACT[Supplier/ Поставщик],"",0,1)</f>
        <v>Namyang NEXMO</v>
      </c>
      <c r="G112" s="38" t="str" cm="1">
        <f t="array" ref="G112">_xlfn.XLOOKUP($A112,ACT[[№]:[№]],ACT[Supplier Invoice No/                          № Инвойса Поставщика],"",0,1)</f>
        <v>GMUZ454</v>
      </c>
      <c r="H112" s="39" cm="1">
        <f t="array" ref="H112">_xlfn.XLOOKUP($A112,ACT[[№]:[№]],ACT[CBM],"",0,1)</f>
        <v>52.19</v>
      </c>
      <c r="I112" s="39" cm="1">
        <f t="array" ref="I112">_xlfn.XLOOKUP($A112,ACT[[№]:[№]],ACT[Gross weight, kg/ Вес брутто, кг],"",0,1)</f>
        <v>10370</v>
      </c>
      <c r="J112" s="39" t="str" cm="1">
        <f t="array" ref="J112">_xlfn.XLOOKUP($A112,ACT[[№]:[№]],ACT[Delivery terms / Условия поставки],"",0,1)</f>
        <v>FCA</v>
      </c>
      <c r="K112" s="39" cm="1">
        <f t="array" ref="K112">_xlfn.XLOOKUP($A112,ACT[[№]:[№]],ACT[Container total CBM],"",0,1)</f>
        <v>59.45</v>
      </c>
      <c r="L112" s="40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1148000</v>
      </c>
      <c r="M112" s="40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443093.1</v>
      </c>
      <c r="N112" s="40" cm="1">
        <f t="array" ref="N112">_xlfn.XLOOKUP($A112,ACT[[№]:[№]],ACT[Shoring, Banding, Sealing, Handling/ Крепление, Перевязка, Опечатование, Обработка
KRW],"",0,1)</f>
        <v>170133.25483599663</v>
      </c>
      <c r="O112" s="40" cm="1">
        <f t="array" ref="O112">_xlfn.XLOOKUP($A112,ACT[[№]:[№]],ACT[Documents Work/ Сбор за подготовку документов
KRW],"",0,1)</f>
        <v>43894.028595458367</v>
      </c>
      <c r="P112" s="40" cm="1">
        <f t="array" ref="P112">_xlfn.XLOOKUP($A112,ACT[[№]:[№]],ACT[THC/ Терминальная обработка
KRW],"",0,1)</f>
        <v>162759.05803195963</v>
      </c>
      <c r="Q112" s="40" cm="1">
        <f t="array" ref="Q112">_xlfn.XLOOKUP($A112,ACT[[№]:[№]],ACT[Wharfage/ Портовая пошлина
KRW],"",0,1)</f>
        <v>7988.7132043734227</v>
      </c>
      <c r="R112" s="40" cm="1">
        <f t="array" ref="R112">_xlfn.XLOOKUP($A112,ACT[[№]:[№]],ACT[TRUCKING CHARGE],"",0,1)</f>
        <v>0</v>
      </c>
      <c r="S112" s="40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246245.50042052145</v>
      </c>
      <c r="T112" s="40" cm="1">
        <f t="array" ref="T112">_xlfn.XLOOKUP($A112,ACT[[№]:[№]],ACT[Special Wooden Shoring / Специальное деревянное крепление],"",0,1)</f>
        <v>0</v>
      </c>
      <c r="U112" s="9"/>
      <c r="V112" s="40" cm="1">
        <f t="array" ref="V112">_xlfn.XLOOKUP($A112,ACT[[№]:[№]],ACT[Total amount/ Общая стоимость KRW (10+11+12+13+14+15+16)],"",0,1)</f>
        <v>2222113.6550883097</v>
      </c>
      <c r="W112" s="40" cm="1">
        <f t="array" ref="W112">_xlfn.XLOOKUP($A112,ACT[[№]:[№]],ACT[Total amount/ Общая стоимость (17*exchange rate/ обменный курс)
 USD],"",0,1)</f>
        <v>1727.52</v>
      </c>
      <c r="X112" s="9" cm="1">
        <f t="array" ref="X1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12" s="12">
        <f>VLOOKUP(Шаблон_Формулы[[#This Row],[24]],Курс_840[[Дата]:[Курс]],2,0)</f>
        <v>12089</v>
      </c>
      <c r="Z112" s="42">
        <f>IFERROR(Шаблон_Формулы[[#This Row],[23]]*Шаблон_Формулы[[#This Row],[25]],"")</f>
        <v>20883989.280000001</v>
      </c>
      <c r="AA112" s="13" t="str" cm="1">
        <f t="array" ref="AA112">ACT_number[№ исходящего акта]</f>
        <v>468 LCL</v>
      </c>
    </row>
    <row r="113" spans="1:27" s="8" customFormat="1" ht="12">
      <c r="A113" s="11">
        <v>109</v>
      </c>
      <c r="B113" s="8" t="str" cm="1">
        <f t="array" ref="B113">_xlfn.XLOOKUP($A113,ACT[[№]:[№]],ACT[Container No/
№ Контейнера],"",0,1)</f>
        <v>TEMU6604370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37" cm="1">
        <f t="array" ref="E113">_xlfn.XLOOKUP($A113,ACT[[№]:[№]],ACT[Date of Dispatch/ 
Дата отгрузки],"",0,1)</f>
        <v>45130</v>
      </c>
      <c r="F113" s="38" t="str" cm="1">
        <f t="array" ref="F113">_xlfn.XLOOKUP($A113,ACT[[№]:[№]],ACT[Supplier/ Поставщик],"",0,1)</f>
        <v>INTECH GROUP for UZSM</v>
      </c>
      <c r="G113" s="38" t="str" cm="1">
        <f t="array" ref="G113">_xlfn.XLOOKUP($A113,ACT[[№]:[№]],ACT[Supplier Invoice No/                          № Инвойса Поставщика],"",0,1)</f>
        <v>UZSEM-INTECH-02-KR-20230626</v>
      </c>
      <c r="H113" s="39" cm="1">
        <f t="array" ref="H113">_xlfn.XLOOKUP($A113,ACT[[№]:[№]],ACT[CBM],"",0,1)</f>
        <v>16.28</v>
      </c>
      <c r="I113" s="39" cm="1">
        <f t="array" ref="I113">_xlfn.XLOOKUP($A113,ACT[[№]:[№]],ACT[Gross weight, kg/ Вес брутто, кг],"",0,1)</f>
        <v>5562</v>
      </c>
      <c r="J113" s="39" t="str" cm="1">
        <f t="array" ref="J113">_xlfn.XLOOKUP($A113,ACT[[№]:[№]],ACT[Delivery terms / Условия поставки],"",0,1)</f>
        <v>FOB</v>
      </c>
      <c r="K113" s="39" cm="1">
        <f t="array" ref="K113">_xlfn.XLOOKUP($A113,ACT[[№]:[№]],ACT[Container total CBM],"",0,1)</f>
        <v>33.043999999999997</v>
      </c>
      <c r="L113" s="40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0</v>
      </c>
      <c r="M113" s="40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0</v>
      </c>
      <c r="N113" s="40" cm="1">
        <f t="array" ref="N113">_xlfn.XLOOKUP($A113,ACT[[№]:[№]],ACT[Shoring, Banding, Sealing, Handling/ Крепление, Перевязка, Опечатование, Обработка
KRW],"",0,1)</f>
        <v>0</v>
      </c>
      <c r="O113" s="40" cm="1">
        <f t="array" ref="O113">_xlfn.XLOOKUP($A113,ACT[[№]:[№]],ACT[Documents Work/ Сбор за подготовку документов
KRW],"",0,1)</f>
        <v>0</v>
      </c>
      <c r="P113" s="40" cm="1">
        <f t="array" ref="P113">_xlfn.XLOOKUP($A113,ACT[[№]:[№]],ACT[THC/ Терминальная обработка
KRW],"",0,1)</f>
        <v>0</v>
      </c>
      <c r="Q113" s="40" cm="1">
        <f t="array" ref="Q113">_xlfn.XLOOKUP($A113,ACT[[№]:[№]],ACT[Wharfage/ Портовая пошлина
KRW],"",0,1)</f>
        <v>0</v>
      </c>
      <c r="R113" s="40" cm="1">
        <f t="array" ref="R113">_xlfn.XLOOKUP($A113,ACT[[№]:[№]],ACT[TRUCKING CHARGE],"",0,1)</f>
        <v>0</v>
      </c>
      <c r="S113" s="40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113" s="40" cm="1">
        <f t="array" ref="T113">_xlfn.XLOOKUP($A113,ACT[[№]:[№]],ACT[Special Wooden Shoring / Специальное деревянное крепление],"",0,1)</f>
        <v>460000</v>
      </c>
      <c r="U113" s="9"/>
      <c r="V113" s="40" cm="1">
        <f t="array" ref="V113">_xlfn.XLOOKUP($A113,ACT[[№]:[№]],ACT[Total amount/ Общая стоимость KRW (10+11+12+13+14+15+16)],"",0,1)</f>
        <v>460000</v>
      </c>
      <c r="W113" s="40" cm="1">
        <f t="array" ref="W113">_xlfn.XLOOKUP($A113,ACT[[№]:[№]],ACT[Total amount/ Общая стоимость (17*exchange rate/ обменный курс)
 USD],"",0,1)</f>
        <v>357.62</v>
      </c>
      <c r="X113" s="9" cm="1">
        <f t="array" ref="X1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13" s="12">
        <f>VLOOKUP(Шаблон_Формулы[[#This Row],[24]],Курс_840[[Дата]:[Курс]],2,0)</f>
        <v>12089</v>
      </c>
      <c r="Z113" s="42">
        <f>IFERROR(Шаблон_Формулы[[#This Row],[23]]*Шаблон_Формулы[[#This Row],[25]],"")</f>
        <v>4323268.18</v>
      </c>
      <c r="AA113" s="13" t="str" cm="1">
        <f t="array" ref="AA113">ACT_number[№ исходящего акта]</f>
        <v>468 LCL</v>
      </c>
    </row>
    <row r="114" spans="1:27" s="8" customFormat="1" ht="12">
      <c r="A114" s="11">
        <v>110</v>
      </c>
      <c r="B114" s="8" t="str" cm="1">
        <f t="array" ref="B114">_xlfn.XLOOKUP($A114,ACT[[№]:[№]],ACT[Container No/
№ Контейнера],"",0,1)</f>
        <v>TEMU6604370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37" cm="1">
        <f t="array" ref="E114">_xlfn.XLOOKUP($A114,ACT[[№]:[№]],ACT[Date of Dispatch/ 
Дата отгрузки],"",0,1)</f>
        <v>45130</v>
      </c>
      <c r="F114" s="38" t="str" cm="1">
        <f t="array" ref="F114">_xlfn.XLOOKUP($A114,ACT[[№]:[№]],ACT[Supplier/ Поставщик],"",0,1)</f>
        <v>JINSOL INDUSTRY for UZTH</v>
      </c>
      <c r="G114" s="38" t="str" cm="1">
        <f t="array" ref="G114">_xlfn.XLOOKUP($A114,ACT[[№]:[№]],ACT[Supplier Invoice No/                          № Инвойса Поставщика],"",0,1)</f>
        <v>JS230629-1</v>
      </c>
      <c r="H114" s="39" cm="1">
        <f t="array" ref="H114">_xlfn.XLOOKUP($A114,ACT[[№]:[№]],ACT[CBM],"",0,1)</f>
        <v>16.763999999999999</v>
      </c>
      <c r="I114" s="39" cm="1">
        <f t="array" ref="I114">_xlfn.XLOOKUP($A114,ACT[[№]:[№]],ACT[Gross weight, kg/ Вес брутто, кг],"",0,1)</f>
        <v>3660</v>
      </c>
      <c r="J114" s="39" t="str" cm="1">
        <f t="array" ref="J114">_xlfn.XLOOKUP($A114,ACT[[№]:[№]],ACT[Delivery terms / Условия поставки],"",0,1)</f>
        <v>FCA</v>
      </c>
      <c r="K114" s="39" cm="1">
        <f t="array" ref="K114">_xlfn.XLOOKUP($A114,ACT[[№]:[№]],ACT[Container total CBM],"",0,1)</f>
        <v>33.043999999999997</v>
      </c>
      <c r="L114" s="40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562000</v>
      </c>
      <c r="M114" s="40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142326.35999999999</v>
      </c>
      <c r="N114" s="40" cm="1">
        <f t="array" ref="N114">_xlfn.XLOOKUP($A114,ACT[[№]:[№]],ACT[Shoring, Banding, Sealing, Handling/ Крепление, Перевязка, Опечатование, Обработка
KRW],"",0,1)</f>
        <v>98319.307589880176</v>
      </c>
      <c r="O114" s="40" cm="1">
        <f t="array" ref="O114">_xlfn.XLOOKUP($A114,ACT[[№]:[№]],ACT[Documents Work/ Сбор за подготовку документов
KRW],"",0,1)</f>
        <v>25366.178428761657</v>
      </c>
      <c r="P114" s="40" cm="1">
        <f t="array" ref="P114">_xlfn.XLOOKUP($A114,ACT[[№]:[№]],ACT[THC/ Терминальная обработка
KRW],"",0,1)</f>
        <v>94057.789613848217</v>
      </c>
      <c r="Q114" s="40" cm="1">
        <f t="array" ref="Q114">_xlfn.XLOOKUP($A114,ACT[[№]:[№]],ACT[Wharfage/ Портовая пошлина
KRW],"",0,1)</f>
        <v>4616.6444740346215</v>
      </c>
      <c r="R114" s="40" cm="1">
        <f t="array" ref="R114">_xlfn.XLOOKUP($A114,ACT[[№]:[№]],ACT[TRUCKING CHARGE],"",0,1)</f>
        <v>0</v>
      </c>
      <c r="S114" s="40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142304.26098535288</v>
      </c>
      <c r="T114" s="40" cm="1">
        <f t="array" ref="T114">_xlfn.XLOOKUP($A114,ACT[[№]:[№]],ACT[Special Wooden Shoring / Специальное деревянное крепление],"",0,1)</f>
        <v>460000</v>
      </c>
      <c r="U114" s="9"/>
      <c r="V114" s="40" cm="1">
        <f t="array" ref="V114">_xlfn.XLOOKUP($A114,ACT[[№]:[№]],ACT[Total amount/ Общая стоимость KRW (10+11+12+13+14+15+16)],"",0,1)</f>
        <v>1528990.5410918775</v>
      </c>
      <c r="W114" s="40" cm="1">
        <f t="array" ref="W114">_xlfn.XLOOKUP($A114,ACT[[№]:[№]],ACT[Total amount/ Общая стоимость (17*exchange rate/ обменный курс)
 USD],"",0,1)</f>
        <v>1188.67</v>
      </c>
      <c r="X114" s="9" cm="1">
        <f t="array" ref="X1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14" s="12">
        <f>VLOOKUP(Шаблон_Формулы[[#This Row],[24]],Курс_840[[Дата]:[Курс]],2,0)</f>
        <v>12089</v>
      </c>
      <c r="Z114" s="42">
        <f>IFERROR(Шаблон_Формулы[[#This Row],[23]]*Шаблон_Формулы[[#This Row],[25]],"")</f>
        <v>14369831.630000001</v>
      </c>
      <c r="AA114" s="13" t="str" cm="1">
        <f t="array" ref="AA114">ACT_number[№ исходящего акта]</f>
        <v>468 LCL</v>
      </c>
    </row>
    <row r="115" spans="1:27" s="8" customFormat="1" ht="12">
      <c r="A115" s="11">
        <v>111</v>
      </c>
      <c r="B115" s="8" t="str" cm="1">
        <f t="array" ref="B115">_xlfn.XLOOKUP($A115,ACT[[№]:[№]],ACT[Container No/
№ Контейнера],"",0,1)</f>
        <v>SEGU4824086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37" cm="1">
        <f t="array" ref="E115">_xlfn.XLOOKUP($A115,ACT[[№]:[№]],ACT[Date of Dispatch/ 
Дата отгрузки],"",0,1)</f>
        <v>45130</v>
      </c>
      <c r="F115" s="38" t="str" cm="1">
        <f t="array" ref="F115">_xlfn.XLOOKUP($A115,ACT[[№]:[№]],ACT[Supplier/ Поставщик],"",0,1)</f>
        <v>Schaeffler Ansan</v>
      </c>
      <c r="G115" s="38" t="str" cm="1">
        <f t="array" ref="G115">_xlfn.XLOOKUP($A115,ACT[[№]:[№]],ACT[Supplier Invoice No/                          № Инвойса Поставщика],"",0,1)</f>
        <v>198533846</v>
      </c>
      <c r="H115" s="39" cm="1">
        <f t="array" ref="H115">_xlfn.XLOOKUP($A115,ACT[[№]:[№]],ACT[CBM],"",0,1)</f>
        <v>13.957000000000001</v>
      </c>
      <c r="I115" s="39" cm="1">
        <f t="array" ref="I115">_xlfn.XLOOKUP($A115,ACT[[№]:[№]],ACT[Gross weight, kg/ Вес брутто, кг],"",0,1)</f>
        <v>4569.6000000000004</v>
      </c>
      <c r="J115" s="39" t="str" cm="1">
        <f t="array" ref="J115">_xlfn.XLOOKUP($A115,ACT[[№]:[№]],ACT[Delivery terms / Условия поставки],"",0,1)</f>
        <v>FCA</v>
      </c>
      <c r="K115" s="39" cm="1">
        <f t="array" ref="K115">_xlfn.XLOOKUP($A115,ACT[[№]:[№]],ACT[Container total CBM],"",0,1)</f>
        <v>44.828000000000003</v>
      </c>
      <c r="L115" s="40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485000</v>
      </c>
      <c r="M115" s="40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118494.93</v>
      </c>
      <c r="N115" s="40" cm="1">
        <f t="array" ref="N115">_xlfn.XLOOKUP($A115,ACT[[№]:[№]],ACT[Shoring, Banding, Sealing, Handling/ Крепление, Перевязка, Опечатование, Обработка
KRW],"",0,1)</f>
        <v>60338.774872847323</v>
      </c>
      <c r="O115" s="40" cm="1">
        <f t="array" ref="O115">_xlfn.XLOOKUP($A115,ACT[[№]:[№]],ACT[Documents Work/ Сбор за подготовку документов
KRW],"",0,1)</f>
        <v>15567.279378959578</v>
      </c>
      <c r="P115" s="40" cm="1">
        <f t="array" ref="P115">_xlfn.XLOOKUP($A115,ACT[[№]:[№]],ACT[THC/ Терминальная обработка
KRW],"",0,1)</f>
        <v>57723.471937182119</v>
      </c>
      <c r="Q115" s="40" cm="1">
        <f t="array" ref="Q115">_xlfn.XLOOKUP($A115,ACT[[№]:[№]],ACT[Wharfage/ Портовая пошлина
KRW],"",0,1)</f>
        <v>2833.2448469706433</v>
      </c>
      <c r="R115" s="40" cm="1">
        <f t="array" ref="R115">_xlfn.XLOOKUP($A115,ACT[[№]:[№]],ACT[TRUCKING CHARGE],"",0,1)</f>
        <v>0</v>
      </c>
      <c r="S115" s="40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87332.437315963238</v>
      </c>
      <c r="T115" s="40" cm="1">
        <f t="array" ref="T115">_xlfn.XLOOKUP($A115,ACT[[№]:[№]],ACT[Special Wooden Shoring / Специальное деревянное крепление],"",0,1)</f>
        <v>0</v>
      </c>
      <c r="U115" s="9"/>
      <c r="V115" s="40" cm="1">
        <f t="array" ref="V115">_xlfn.XLOOKUP($A115,ACT[[№]:[№]],ACT[Total amount/ Общая стоимость KRW (10+11+12+13+14+15+16)],"",0,1)</f>
        <v>827290.13835192309</v>
      </c>
      <c r="W115" s="40" cm="1">
        <f t="array" ref="W115">_xlfn.XLOOKUP($A115,ACT[[№]:[№]],ACT[Total amount/ Общая стоимость (17*exchange rate/ обменный курс)
 USD],"",0,1)</f>
        <v>643.16</v>
      </c>
      <c r="X115" s="9" cm="1">
        <f t="array" ref="X1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15" s="12">
        <f>VLOOKUP(Шаблон_Формулы[[#This Row],[24]],Курс_840[[Дата]:[Курс]],2,0)</f>
        <v>12089</v>
      </c>
      <c r="Z115" s="42">
        <f>IFERROR(Шаблон_Формулы[[#This Row],[23]]*Шаблон_Формулы[[#This Row],[25]],"")</f>
        <v>7775161.2399999993</v>
      </c>
      <c r="AA115" s="13" t="str" cm="1">
        <f t="array" ref="AA115">ACT_number[№ исходящего акта]</f>
        <v>468 LCL</v>
      </c>
    </row>
    <row r="116" spans="1:27" s="8" customFormat="1" ht="12">
      <c r="A116" s="11">
        <v>112</v>
      </c>
      <c r="B116" s="8" t="str" cm="1">
        <f t="array" ref="B116">_xlfn.XLOOKUP($A116,ACT[[№]:[№]],ACT[Container No/
№ Контейнера],"",0,1)</f>
        <v>SEGU4824086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37" cm="1">
        <f t="array" ref="E116">_xlfn.XLOOKUP($A116,ACT[[№]:[№]],ACT[Date of Dispatch/ 
Дата отгрузки],"",0,1)</f>
        <v>45130</v>
      </c>
      <c r="F116" s="38" t="str" cm="1">
        <f t="array" ref="F116">_xlfn.XLOOKUP($A116,ACT[[№]:[№]],ACT[Supplier/ Поставщик],"",0,1)</f>
        <v>UniTech</v>
      </c>
      <c r="G116" s="38" t="str" cm="1">
        <f t="array" ref="G116">_xlfn.XLOOKUP($A116,ACT[[№]:[№]],ACT[Supplier Invoice No/                          № Инвойса Поставщика],"",0,1)</f>
        <v>230722UZ-001 (SEA,2305)</v>
      </c>
      <c r="H116" s="39" cm="1">
        <f t="array" ref="H116">_xlfn.XLOOKUP($A116,ACT[[№]:[№]],ACT[CBM],"",0,1)</f>
        <v>28.725999999999999</v>
      </c>
      <c r="I116" s="39" cm="1">
        <f t="array" ref="I116">_xlfn.XLOOKUP($A116,ACT[[№]:[№]],ACT[Gross weight, kg/ Вес брутто, кг],"",0,1)</f>
        <v>16299</v>
      </c>
      <c r="J116" s="39" t="str" cm="1">
        <f t="array" ref="J116">_xlfn.XLOOKUP($A116,ACT[[№]:[№]],ACT[Delivery terms / Условия поставки],"",0,1)</f>
        <v>FCA</v>
      </c>
      <c r="K116" s="39" cm="1">
        <f t="array" ref="K116">_xlfn.XLOOKUP($A116,ACT[[№]:[№]],ACT[Container total CBM],"",0,1)</f>
        <v>44.828000000000003</v>
      </c>
      <c r="L116" s="40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1148000</v>
      </c>
      <c r="M116" s="40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243883.74</v>
      </c>
      <c r="N116" s="40" cm="1">
        <f t="array" ref="N116">_xlfn.XLOOKUP($A116,ACT[[№]:[№]],ACT[Shoring, Banding, Sealing, Handling/ Крепление, Перевязка, Опечатование, Обработка
KRW],"",0,1)</f>
        <v>124187.98072633176</v>
      </c>
      <c r="O116" s="40" cm="1">
        <f t="array" ref="O116">_xlfn.XLOOKUP($A116,ACT[[№]:[№]],ACT[Documents Work/ Сбор за подготовку документов
KRW],"",0,1)</f>
        <v>32040.24270545195</v>
      </c>
      <c r="P116" s="40" cm="1">
        <f t="array" ref="P116">_xlfn.XLOOKUP($A116,ACT[[№]:[№]],ACT[THC/ Терминальная обработка
KRW],"",0,1)</f>
        <v>118805.21995181584</v>
      </c>
      <c r="Q116" s="40" cm="1">
        <f t="array" ref="Q116">_xlfn.XLOOKUP($A116,ACT[[№]:[№]],ACT[Wharfage/ Портовая пошлина
KRW],"",0,1)</f>
        <v>5831.3241723922547</v>
      </c>
      <c r="R116" s="40" cm="1">
        <f t="array" ref="R116">_xlfn.XLOOKUP($A116,ACT[[№]:[№]],ACT[TRUCKING CHARGE],"",0,1)</f>
        <v>0</v>
      </c>
      <c r="S116" s="40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179745.76157758542</v>
      </c>
      <c r="T116" s="40" cm="1">
        <f t="array" ref="T116">_xlfn.XLOOKUP($A116,ACT[[№]:[№]],ACT[Special Wooden Shoring / Специальное деревянное крепление],"",0,1)</f>
        <v>0</v>
      </c>
      <c r="U116" s="9"/>
      <c r="V116" s="40" cm="1">
        <f t="array" ref="V116">_xlfn.XLOOKUP($A116,ACT[[№]:[№]],ACT[Total amount/ Общая стоимость KRW (10+11+12+13+14+15+16)],"",0,1)</f>
        <v>1852494.2691335776</v>
      </c>
      <c r="W116" s="40" cm="1">
        <f t="array" ref="W116">_xlfn.XLOOKUP($A116,ACT[[№]:[№]],ACT[Total amount/ Общая стоимость (17*exchange rate/ обменный курс)
 USD],"",0,1)</f>
        <v>1440.17</v>
      </c>
      <c r="X116" s="9" cm="1">
        <f t="array" ref="X1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16" s="12">
        <f>VLOOKUP(Шаблон_Формулы[[#This Row],[24]],Курс_840[[Дата]:[Курс]],2,0)</f>
        <v>12089</v>
      </c>
      <c r="Z116" s="42">
        <f>IFERROR(Шаблон_Формулы[[#This Row],[23]]*Шаблон_Формулы[[#This Row],[25]],"")</f>
        <v>17410215.130000003</v>
      </c>
      <c r="AA116" s="13" t="str" cm="1">
        <f t="array" ref="AA116">ACT_number[№ исходящего акта]</f>
        <v>468 LCL</v>
      </c>
    </row>
    <row r="117" spans="1:27" s="8" customFormat="1" ht="12">
      <c r="A117" s="11">
        <v>113</v>
      </c>
      <c r="B117" s="8" t="str" cm="1">
        <f t="array" ref="B117">_xlfn.XLOOKUP($A117,ACT[[№]:[№]],ACT[Container No/
№ Контейнера],"",0,1)</f>
        <v>SEGU4824086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37" cm="1">
        <f t="array" ref="E117">_xlfn.XLOOKUP($A117,ACT[[№]:[№]],ACT[Date of Dispatch/ 
Дата отгрузки],"",0,1)</f>
        <v>45130</v>
      </c>
      <c r="F117" s="38" t="str" cm="1">
        <f t="array" ref="F117">_xlfn.XLOOKUP($A117,ACT[[№]:[№]],ACT[Supplier/ Поставщик],"",0,1)</f>
        <v>GW International for UzKoram Asaka</v>
      </c>
      <c r="G117" s="38" t="str" cm="1">
        <f t="array" ref="G117">_xlfn.XLOOKUP($A117,ACT[[№]:[№]],ACT[Supplier Invoice No/                          № Инвойса Поставщика],"",0,1)</f>
        <v>230712-1</v>
      </c>
      <c r="H117" s="39" cm="1">
        <f t="array" ref="H117">_xlfn.XLOOKUP($A117,ACT[[№]:[№]],ACT[CBM],"",0,1)</f>
        <v>2.145</v>
      </c>
      <c r="I117" s="39" cm="1">
        <f t="array" ref="I117">_xlfn.XLOOKUP($A117,ACT[[№]:[№]],ACT[Gross weight, kg/ Вес брутто, кг],"",0,1)</f>
        <v>1395</v>
      </c>
      <c r="J117" s="39" t="str" cm="1">
        <f t="array" ref="J117">_xlfn.XLOOKUP($A117,ACT[[№]:[№]],ACT[Delivery terms / Условия поставки],"",0,1)</f>
        <v>FOB</v>
      </c>
      <c r="K117" s="39" cm="1">
        <f t="array" ref="K117">_xlfn.XLOOKUP($A117,ACT[[№]:[№]],ACT[Container total CBM],"",0,1)</f>
        <v>44.828000000000003</v>
      </c>
      <c r="L117" s="40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0</v>
      </c>
      <c r="M117" s="40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0</v>
      </c>
      <c r="N117" s="40" cm="1">
        <f t="array" ref="N117">_xlfn.XLOOKUP($A117,ACT[[№]:[№]],ACT[Shoring, Banding, Sealing, Handling/ Крепление, Перевязка, Опечатование, Обработка
KRW],"",0,1)</f>
        <v>0</v>
      </c>
      <c r="O117" s="40" cm="1">
        <f t="array" ref="O117">_xlfn.XLOOKUP($A117,ACT[[№]:[№]],ACT[Documents Work/ Сбор за подготовку документов
KRW],"",0,1)</f>
        <v>0</v>
      </c>
      <c r="P117" s="40" cm="1">
        <f t="array" ref="P117">_xlfn.XLOOKUP($A117,ACT[[№]:[№]],ACT[THC/ Терминальная обработка
KRW],"",0,1)</f>
        <v>0</v>
      </c>
      <c r="Q117" s="40" cm="1">
        <f t="array" ref="Q117">_xlfn.XLOOKUP($A117,ACT[[№]:[№]],ACT[Wharfage/ Портовая пошлина
KRW],"",0,1)</f>
        <v>0</v>
      </c>
      <c r="R117" s="40" cm="1">
        <f t="array" ref="R117">_xlfn.XLOOKUP($A117,ACT[[№]:[№]],ACT[TRUCKING CHARGE],"",0,1)</f>
        <v>0</v>
      </c>
      <c r="S117" s="40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117" s="40" cm="1">
        <f t="array" ref="T117">_xlfn.XLOOKUP($A117,ACT[[№]:[№]],ACT[Special Wooden Shoring / Специальное деревянное крепление],"",0,1)</f>
        <v>0</v>
      </c>
      <c r="U117" s="9"/>
      <c r="V117" s="40" cm="1">
        <f t="array" ref="V117">_xlfn.XLOOKUP($A117,ACT[[№]:[№]],ACT[Total amount/ Общая стоимость KRW (10+11+12+13+14+15+16)],"",0,1)</f>
        <v>0</v>
      </c>
      <c r="W117" s="40" cm="1">
        <f t="array" ref="W117">_xlfn.XLOOKUP($A117,ACT[[№]:[№]],ACT[Total amount/ Общая стоимость (17*exchange rate/ обменный курс)
 USD],"",0,1)</f>
        <v>0</v>
      </c>
      <c r="X117" s="9" cm="1">
        <f t="array" ref="X1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17" s="12">
        <f>VLOOKUP(Шаблон_Формулы[[#This Row],[24]],Курс_840[[Дата]:[Курс]],2,0)</f>
        <v>12089</v>
      </c>
      <c r="Z117" s="42">
        <f>IFERROR(Шаблон_Формулы[[#This Row],[23]]*Шаблон_Формулы[[#This Row],[25]],"")</f>
        <v>0</v>
      </c>
      <c r="AA117" s="13" t="str" cm="1">
        <f t="array" ref="AA117">ACT_number[№ исходящего акта]</f>
        <v>468 LCL</v>
      </c>
    </row>
    <row r="118" spans="1:27" s="8" customFormat="1" ht="12">
      <c r="A118" s="11">
        <v>114</v>
      </c>
      <c r="B118" s="8" t="str" cm="1">
        <f t="array" ref="B118">_xlfn.XLOOKUP($A118,ACT[[№]:[№]],ACT[Container No/
№ Контейнера],"",0,1)</f>
        <v>TEMU6656985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37" cm="1">
        <f t="array" ref="E118">_xlfn.XLOOKUP($A118,ACT[[№]:[№]],ACT[Date of Dispatch/ 
Дата отгрузки],"",0,1)</f>
        <v>45130</v>
      </c>
      <c r="F118" s="38" t="str" cm="1">
        <f t="array" ref="F118">_xlfn.XLOOKUP($A118,ACT[[№]:[№]],ACT[Supplier/ Поставщик],"",0,1)</f>
        <v>Taeyang Metal</v>
      </c>
      <c r="G118" s="38" t="str" cm="1">
        <f t="array" ref="G118">_xlfn.XLOOKUP($A118,ACT[[№]:[№]],ACT[Supplier Invoice No/                          № Инвойса Поставщика],"",0,1)</f>
        <v>TY230720-S</v>
      </c>
      <c r="H118" s="39" cm="1">
        <f t="array" ref="H118">_xlfn.XLOOKUP($A118,ACT[[№]:[№]],ACT[CBM],"",0,1)</f>
        <v>2.16</v>
      </c>
      <c r="I118" s="39" cm="1">
        <f t="array" ref="I118">_xlfn.XLOOKUP($A118,ACT[[№]:[№]],ACT[Gross weight, kg/ Вес брутто, кг],"",0,1)</f>
        <v>1710</v>
      </c>
      <c r="J118" s="39" t="str" cm="1">
        <f t="array" ref="J118">_xlfn.XLOOKUP($A118,ACT[[№]:[№]],ACT[Delivery terms / Условия поставки],"",0,1)</f>
        <v>FCA</v>
      </c>
      <c r="K118" s="39" cm="1">
        <f t="array" ref="K118">_xlfn.XLOOKUP($A118,ACT[[№]:[№]],ACT[Container total CBM],"",0,1)</f>
        <v>40.307000000000002</v>
      </c>
      <c r="L118" s="40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408000</v>
      </c>
      <c r="M118" s="40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18338.400000000001</v>
      </c>
      <c r="N118" s="40" cm="1">
        <f t="array" ref="N118">_xlfn.XLOOKUP($A118,ACT[[№]:[№]],ACT[Shoring, Banding, Sealing, Handling/ Крепление, Перевязка, Опечатование, Обработка
KRW],"",0,1)</f>
        <v>10385.491353859132</v>
      </c>
      <c r="O118" s="40" cm="1">
        <f t="array" ref="O118">_xlfn.XLOOKUP($A118,ACT[[№]:[№]],ACT[Documents Work/ Сбор за подготовку документов
KRW],"",0,1)</f>
        <v>2679.4353338129854</v>
      </c>
      <c r="P118" s="40" cm="1">
        <f t="array" ref="P118">_xlfn.XLOOKUP($A118,ACT[[№]:[№]],ACT[THC/ Терминальная обработка
KRW],"",0,1)</f>
        <v>9935.3462177785495</v>
      </c>
      <c r="Q118" s="40" cm="1">
        <f t="array" ref="Q118">_xlfn.XLOOKUP($A118,ACT[[№]:[№]],ACT[Wharfage/ Портовая пошлина
KRW],"",0,1)</f>
        <v>487.65723075396335</v>
      </c>
      <c r="R118" s="40" cm="1">
        <f t="array" ref="R118">_xlfn.XLOOKUP($A118,ACT[[№]:[№]],ACT[TRUCKING CHARGE],"",0,1)</f>
        <v>0</v>
      </c>
      <c r="S118" s="40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15031.632222690849</v>
      </c>
      <c r="T118" s="40" cm="1">
        <f t="array" ref="T118">_xlfn.XLOOKUP($A118,ACT[[№]:[№]],ACT[Special Wooden Shoring / Специальное деревянное крепление],"",0,1)</f>
        <v>0</v>
      </c>
      <c r="U118" s="9"/>
      <c r="V118" s="40" cm="1">
        <f t="array" ref="V118">_xlfn.XLOOKUP($A118,ACT[[№]:[№]],ACT[Total amount/ Общая стоимость KRW (10+11+12+13+14+15+16)],"",0,1)</f>
        <v>464857.96235889551</v>
      </c>
      <c r="W118" s="40" cm="1">
        <f t="array" ref="W118">_xlfn.XLOOKUP($A118,ACT[[№]:[№]],ACT[Total amount/ Общая стоимость (17*exchange rate/ обменный курс)
 USD],"",0,1)</f>
        <v>361.39</v>
      </c>
      <c r="X118" s="9" cm="1">
        <f t="array" ref="X1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18" s="12">
        <f>VLOOKUP(Шаблон_Формулы[[#This Row],[24]],Курс_840[[Дата]:[Курс]],2,0)</f>
        <v>12089</v>
      </c>
      <c r="Z118" s="42">
        <f>IFERROR(Шаблон_Формулы[[#This Row],[23]]*Шаблон_Формулы[[#This Row],[25]],"")</f>
        <v>4368843.71</v>
      </c>
      <c r="AA118" s="13" t="str" cm="1">
        <f t="array" ref="AA118">ACT_number[№ исходящего акта]</f>
        <v>468 LCL</v>
      </c>
    </row>
    <row r="119" spans="1:27" s="8" customFormat="1" ht="12">
      <c r="A119" s="11">
        <v>115</v>
      </c>
      <c r="B119" s="8" t="str" cm="1">
        <f t="array" ref="B119">_xlfn.XLOOKUP($A119,ACT[[№]:[№]],ACT[Container No/
№ Контейнера],"",0,1)</f>
        <v>TEMU6656985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37" cm="1">
        <f t="array" ref="E119">_xlfn.XLOOKUP($A119,ACT[[№]:[№]],ACT[Date of Dispatch/ 
Дата отгрузки],"",0,1)</f>
        <v>45130</v>
      </c>
      <c r="F119" s="38" t="str" cm="1">
        <f t="array" ref="F119">_xlfn.XLOOKUP($A119,ACT[[№]:[№]],ACT[Supplier/ Поставщик],"",0,1)</f>
        <v>Central</v>
      </c>
      <c r="G119" s="38" t="str" cm="1">
        <f t="array" ref="G119">_xlfn.XLOOKUP($A119,ACT[[№]:[№]],ACT[Supplier Invoice No/                          № Инвойса Поставщика],"",0,1)</f>
        <v>UZA230720</v>
      </c>
      <c r="H119" s="39" cm="1">
        <f t="array" ref="H119">_xlfn.XLOOKUP($A119,ACT[[№]:[№]],ACT[CBM],"",0,1)</f>
        <v>6.4909999999999997</v>
      </c>
      <c r="I119" s="39" cm="1">
        <f t="array" ref="I119">_xlfn.XLOOKUP($A119,ACT[[№]:[№]],ACT[Gross weight, kg/ Вес брутто, кг],"",0,1)</f>
        <v>2270.31</v>
      </c>
      <c r="J119" s="39" t="str" cm="1">
        <f t="array" ref="J119">_xlfn.XLOOKUP($A119,ACT[[№]:[№]],ACT[Delivery terms / Условия поставки],"",0,1)</f>
        <v>FOB</v>
      </c>
      <c r="K119" s="39" cm="1">
        <f t="array" ref="K119">_xlfn.XLOOKUP($A119,ACT[[№]:[№]],ACT[Container total CBM],"",0,1)</f>
        <v>40.307000000000002</v>
      </c>
      <c r="L119" s="40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0</v>
      </c>
      <c r="M119" s="40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0</v>
      </c>
      <c r="N119" s="40" cm="1">
        <f t="array" ref="N119">_xlfn.XLOOKUP($A119,ACT[[№]:[№]],ACT[Shoring, Banding, Sealing, Handling/ Крепление, Перевязка, Опечатование, Обработка
KRW],"",0,1)</f>
        <v>0</v>
      </c>
      <c r="O119" s="40" cm="1">
        <f t="array" ref="O119">_xlfn.XLOOKUP($A119,ACT[[№]:[№]],ACT[Documents Work/ Сбор за подготовку документов
KRW],"",0,1)</f>
        <v>0</v>
      </c>
      <c r="P119" s="40" cm="1">
        <f t="array" ref="P119">_xlfn.XLOOKUP($A119,ACT[[№]:[№]],ACT[THC/ Терминальная обработка
KRW],"",0,1)</f>
        <v>0</v>
      </c>
      <c r="Q119" s="40" cm="1">
        <f t="array" ref="Q119">_xlfn.XLOOKUP($A119,ACT[[№]:[№]],ACT[Wharfage/ Портовая пошлина
KRW],"",0,1)</f>
        <v>0</v>
      </c>
      <c r="R119" s="40" cm="1">
        <f t="array" ref="R119">_xlfn.XLOOKUP($A119,ACT[[№]:[№]],ACT[TRUCKING CHARGE],"",0,1)</f>
        <v>0</v>
      </c>
      <c r="S119" s="40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119" s="40" cm="1">
        <f t="array" ref="T119">_xlfn.XLOOKUP($A119,ACT[[№]:[№]],ACT[Special Wooden Shoring / Специальное деревянное крепление],"",0,1)</f>
        <v>0</v>
      </c>
      <c r="U119" s="9"/>
      <c r="V119" s="40" cm="1">
        <f t="array" ref="V119">_xlfn.XLOOKUP($A119,ACT[[№]:[№]],ACT[Total amount/ Общая стоимость KRW (10+11+12+13+14+15+16)],"",0,1)</f>
        <v>0</v>
      </c>
      <c r="W119" s="40" cm="1">
        <f t="array" ref="W119">_xlfn.XLOOKUP($A119,ACT[[№]:[№]],ACT[Total amount/ Общая стоимость (17*exchange rate/ обменный курс)
 USD],"",0,1)</f>
        <v>0</v>
      </c>
      <c r="X119" s="9" cm="1">
        <f t="array" ref="X1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19" s="12">
        <f>VLOOKUP(Шаблон_Формулы[[#This Row],[24]],Курс_840[[Дата]:[Курс]],2,0)</f>
        <v>12089</v>
      </c>
      <c r="Z119" s="42">
        <f>IFERROR(Шаблон_Формулы[[#This Row],[23]]*Шаблон_Формулы[[#This Row],[25]],"")</f>
        <v>0</v>
      </c>
      <c r="AA119" s="13" t="str" cm="1">
        <f t="array" ref="AA119">ACT_number[№ исходящего акта]</f>
        <v>468 LCL</v>
      </c>
    </row>
    <row r="120" spans="1:27" s="8" customFormat="1" ht="12">
      <c r="A120" s="11">
        <v>116</v>
      </c>
      <c r="B120" s="8" t="str" cm="1">
        <f t="array" ref="B120">_xlfn.XLOOKUP($A120,ACT[[№]:[№]],ACT[Container No/
№ Контейнера],"",0,1)</f>
        <v>TEMU6656985</v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>40'HC</v>
      </c>
      <c r="E120" s="37" cm="1">
        <f t="array" ref="E120">_xlfn.XLOOKUP($A120,ACT[[№]:[№]],ACT[Date of Dispatch/ 
Дата отгрузки],"",0,1)</f>
        <v>45130</v>
      </c>
      <c r="F120" s="38" t="str" cm="1">
        <f t="array" ref="F120">_xlfn.XLOOKUP($A120,ACT[[№]:[№]],ACT[Supplier/ Поставщик],"",0,1)</f>
        <v>Erae CS</v>
      </c>
      <c r="G120" s="38" t="str" cm="1">
        <f t="array" ref="G120">_xlfn.XLOOKUP($A120,ACT[[№]:[№]],ACT[Supplier Invoice No/                          № Инвойса Поставщика],"",0,1)</f>
        <v>UEA 20230719-C1</v>
      </c>
      <c r="H120" s="39" cm="1">
        <f t="array" ref="H120">_xlfn.XLOOKUP($A120,ACT[[№]:[№]],ACT[CBM],"",0,1)</f>
        <v>22.54</v>
      </c>
      <c r="I120" s="39" cm="1">
        <f t="array" ref="I120">_xlfn.XLOOKUP($A120,ACT[[№]:[№]],ACT[Gross weight, kg/ Вес брутто, кг],"",0,1)</f>
        <v>7868</v>
      </c>
      <c r="J120" s="39" t="str" cm="1">
        <f t="array" ref="J120">_xlfn.XLOOKUP($A120,ACT[[№]:[№]],ACT[Delivery terms / Условия поставки],"",0,1)</f>
        <v>FOB</v>
      </c>
      <c r="K120" s="39" cm="1">
        <f t="array" ref="K120">_xlfn.XLOOKUP($A120,ACT[[№]:[№]],ACT[Container total CBM],"",0,1)</f>
        <v>40.307000000000002</v>
      </c>
      <c r="L120" s="40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>0</v>
      </c>
      <c r="M120" s="40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>0</v>
      </c>
      <c r="N120" s="40" cm="1">
        <f t="array" ref="N120">_xlfn.XLOOKUP($A120,ACT[[№]:[№]],ACT[Shoring, Banding, Sealing, Handling/ Крепление, Перевязка, Опечатование, Обработка
KRW],"",0,1)</f>
        <v>0</v>
      </c>
      <c r="O120" s="40" cm="1">
        <f t="array" ref="O120">_xlfn.XLOOKUP($A120,ACT[[№]:[№]],ACT[Documents Work/ Сбор за подготовку документов
KRW],"",0,1)</f>
        <v>0</v>
      </c>
      <c r="P120" s="40" cm="1">
        <f t="array" ref="P120">_xlfn.XLOOKUP($A120,ACT[[№]:[№]],ACT[THC/ Терминальная обработка
KRW],"",0,1)</f>
        <v>0</v>
      </c>
      <c r="Q120" s="40" cm="1">
        <f t="array" ref="Q120">_xlfn.XLOOKUP($A120,ACT[[№]:[№]],ACT[Wharfage/ Портовая пошлина
KRW],"",0,1)</f>
        <v>0</v>
      </c>
      <c r="R120" s="40" cm="1">
        <f t="array" ref="R120">_xlfn.XLOOKUP($A120,ACT[[№]:[№]],ACT[TRUCKING CHARGE],"",0,1)</f>
        <v>0</v>
      </c>
      <c r="S120" s="40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120" s="40" cm="1">
        <f t="array" ref="T120">_xlfn.XLOOKUP($A120,ACT[[№]:[№]],ACT[Special Wooden Shoring / Специальное деревянное крепление],"",0,1)</f>
        <v>0</v>
      </c>
      <c r="U120" s="9"/>
      <c r="V120" s="40" cm="1">
        <f t="array" ref="V120">_xlfn.XLOOKUP($A120,ACT[[№]:[№]],ACT[Total amount/ Общая стоимость KRW (10+11+12+13+14+15+16)],"",0,1)</f>
        <v>0</v>
      </c>
      <c r="W120" s="40" cm="1">
        <f t="array" ref="W120">_xlfn.XLOOKUP($A120,ACT[[№]:[№]],ACT[Total amount/ Общая стоимость (17*exchange rate/ обменный курс)
 USD],"",0,1)</f>
        <v>0</v>
      </c>
      <c r="X120" s="9" cm="1">
        <f t="array" ref="X1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20" s="12">
        <f>VLOOKUP(Шаблон_Формулы[[#This Row],[24]],Курс_840[[Дата]:[Курс]],2,0)</f>
        <v>12089</v>
      </c>
      <c r="Z120" s="42">
        <f>IFERROR(Шаблон_Формулы[[#This Row],[23]]*Шаблон_Формулы[[#This Row],[25]],"")</f>
        <v>0</v>
      </c>
      <c r="AA120" s="13" t="str" cm="1">
        <f t="array" ref="AA120">ACT_number[№ исходящего акта]</f>
        <v>468 LCL</v>
      </c>
    </row>
    <row r="121" spans="1:27" s="8" customFormat="1" ht="12">
      <c r="A121" s="11">
        <v>117</v>
      </c>
      <c r="B121" s="8" t="str" cm="1">
        <f t="array" ref="B121">_xlfn.XLOOKUP($A121,ACT[[№]:[№]],ACT[Container No/
№ Контейнера],"",0,1)</f>
        <v>TEMU6656985</v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>40'HC</v>
      </c>
      <c r="E121" s="37" cm="1">
        <f t="array" ref="E121">_xlfn.XLOOKUP($A121,ACT[[№]:[№]],ACT[Date of Dispatch/ 
Дата отгрузки],"",0,1)</f>
        <v>45130</v>
      </c>
      <c r="F121" s="38" t="str" cm="1">
        <f t="array" ref="F121">_xlfn.XLOOKUP($A121,ACT[[№]:[№]],ACT[Supplier/ Поставщик],"",0,1)</f>
        <v>Youngshin (GEM Project)</v>
      </c>
      <c r="G121" s="38" t="str" cm="1">
        <f t="array" ref="G121">_xlfn.XLOOKUP($A121,ACT[[№]:[№]],ACT[Supplier Invoice No/                          № Инвойса Поставщика],"",0,1)</f>
        <v>UZATK0060(1)</v>
      </c>
      <c r="H121" s="39" cm="1">
        <f t="array" ref="H121">_xlfn.XLOOKUP($A121,ACT[[№]:[№]],ACT[CBM],"",0,1)</f>
        <v>3.2280000000000002</v>
      </c>
      <c r="I121" s="39" cm="1">
        <f t="array" ref="I121">_xlfn.XLOOKUP($A121,ACT[[№]:[№]],ACT[Gross weight, kg/ Вес брутто, кг],"",0,1)</f>
        <v>3306.73</v>
      </c>
      <c r="J121" s="39" t="str" cm="1">
        <f t="array" ref="J121">_xlfn.XLOOKUP($A121,ACT[[№]:[№]],ACT[Delivery terms / Условия поставки],"",0,1)</f>
        <v>FCA</v>
      </c>
      <c r="K121" s="39" cm="1">
        <f t="array" ref="K121">_xlfn.XLOOKUP($A121,ACT[[№]:[№]],ACT[Container total CBM],"",0,1)</f>
        <v>40.307000000000002</v>
      </c>
      <c r="L121" s="40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>465000</v>
      </c>
      <c r="M121" s="40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>27405.72</v>
      </c>
      <c r="N121" s="40" cm="1">
        <f t="array" ref="N121">_xlfn.XLOOKUP($A121,ACT[[№]:[№]],ACT[Shoring, Banding, Sealing, Handling/ Крепление, Перевязка, Опечатование, Обработка
KRW],"",0,1)</f>
        <v>15520.539856600592</v>
      </c>
      <c r="O121" s="40" cm="1">
        <f t="array" ref="O121">_xlfn.XLOOKUP($A121,ACT[[№]:[№]],ACT[Documents Work/ Сбор за подготовку документов
KRW],"",0,1)</f>
        <v>4004.2672488649614</v>
      </c>
      <c r="P121" s="40" cm="1">
        <f t="array" ref="P121">_xlfn.XLOOKUP($A121,ACT[[№]:[№]],ACT[THC/ Терминальная обработка
KRW],"",0,1)</f>
        <v>14847.822958791276</v>
      </c>
      <c r="Q121" s="40" cm="1">
        <f t="array" ref="Q121">_xlfn.XLOOKUP($A121,ACT[[№]:[№]],ACT[Wharfage/ Портовая пошлина
KRW],"",0,1)</f>
        <v>728.77663929342305</v>
      </c>
      <c r="R121" s="40" cm="1">
        <f t="array" ref="R121">_xlfn.XLOOKUP($A121,ACT[[№]:[№]],ACT[TRUCKING CHARGE],"",0,1)</f>
        <v>0</v>
      </c>
      <c r="S121" s="40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22463.939266132435</v>
      </c>
      <c r="T121" s="40" cm="1">
        <f t="array" ref="T121">_xlfn.XLOOKUP($A121,ACT[[№]:[№]],ACT[Special Wooden Shoring / Специальное деревянное крепление],"",0,1)</f>
        <v>0</v>
      </c>
      <c r="U121" s="9"/>
      <c r="V121" s="40" cm="1">
        <f t="array" ref="V121">_xlfn.XLOOKUP($A121,ACT[[№]:[№]],ACT[Total amount/ Общая стоимость KRW (10+11+12+13+14+15+16)],"",0,1)</f>
        <v>549971.06596968265</v>
      </c>
      <c r="W121" s="40" cm="1">
        <f t="array" ref="W121">_xlfn.XLOOKUP($A121,ACT[[№]:[№]],ACT[Total amount/ Общая стоимость (17*exchange rate/ обменный курс)
 USD],"",0,1)</f>
        <v>427.56</v>
      </c>
      <c r="X121" s="9" cm="1">
        <f t="array" ref="X1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21" s="12">
        <f>VLOOKUP(Шаблон_Формулы[[#This Row],[24]],Курс_840[[Дата]:[Курс]],2,0)</f>
        <v>12089</v>
      </c>
      <c r="Z121" s="42">
        <f>IFERROR(Шаблон_Формулы[[#This Row],[23]]*Шаблон_Формулы[[#This Row],[25]],"")</f>
        <v>5168772.84</v>
      </c>
      <c r="AA121" s="13" t="str" cm="1">
        <f t="array" ref="AA121">ACT_number[№ исходящего акта]</f>
        <v>468 LCL</v>
      </c>
    </row>
    <row r="122" spans="1:27" s="8" customFormat="1" ht="12">
      <c r="A122" s="11">
        <v>118</v>
      </c>
      <c r="B122" s="8" t="str" cm="1">
        <f t="array" ref="B122">_xlfn.XLOOKUP($A122,ACT[[№]:[№]],ACT[Container No/
№ Контейнера],"",0,1)</f>
        <v>TEMU6656985</v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>40'HC</v>
      </c>
      <c r="E122" s="37" cm="1">
        <f t="array" ref="E122">_xlfn.XLOOKUP($A122,ACT[[№]:[№]],ACT[Date of Dispatch/ 
Дата отгрузки],"",0,1)</f>
        <v>45130</v>
      </c>
      <c r="F122" s="38" t="str" cm="1">
        <f t="array" ref="F122">_xlfn.XLOOKUP($A122,ACT[[№]:[№]],ACT[Supplier/ Поставщик],"",0,1)</f>
        <v>Youngshin (GEM Project)</v>
      </c>
      <c r="G122" s="38" t="str" cm="1">
        <f t="array" ref="G122">_xlfn.XLOOKUP($A122,ACT[[№]:[№]],ACT[Supplier Invoice No/                          № Инвойса Поставщика],"",0,1)</f>
        <v>UZATK0060(2)</v>
      </c>
      <c r="H122" s="39" cm="1">
        <f t="array" ref="H122">_xlfn.XLOOKUP($A122,ACT[[№]:[№]],ACT[CBM],"",0,1)</f>
        <v>0.58399999999999996</v>
      </c>
      <c r="I122" s="39" cm="1">
        <f t="array" ref="I122">_xlfn.XLOOKUP($A122,ACT[[№]:[№]],ACT[Gross weight, kg/ Вес брутто, кг],"",0,1)</f>
        <v>359.7</v>
      </c>
      <c r="J122" s="39" t="str" cm="1">
        <f t="array" ref="J122">_xlfn.XLOOKUP($A122,ACT[[№]:[№]],ACT[Delivery terms / Условия поставки],"",0,1)</f>
        <v>FCA</v>
      </c>
      <c r="K122" s="39" cm="1">
        <f t="array" ref="K122">_xlfn.XLOOKUP($A122,ACT[[№]:[№]],ACT[Container total CBM],"",0,1)</f>
        <v>40.307000000000002</v>
      </c>
      <c r="L122" s="40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>289000</v>
      </c>
      <c r="M122" s="40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>4958.16</v>
      </c>
      <c r="N122" s="40" cm="1">
        <f t="array" ref="N122">_xlfn.XLOOKUP($A122,ACT[[№]:[№]],ACT[Shoring, Banding, Sealing, Handling/ Крепление, Перевязка, Опечатование, Обработка
KRW],"",0,1)</f>
        <v>2807.9291438211721</v>
      </c>
      <c r="O122" s="40" cm="1">
        <f t="array" ref="O122">_xlfn.XLOOKUP($A122,ACT[[№]:[№]],ACT[Documents Work/ Сбор за подготовку документов
KRW],"",0,1)</f>
        <v>724.4399235864737</v>
      </c>
      <c r="P122" s="40" cm="1">
        <f t="array" ref="P122">_xlfn.XLOOKUP($A122,ACT[[№]:[№]],ACT[THC/ Терминальная обработка
KRW],"",0,1)</f>
        <v>2686.2232366586445</v>
      </c>
      <c r="Q122" s="40" cm="1">
        <f t="array" ref="Q122">_xlfn.XLOOKUP($A122,ACT[[№]:[№]],ACT[Wharfage/ Портовая пошлина
KRW],"",0,1)</f>
        <v>131.84806609273821</v>
      </c>
      <c r="R122" s="40" cm="1">
        <f t="array" ref="R122">_xlfn.XLOOKUP($A122,ACT[[№]:[№]],ACT[TRUCKING CHARGE],"",0,1)</f>
        <v>0</v>
      </c>
      <c r="S122" s="40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4064.1079713201175</v>
      </c>
      <c r="T122" s="40" cm="1">
        <f t="array" ref="T122">_xlfn.XLOOKUP($A122,ACT[[№]:[№]],ACT[Special Wooden Shoring / Специальное деревянное крепление],"",0,1)</f>
        <v>0</v>
      </c>
      <c r="U122" s="9"/>
      <c r="V122" s="40" cm="1">
        <f t="array" ref="V122">_xlfn.XLOOKUP($A122,ACT[[№]:[№]],ACT[Total amount/ Общая стоимость KRW (10+11+12+13+14+15+16)],"",0,1)</f>
        <v>304372.70834147919</v>
      </c>
      <c r="W122" s="40" cm="1">
        <f t="array" ref="W122">_xlfn.XLOOKUP($A122,ACT[[№]:[№]],ACT[Total amount/ Общая стоимость (17*exchange rate/ обменный курс)
 USD],"",0,1)</f>
        <v>236.63</v>
      </c>
      <c r="X122" s="9" cm="1">
        <f t="array" ref="X1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22" s="12">
        <f>VLOOKUP(Шаблон_Формулы[[#This Row],[24]],Курс_840[[Дата]:[Курс]],2,0)</f>
        <v>12089</v>
      </c>
      <c r="Z122" s="42">
        <f>IFERROR(Шаблон_Формулы[[#This Row],[23]]*Шаблон_Формулы[[#This Row],[25]],"")</f>
        <v>2860620.07</v>
      </c>
      <c r="AA122" s="13" t="str" cm="1">
        <f t="array" ref="AA122">ACT_number[№ исходящего акта]</f>
        <v>468 LCL</v>
      </c>
    </row>
    <row r="123" spans="1:27" s="8" customFormat="1" ht="12">
      <c r="A123" s="11">
        <v>119</v>
      </c>
      <c r="B123" s="8" t="str" cm="1">
        <f t="array" ref="B123">_xlfn.XLOOKUP($A123,ACT[[№]:[№]],ACT[Container No/
№ Контейнера],"",0,1)</f>
        <v>TEMU6656985</v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>40'HC</v>
      </c>
      <c r="E123" s="37" cm="1">
        <f t="array" ref="E123">_xlfn.XLOOKUP($A123,ACT[[№]:[№]],ACT[Date of Dispatch/ 
Дата отгрузки],"",0,1)</f>
        <v>45130</v>
      </c>
      <c r="F123" s="38" t="str" cm="1">
        <f t="array" ref="F123">_xlfn.XLOOKUP($A123,ACT[[№]:[№]],ACT[Supplier/ Поставщик],"",0,1)</f>
        <v>Chungwoo (GEM Project)</v>
      </c>
      <c r="G123" s="38" t="str" cm="1">
        <f t="array" ref="G123">_xlfn.XLOOKUP($A123,ACT[[№]:[№]],ACT[Supplier Invoice No/                          № Инвойса Поставщика],"",0,1)</f>
        <v>UZATK0060(3)</v>
      </c>
      <c r="H123" s="39" cm="1">
        <f t="array" ref="H123">_xlfn.XLOOKUP($A123,ACT[[№]:[№]],ACT[CBM],"",0,1)</f>
        <v>4.8600000000000003</v>
      </c>
      <c r="I123" s="39" cm="1">
        <f t="array" ref="I123">_xlfn.XLOOKUP($A123,ACT[[№]:[№]],ACT[Gross weight, kg/ Вес брутто, кг],"",0,1)</f>
        <v>5155</v>
      </c>
      <c r="J123" s="39" t="str" cm="1">
        <f t="array" ref="J123">_xlfn.XLOOKUP($A123,ACT[[№]:[№]],ACT[Delivery terms / Условия поставки],"",0,1)</f>
        <v>FCA</v>
      </c>
      <c r="K123" s="39" cm="1">
        <f t="array" ref="K123">_xlfn.XLOOKUP($A123,ACT[[№]:[№]],ACT[Container total CBM],"",0,1)</f>
        <v>40.307000000000002</v>
      </c>
      <c r="L123" s="40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>698500</v>
      </c>
      <c r="M123" s="40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>41261.4</v>
      </c>
      <c r="N123" s="40" cm="1">
        <f t="array" ref="N123">_xlfn.XLOOKUP($A123,ACT[[№]:[№]],ACT[Shoring, Banding, Sealing, Handling/ Крепление, Перевязка, Опечатование, Обработка
KRW],"",0,1)</f>
        <v>23367.355546183044</v>
      </c>
      <c r="O123" s="40" cm="1">
        <f t="array" ref="O123">_xlfn.XLOOKUP($A123,ACT[[№]:[№]],ACT[Documents Work/ Сбор за подготовку документов
KRW],"",0,1)</f>
        <v>6028.7295010792168</v>
      </c>
      <c r="P123" s="40" cm="1">
        <f t="array" ref="P123">_xlfn.XLOOKUP($A123,ACT[[№]:[№]],ACT[THC/ Терминальная обработка
KRW],"",0,1)</f>
        <v>22354.528990001734</v>
      </c>
      <c r="Q123" s="40" cm="1">
        <f t="array" ref="Q123">_xlfn.XLOOKUP($A123,ACT[[№]:[№]],ACT[Wharfage/ Портовая пошлина
KRW],"",0,1)</f>
        <v>1097.2287691964175</v>
      </c>
      <c r="R123" s="40" cm="1">
        <f t="array" ref="R123">_xlfn.XLOOKUP($A123,ACT[[№]:[№]],ACT[TRUCKING CHARGE],"",0,1)</f>
        <v>0</v>
      </c>
      <c r="S123" s="40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33821.172501054411</v>
      </c>
      <c r="T123" s="40" cm="1">
        <f t="array" ref="T123">_xlfn.XLOOKUP($A123,ACT[[№]:[№]],ACT[Special Wooden Shoring / Специальное деревянное крепление],"",0,1)</f>
        <v>0</v>
      </c>
      <c r="U123" s="9"/>
      <c r="V123" s="40" cm="1">
        <f t="array" ref="V123">_xlfn.XLOOKUP($A123,ACT[[№]:[№]],ACT[Total amount/ Общая стоимость KRW (10+11+12+13+14+15+16)],"",0,1)</f>
        <v>826430.41530751484</v>
      </c>
      <c r="W123" s="40" cm="1">
        <f t="array" ref="W123">_xlfn.XLOOKUP($A123,ACT[[№]:[№]],ACT[Total amount/ Общая стоимость (17*exchange rate/ обменный курс)
 USD],"",0,1)</f>
        <v>642.49</v>
      </c>
      <c r="X123" s="9" cm="1">
        <f t="array" ref="X1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23" s="12">
        <f>VLOOKUP(Шаблон_Формулы[[#This Row],[24]],Курс_840[[Дата]:[Курс]],2,0)</f>
        <v>12089</v>
      </c>
      <c r="Z123" s="42">
        <f>IFERROR(Шаблон_Формулы[[#This Row],[23]]*Шаблон_Формулы[[#This Row],[25]],"")</f>
        <v>7767061.6100000003</v>
      </c>
      <c r="AA123" s="13" t="str" cm="1">
        <f t="array" ref="AA123">ACT_number[№ исходящего акта]</f>
        <v>468 LCL</v>
      </c>
    </row>
    <row r="124" spans="1:27" s="8" customFormat="1" ht="12">
      <c r="A124" s="11">
        <v>120</v>
      </c>
      <c r="B124" s="8" t="str" cm="1">
        <f t="array" ref="B124">_xlfn.XLOOKUP($A124,ACT[[№]:[№]],ACT[Container No/
№ Контейнера],"",0,1)</f>
        <v>TEMU6656985</v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>40'HC</v>
      </c>
      <c r="E124" s="37" cm="1">
        <f t="array" ref="E124">_xlfn.XLOOKUP($A124,ACT[[№]:[№]],ACT[Date of Dispatch/ 
Дата отгрузки],"",0,1)</f>
        <v>45130</v>
      </c>
      <c r="F124" s="38" t="str" cm="1">
        <f t="array" ref="F124">_xlfn.XLOOKUP($A124,ACT[[№]:[№]],ACT[Supplier/ Поставщик],"",0,1)</f>
        <v>CheongHa (GEM Project)</v>
      </c>
      <c r="G124" s="38" t="str" cm="1">
        <f t="array" ref="G124">_xlfn.XLOOKUP($A124,ACT[[№]:[№]],ACT[Supplier Invoice No/                          № Инвойса Поставщика],"",0,1)</f>
        <v>UZATK0060(4)</v>
      </c>
      <c r="H124" s="39" cm="1">
        <f t="array" ref="H124">_xlfn.XLOOKUP($A124,ACT[[№]:[№]],ACT[CBM],"",0,1)</f>
        <v>0.44400000000000001</v>
      </c>
      <c r="I124" s="39" cm="1">
        <f t="array" ref="I124">_xlfn.XLOOKUP($A124,ACT[[№]:[№]],ACT[Gross weight, kg/ Вес брутто, кг],"",0,1)</f>
        <v>84.3</v>
      </c>
      <c r="J124" s="39" t="str" cm="1">
        <f t="array" ref="J124">_xlfn.XLOOKUP($A124,ACT[[№]:[№]],ACT[Delivery terms / Условия поставки],"",0,1)</f>
        <v>FCA</v>
      </c>
      <c r="K124" s="39" cm="1">
        <f t="array" ref="K124">_xlfn.XLOOKUP($A124,ACT[[№]:[№]],ACT[Container total CBM],"",0,1)</f>
        <v>40.307000000000002</v>
      </c>
      <c r="L124" s="40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>289000</v>
      </c>
      <c r="M124" s="40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>3769.56</v>
      </c>
      <c r="N124" s="40" cm="1">
        <f t="array" ref="N124">_xlfn.XLOOKUP($A124,ACT[[№]:[№]],ACT[Shoring, Banding, Sealing, Handling/ Крепление, Перевязка, Опечатование, Обработка
KRW],"",0,1)</f>
        <v>2134.7954449599324</v>
      </c>
      <c r="O124" s="40" cm="1">
        <f t="array" ref="O124">_xlfn.XLOOKUP($A124,ACT[[№]:[№]],ACT[Documents Work/ Сбор за подготовку документов
KRW],"",0,1)</f>
        <v>550.77281861711367</v>
      </c>
      <c r="P124" s="40" cm="1">
        <f t="array" ref="P124">_xlfn.XLOOKUP($A124,ACT[[№]:[№]],ACT[THC/ Терминальная обработка
KRW],"",0,1)</f>
        <v>2042.2656114322576</v>
      </c>
      <c r="Q124" s="40" cm="1">
        <f t="array" ref="Q124">_xlfn.XLOOKUP($A124,ACT[[№]:[№]],ACT[Wharfage/ Портовая пошлина
KRW],"",0,1)</f>
        <v>100.24065298831468</v>
      </c>
      <c r="R124" s="40" cm="1">
        <f t="array" ref="R124">_xlfn.XLOOKUP($A124,ACT[[№]:[№]],ACT[TRUCKING CHARGE],"",0,1)</f>
        <v>0</v>
      </c>
      <c r="S124" s="40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3089.8355124420077</v>
      </c>
      <c r="T124" s="40" cm="1">
        <f t="array" ref="T124">_xlfn.XLOOKUP($A124,ACT[[№]:[№]],ACT[Special Wooden Shoring / Специальное деревянное крепление],"",0,1)</f>
        <v>0</v>
      </c>
      <c r="U124" s="9"/>
      <c r="V124" s="40" cm="1">
        <f t="array" ref="V124">_xlfn.XLOOKUP($A124,ACT[[№]:[№]],ACT[Total amount/ Общая стоимость KRW (10+11+12+13+14+15+16)],"",0,1)</f>
        <v>300687.47004043963</v>
      </c>
      <c r="W124" s="40" cm="1">
        <f t="array" ref="W124">_xlfn.XLOOKUP($A124,ACT[[№]:[№]],ACT[Total amount/ Общая стоимость (17*exchange rate/ обменный курс)
 USD],"",0,1)</f>
        <v>233.76</v>
      </c>
      <c r="X124" s="9" cm="1">
        <f t="array" ref="X1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24" s="12">
        <f>VLOOKUP(Шаблон_Формулы[[#This Row],[24]],Курс_840[[Дата]:[Курс]],2,0)</f>
        <v>12089</v>
      </c>
      <c r="Z124" s="42">
        <f>IFERROR(Шаблон_Формулы[[#This Row],[23]]*Шаблон_Формулы[[#This Row],[25]],"")</f>
        <v>2825924.6399999997</v>
      </c>
      <c r="AA124" s="13" t="str" cm="1">
        <f t="array" ref="AA124">ACT_number[№ исходящего акта]</f>
        <v>468 LCL</v>
      </c>
    </row>
    <row r="125" spans="1:27" s="8" customFormat="1" ht="12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37" t="str" cm="1">
        <f t="array" ref="E125">_xlfn.XLOOKUP($A125,ACT[[№]:[№]],ACT[Date of Dispatch/ 
Дата отгрузки],"",0,1)</f>
        <v/>
      </c>
      <c r="F125" s="38" t="str" cm="1">
        <f t="array" ref="F125">_xlfn.XLOOKUP($A125,ACT[[№]:[№]],ACT[Supplier/ Поставщик],"",0,1)</f>
        <v/>
      </c>
      <c r="G125" s="38" t="str" cm="1">
        <f t="array" ref="G125">_xlfn.XLOOKUP($A125,ACT[[№]:[№]],ACT[Supplier Invoice No/                          № Инвойса Поставщика],"",0,1)</f>
        <v/>
      </c>
      <c r="H125" s="39" t="str" cm="1">
        <f t="array" ref="H125">_xlfn.XLOOKUP($A125,ACT[[№]:[№]],ACT[CBM],"",0,1)</f>
        <v/>
      </c>
      <c r="I125" s="39" t="str" cm="1">
        <f t="array" ref="I125">_xlfn.XLOOKUP($A125,ACT[[№]:[№]],ACT[Gross weight, kg/ Вес брутто, кг],"",0,1)</f>
        <v/>
      </c>
      <c r="J125" s="39" t="str" cm="1">
        <f t="array" ref="J125">_xlfn.XLOOKUP($A125,ACT[[№]:[№]],ACT[Delivery terms / Условия поставки],"",0,1)</f>
        <v/>
      </c>
      <c r="K125" s="39" t="str" cm="1">
        <f t="array" ref="K125">_xlfn.XLOOKUP($A125,ACT[[№]:[№]],ACT[Container total CBM],"",0,1)</f>
        <v/>
      </c>
      <c r="L125" s="40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40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40" t="str" cm="1">
        <f t="array" ref="N125">_xlfn.XLOOKUP($A125,ACT[[№]:[№]],ACT[Shoring, Banding, Sealing, Handling/ Крепление, Перевязка, Опечатование, Обработка
KRW],"",0,1)</f>
        <v/>
      </c>
      <c r="O125" s="40" t="str" cm="1">
        <f t="array" ref="O125">_xlfn.XLOOKUP($A125,ACT[[№]:[№]],ACT[Documents Work/ Сбор за подготовку документов
KRW],"",0,1)</f>
        <v/>
      </c>
      <c r="P125" s="40" t="str" cm="1">
        <f t="array" ref="P125">_xlfn.XLOOKUP($A125,ACT[[№]:[№]],ACT[THC/ Терминальная обработка
KRW],"",0,1)</f>
        <v/>
      </c>
      <c r="Q125" s="40" t="str" cm="1">
        <f t="array" ref="Q125">_xlfn.XLOOKUP($A125,ACT[[№]:[№]],ACT[Wharfage/ Портовая пошлина
KRW],"",0,1)</f>
        <v/>
      </c>
      <c r="R125" s="40" t="str" cm="1">
        <f t="array" ref="R125">_xlfn.XLOOKUP($A125,ACT[[№]:[№]],ACT[TRUCKING CHARGE],"",0,1)</f>
        <v/>
      </c>
      <c r="S125" s="40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40" t="str" cm="1">
        <f t="array" ref="T125">_xlfn.XLOOKUP($A125,ACT[[№]:[№]],ACT[Special Wooden Shoring / Специальное деревянное крепление],"",0,1)</f>
        <v/>
      </c>
      <c r="U125" s="9"/>
      <c r="V125" s="40" t="str" cm="1">
        <f t="array" ref="V125">_xlfn.XLOOKUP($A125,ACT[[№]:[№]],ACT[Total amount/ Общая стоимость KRW (10+11+12+13+14+15+16)],"",0,1)</f>
        <v/>
      </c>
      <c r="W125" s="40" t="str" cm="1">
        <f t="array" ref="W125">_xlfn.XLOOKUP($A125,ACT[[№]:[№]],ACT[Total amount/ Общая стоимость (17*exchange rate/ обменный курс)
 USD],"",0,1)</f>
        <v/>
      </c>
      <c r="X125" s="9" cm="1">
        <f t="array" ref="X1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25" s="12">
        <f>VLOOKUP(Шаблон_Формулы[[#This Row],[24]],Курс_840[[Дата]:[Курс]],2,0)</f>
        <v>12089</v>
      </c>
      <c r="Z125" s="42" t="str">
        <f>IFERROR(Шаблон_Формулы[[#This Row],[23]]*Шаблон_Формулы[[#This Row],[25]],"")</f>
        <v/>
      </c>
      <c r="AA125" s="13" t="str" cm="1">
        <f t="array" ref="AA125">ACT_number[№ исходящего акта]</f>
        <v>468 LCL</v>
      </c>
    </row>
    <row r="126" spans="1:27" s="8" customFormat="1" ht="12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37" t="str" cm="1">
        <f t="array" ref="E126">_xlfn.XLOOKUP($A126,ACT[[№]:[№]],ACT[Date of Dispatch/ 
Дата отгрузки],"",0,1)</f>
        <v/>
      </c>
      <c r="F126" s="38" t="str" cm="1">
        <f t="array" ref="F126">_xlfn.XLOOKUP($A126,ACT[[№]:[№]],ACT[Supplier/ Поставщик],"",0,1)</f>
        <v/>
      </c>
      <c r="G126" s="38" t="str" cm="1">
        <f t="array" ref="G126">_xlfn.XLOOKUP($A126,ACT[[№]:[№]],ACT[Supplier Invoice No/                          № Инвойса Поставщика],"",0,1)</f>
        <v/>
      </c>
      <c r="H126" s="39" t="str" cm="1">
        <f t="array" ref="H126">_xlfn.XLOOKUP($A126,ACT[[№]:[№]],ACT[CBM],"",0,1)</f>
        <v/>
      </c>
      <c r="I126" s="39" t="str" cm="1">
        <f t="array" ref="I126">_xlfn.XLOOKUP($A126,ACT[[№]:[№]],ACT[Gross weight, kg/ Вес брутто, кг],"",0,1)</f>
        <v/>
      </c>
      <c r="J126" s="39" t="str" cm="1">
        <f t="array" ref="J126">_xlfn.XLOOKUP($A126,ACT[[№]:[№]],ACT[Delivery terms / Условия поставки],"",0,1)</f>
        <v/>
      </c>
      <c r="K126" s="39" t="str" cm="1">
        <f t="array" ref="K126">_xlfn.XLOOKUP($A126,ACT[[№]:[№]],ACT[Container total CBM],"",0,1)</f>
        <v/>
      </c>
      <c r="L126" s="40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40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40" t="str" cm="1">
        <f t="array" ref="N126">_xlfn.XLOOKUP($A126,ACT[[№]:[№]],ACT[Shoring, Banding, Sealing, Handling/ Крепление, Перевязка, Опечатование, Обработка
KRW],"",0,1)</f>
        <v/>
      </c>
      <c r="O126" s="40" t="str" cm="1">
        <f t="array" ref="O126">_xlfn.XLOOKUP($A126,ACT[[№]:[№]],ACT[Documents Work/ Сбор за подготовку документов
KRW],"",0,1)</f>
        <v/>
      </c>
      <c r="P126" s="40" t="str" cm="1">
        <f t="array" ref="P126">_xlfn.XLOOKUP($A126,ACT[[№]:[№]],ACT[THC/ Терминальная обработка
KRW],"",0,1)</f>
        <v/>
      </c>
      <c r="Q126" s="40" t="str" cm="1">
        <f t="array" ref="Q126">_xlfn.XLOOKUP($A126,ACT[[№]:[№]],ACT[Wharfage/ Портовая пошлина
KRW],"",0,1)</f>
        <v/>
      </c>
      <c r="R126" s="40" t="str" cm="1">
        <f t="array" ref="R126">_xlfn.XLOOKUP($A126,ACT[[№]:[№]],ACT[TRUCKING CHARGE],"",0,1)</f>
        <v/>
      </c>
      <c r="S126" s="40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40" t="str" cm="1">
        <f t="array" ref="T126">_xlfn.XLOOKUP($A126,ACT[[№]:[№]],ACT[Special Wooden Shoring / Специальное деревянное крепление],"",0,1)</f>
        <v/>
      </c>
      <c r="U126" s="9"/>
      <c r="V126" s="40" t="str" cm="1">
        <f t="array" ref="V126">_xlfn.XLOOKUP($A126,ACT[[№]:[№]],ACT[Total amount/ Общая стоимость KRW (10+11+12+13+14+15+16)],"",0,1)</f>
        <v/>
      </c>
      <c r="W126" s="40" t="str" cm="1">
        <f t="array" ref="W126">_xlfn.XLOOKUP($A126,ACT[[№]:[№]],ACT[Total amount/ Общая стоимость (17*exchange rate/ обменный курс)
 USD],"",0,1)</f>
        <v/>
      </c>
      <c r="X126" s="9" cm="1">
        <f t="array" ref="X1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26" s="12">
        <f>VLOOKUP(Шаблон_Формулы[[#This Row],[24]],Курс_840[[Дата]:[Курс]],2,0)</f>
        <v>12089</v>
      </c>
      <c r="Z126" s="42" t="str">
        <f>IFERROR(Шаблон_Формулы[[#This Row],[23]]*Шаблон_Формулы[[#This Row],[25]],"")</f>
        <v/>
      </c>
      <c r="AA126" s="13" t="str" cm="1">
        <f t="array" ref="AA126">ACT_number[№ исходящего акта]</f>
        <v>468 LCL</v>
      </c>
    </row>
    <row r="127" spans="1:27" s="8" customFormat="1" ht="12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37" t="str" cm="1">
        <f t="array" ref="E127">_xlfn.XLOOKUP($A127,ACT[[№]:[№]],ACT[Date of Dispatch/ 
Дата отгрузки],"",0,1)</f>
        <v/>
      </c>
      <c r="F127" s="38" t="str" cm="1">
        <f t="array" ref="F127">_xlfn.XLOOKUP($A127,ACT[[№]:[№]],ACT[Supplier/ Поставщик],"",0,1)</f>
        <v/>
      </c>
      <c r="G127" s="38" t="str" cm="1">
        <f t="array" ref="G127">_xlfn.XLOOKUP($A127,ACT[[№]:[№]],ACT[Supplier Invoice No/                          № Инвойса Поставщика],"",0,1)</f>
        <v/>
      </c>
      <c r="H127" s="39" t="str" cm="1">
        <f t="array" ref="H127">_xlfn.XLOOKUP($A127,ACT[[№]:[№]],ACT[CBM],"",0,1)</f>
        <v/>
      </c>
      <c r="I127" s="39" t="str" cm="1">
        <f t="array" ref="I127">_xlfn.XLOOKUP($A127,ACT[[№]:[№]],ACT[Gross weight, kg/ Вес брутто, кг],"",0,1)</f>
        <v/>
      </c>
      <c r="J127" s="39" t="str" cm="1">
        <f t="array" ref="J127">_xlfn.XLOOKUP($A127,ACT[[№]:[№]],ACT[Delivery terms / Условия поставки],"",0,1)</f>
        <v/>
      </c>
      <c r="K127" s="39" t="str" cm="1">
        <f t="array" ref="K127">_xlfn.XLOOKUP($A127,ACT[[№]:[№]],ACT[Container total CBM],"",0,1)</f>
        <v/>
      </c>
      <c r="L127" s="40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40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40" t="str" cm="1">
        <f t="array" ref="N127">_xlfn.XLOOKUP($A127,ACT[[№]:[№]],ACT[Shoring, Banding, Sealing, Handling/ Крепление, Перевязка, Опечатование, Обработка
KRW],"",0,1)</f>
        <v/>
      </c>
      <c r="O127" s="40" t="str" cm="1">
        <f t="array" ref="O127">_xlfn.XLOOKUP($A127,ACT[[№]:[№]],ACT[Documents Work/ Сбор за подготовку документов
KRW],"",0,1)</f>
        <v/>
      </c>
      <c r="P127" s="40" t="str" cm="1">
        <f t="array" ref="P127">_xlfn.XLOOKUP($A127,ACT[[№]:[№]],ACT[THC/ Терминальная обработка
KRW],"",0,1)</f>
        <v/>
      </c>
      <c r="Q127" s="40" t="str" cm="1">
        <f t="array" ref="Q127">_xlfn.XLOOKUP($A127,ACT[[№]:[№]],ACT[Wharfage/ Портовая пошлина
KRW],"",0,1)</f>
        <v/>
      </c>
      <c r="R127" s="40" t="str" cm="1">
        <f t="array" ref="R127">_xlfn.XLOOKUP($A127,ACT[[№]:[№]],ACT[TRUCKING CHARGE],"",0,1)</f>
        <v/>
      </c>
      <c r="S127" s="40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40" t="str" cm="1">
        <f t="array" ref="T127">_xlfn.XLOOKUP($A127,ACT[[№]:[№]],ACT[Special Wooden Shoring / Специальное деревянное крепление],"",0,1)</f>
        <v/>
      </c>
      <c r="U127" s="9"/>
      <c r="V127" s="40" t="str" cm="1">
        <f t="array" ref="V127">_xlfn.XLOOKUP($A127,ACT[[№]:[№]],ACT[Total amount/ Общая стоимость KRW (10+11+12+13+14+15+16)],"",0,1)</f>
        <v/>
      </c>
      <c r="W127" s="40" t="str" cm="1">
        <f t="array" ref="W127">_xlfn.XLOOKUP($A127,ACT[[№]:[№]],ACT[Total amount/ Общая стоимость (17*exchange rate/ обменный курс)
 USD],"",0,1)</f>
        <v/>
      </c>
      <c r="X127" s="9" cm="1">
        <f t="array" ref="X1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27" s="12">
        <f>VLOOKUP(Шаблон_Формулы[[#This Row],[24]],Курс_840[[Дата]:[Курс]],2,0)</f>
        <v>12089</v>
      </c>
      <c r="Z127" s="42" t="str">
        <f>IFERROR(Шаблон_Формулы[[#This Row],[23]]*Шаблон_Формулы[[#This Row],[25]],"")</f>
        <v/>
      </c>
      <c r="AA127" s="13" t="str" cm="1">
        <f t="array" ref="AA127">ACT_number[№ исходящего акта]</f>
        <v>468 LCL</v>
      </c>
    </row>
    <row r="128" spans="1:27" s="8" customFormat="1" ht="12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37" t="str" cm="1">
        <f t="array" ref="E128">_xlfn.XLOOKUP($A128,ACT[[№]:[№]],ACT[Date of Dispatch/ 
Дата отгрузки],"",0,1)</f>
        <v/>
      </c>
      <c r="F128" s="38" t="str" cm="1">
        <f t="array" ref="F128">_xlfn.XLOOKUP($A128,ACT[[№]:[№]],ACT[Supplier/ Поставщик],"",0,1)</f>
        <v/>
      </c>
      <c r="G128" s="38" t="str" cm="1">
        <f t="array" ref="G128">_xlfn.XLOOKUP($A128,ACT[[№]:[№]],ACT[Supplier Invoice No/                          № Инвойса Поставщика],"",0,1)</f>
        <v/>
      </c>
      <c r="H128" s="39" t="str" cm="1">
        <f t="array" ref="H128">_xlfn.XLOOKUP($A128,ACT[[№]:[№]],ACT[CBM],"",0,1)</f>
        <v/>
      </c>
      <c r="I128" s="39" t="str" cm="1">
        <f t="array" ref="I128">_xlfn.XLOOKUP($A128,ACT[[№]:[№]],ACT[Gross weight, kg/ Вес брутто, кг],"",0,1)</f>
        <v/>
      </c>
      <c r="J128" s="39" t="str" cm="1">
        <f t="array" ref="J128">_xlfn.XLOOKUP($A128,ACT[[№]:[№]],ACT[Delivery terms / Условия поставки],"",0,1)</f>
        <v/>
      </c>
      <c r="K128" s="39" t="str" cm="1">
        <f t="array" ref="K128">_xlfn.XLOOKUP($A128,ACT[[№]:[№]],ACT[Container total CBM],"",0,1)</f>
        <v/>
      </c>
      <c r="L128" s="40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40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40" t="str" cm="1">
        <f t="array" ref="N128">_xlfn.XLOOKUP($A128,ACT[[№]:[№]],ACT[Shoring, Banding, Sealing, Handling/ Крепление, Перевязка, Опечатование, Обработка
KRW],"",0,1)</f>
        <v/>
      </c>
      <c r="O128" s="40" t="str" cm="1">
        <f t="array" ref="O128">_xlfn.XLOOKUP($A128,ACT[[№]:[№]],ACT[Documents Work/ Сбор за подготовку документов
KRW],"",0,1)</f>
        <v/>
      </c>
      <c r="P128" s="40" t="str" cm="1">
        <f t="array" ref="P128">_xlfn.XLOOKUP($A128,ACT[[№]:[№]],ACT[THC/ Терминальная обработка
KRW],"",0,1)</f>
        <v/>
      </c>
      <c r="Q128" s="40" t="str" cm="1">
        <f t="array" ref="Q128">_xlfn.XLOOKUP($A128,ACT[[№]:[№]],ACT[Wharfage/ Портовая пошлина
KRW],"",0,1)</f>
        <v/>
      </c>
      <c r="R128" s="40" t="str" cm="1">
        <f t="array" ref="R128">_xlfn.XLOOKUP($A128,ACT[[№]:[№]],ACT[TRUCKING CHARGE],"",0,1)</f>
        <v/>
      </c>
      <c r="S128" s="40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40" t="str" cm="1">
        <f t="array" ref="T128">_xlfn.XLOOKUP($A128,ACT[[№]:[№]],ACT[Special Wooden Shoring / Специальное деревянное крепление],"",0,1)</f>
        <v/>
      </c>
      <c r="U128" s="9"/>
      <c r="V128" s="40" t="str" cm="1">
        <f t="array" ref="V128">_xlfn.XLOOKUP($A128,ACT[[№]:[№]],ACT[Total amount/ Общая стоимость KRW (10+11+12+13+14+15+16)],"",0,1)</f>
        <v/>
      </c>
      <c r="W128" s="40" t="str" cm="1">
        <f t="array" ref="W128">_xlfn.XLOOKUP($A128,ACT[[№]:[№]],ACT[Total amount/ Общая стоимость (17*exchange rate/ обменный курс)
 USD],"",0,1)</f>
        <v/>
      </c>
      <c r="X128" s="9" cm="1">
        <f t="array" ref="X1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28" s="12">
        <f>VLOOKUP(Шаблон_Формулы[[#This Row],[24]],Курс_840[[Дата]:[Курс]],2,0)</f>
        <v>12089</v>
      </c>
      <c r="Z128" s="42" t="str">
        <f>IFERROR(Шаблон_Формулы[[#This Row],[23]]*Шаблон_Формулы[[#This Row],[25]],"")</f>
        <v/>
      </c>
      <c r="AA128" s="13" t="str" cm="1">
        <f t="array" ref="AA128">ACT_number[№ исходящего акта]</f>
        <v>468 LCL</v>
      </c>
    </row>
    <row r="129" spans="1:27" s="8" customFormat="1" ht="12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37" t="str" cm="1">
        <f t="array" ref="E129">_xlfn.XLOOKUP($A129,ACT[[№]:[№]],ACT[Date of Dispatch/ 
Дата отгрузки],"",0,1)</f>
        <v/>
      </c>
      <c r="F129" s="38" t="str" cm="1">
        <f t="array" ref="F129">_xlfn.XLOOKUP($A129,ACT[[№]:[№]],ACT[Supplier/ Поставщик],"",0,1)</f>
        <v/>
      </c>
      <c r="G129" s="38" t="str" cm="1">
        <f t="array" ref="G129">_xlfn.XLOOKUP($A129,ACT[[№]:[№]],ACT[Supplier Invoice No/                          № Инвойса Поставщика],"",0,1)</f>
        <v/>
      </c>
      <c r="H129" s="39" t="str" cm="1">
        <f t="array" ref="H129">_xlfn.XLOOKUP($A129,ACT[[№]:[№]],ACT[CBM],"",0,1)</f>
        <v/>
      </c>
      <c r="I129" s="39" t="str" cm="1">
        <f t="array" ref="I129">_xlfn.XLOOKUP($A129,ACT[[№]:[№]],ACT[Gross weight, kg/ Вес брутто, кг],"",0,1)</f>
        <v/>
      </c>
      <c r="J129" s="39" t="str" cm="1">
        <f t="array" ref="J129">_xlfn.XLOOKUP($A129,ACT[[№]:[№]],ACT[Delivery terms / Условия поставки],"",0,1)</f>
        <v/>
      </c>
      <c r="K129" s="39" t="str" cm="1">
        <f t="array" ref="K129">_xlfn.XLOOKUP($A129,ACT[[№]:[№]],ACT[Container total CBM],"",0,1)</f>
        <v/>
      </c>
      <c r="L129" s="40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40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40" t="str" cm="1">
        <f t="array" ref="N129">_xlfn.XLOOKUP($A129,ACT[[№]:[№]],ACT[Shoring, Banding, Sealing, Handling/ Крепление, Перевязка, Опечатование, Обработка
KRW],"",0,1)</f>
        <v/>
      </c>
      <c r="O129" s="40" t="str" cm="1">
        <f t="array" ref="O129">_xlfn.XLOOKUP($A129,ACT[[№]:[№]],ACT[Documents Work/ Сбор за подготовку документов
KRW],"",0,1)</f>
        <v/>
      </c>
      <c r="P129" s="40" t="str" cm="1">
        <f t="array" ref="P129">_xlfn.XLOOKUP($A129,ACT[[№]:[№]],ACT[THC/ Терминальная обработка
KRW],"",0,1)</f>
        <v/>
      </c>
      <c r="Q129" s="40" t="str" cm="1">
        <f t="array" ref="Q129">_xlfn.XLOOKUP($A129,ACT[[№]:[№]],ACT[Wharfage/ Портовая пошлина
KRW],"",0,1)</f>
        <v/>
      </c>
      <c r="R129" s="40" t="str" cm="1">
        <f t="array" ref="R129">_xlfn.XLOOKUP($A129,ACT[[№]:[№]],ACT[TRUCKING CHARGE],"",0,1)</f>
        <v/>
      </c>
      <c r="S129" s="40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40" t="str" cm="1">
        <f t="array" ref="T129">_xlfn.XLOOKUP($A129,ACT[[№]:[№]],ACT[Special Wooden Shoring / Специальное деревянное крепление],"",0,1)</f>
        <v/>
      </c>
      <c r="U129" s="9"/>
      <c r="V129" s="40" t="str" cm="1">
        <f t="array" ref="V129">_xlfn.XLOOKUP($A129,ACT[[№]:[№]],ACT[Total amount/ Общая стоимость KRW (10+11+12+13+14+15+16)],"",0,1)</f>
        <v/>
      </c>
      <c r="W129" s="40" t="str" cm="1">
        <f t="array" ref="W129">_xlfn.XLOOKUP($A129,ACT[[№]:[№]],ACT[Total amount/ Общая стоимость (17*exchange rate/ обменный курс)
 USD],"",0,1)</f>
        <v/>
      </c>
      <c r="X129" s="9" cm="1">
        <f t="array" ref="X1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29" s="12">
        <f>VLOOKUP(Шаблон_Формулы[[#This Row],[24]],Курс_840[[Дата]:[Курс]],2,0)</f>
        <v>12089</v>
      </c>
      <c r="Z129" s="42" t="str">
        <f>IFERROR(Шаблон_Формулы[[#This Row],[23]]*Шаблон_Формулы[[#This Row],[25]],"")</f>
        <v/>
      </c>
      <c r="AA129" s="13" t="str" cm="1">
        <f t="array" ref="AA129">ACT_number[№ исходящего акта]</f>
        <v>468 LCL</v>
      </c>
    </row>
    <row r="130" spans="1:27" s="8" customFormat="1" ht="12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37" t="str" cm="1">
        <f t="array" ref="E130">_xlfn.XLOOKUP($A130,ACT[[№]:[№]],ACT[Date of Dispatch/ 
Дата отгрузки],"",0,1)</f>
        <v/>
      </c>
      <c r="F130" s="38" t="str" cm="1">
        <f t="array" ref="F130">_xlfn.XLOOKUP($A130,ACT[[№]:[№]],ACT[Supplier/ Поставщик],"",0,1)</f>
        <v/>
      </c>
      <c r="G130" s="38" t="str" cm="1">
        <f t="array" ref="G130">_xlfn.XLOOKUP($A130,ACT[[№]:[№]],ACT[Supplier Invoice No/                          № Инвойса Поставщика],"",0,1)</f>
        <v/>
      </c>
      <c r="H130" s="39" t="str" cm="1">
        <f t="array" ref="H130">_xlfn.XLOOKUP($A130,ACT[[№]:[№]],ACT[CBM],"",0,1)</f>
        <v/>
      </c>
      <c r="I130" s="39" t="str" cm="1">
        <f t="array" ref="I130">_xlfn.XLOOKUP($A130,ACT[[№]:[№]],ACT[Gross weight, kg/ Вес брутто, кг],"",0,1)</f>
        <v/>
      </c>
      <c r="J130" s="39" t="str" cm="1">
        <f t="array" ref="J130">_xlfn.XLOOKUP($A130,ACT[[№]:[№]],ACT[Delivery terms / Условия поставки],"",0,1)</f>
        <v/>
      </c>
      <c r="K130" s="39" t="str" cm="1">
        <f t="array" ref="K130">_xlfn.XLOOKUP($A130,ACT[[№]:[№]],ACT[Container total CBM],"",0,1)</f>
        <v/>
      </c>
      <c r="L130" s="40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40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40" t="str" cm="1">
        <f t="array" ref="N130">_xlfn.XLOOKUP($A130,ACT[[№]:[№]],ACT[Shoring, Banding, Sealing, Handling/ Крепление, Перевязка, Опечатование, Обработка
KRW],"",0,1)</f>
        <v/>
      </c>
      <c r="O130" s="40" t="str" cm="1">
        <f t="array" ref="O130">_xlfn.XLOOKUP($A130,ACT[[№]:[№]],ACT[Documents Work/ Сбор за подготовку документов
KRW],"",0,1)</f>
        <v/>
      </c>
      <c r="P130" s="40" t="str" cm="1">
        <f t="array" ref="P130">_xlfn.XLOOKUP($A130,ACT[[№]:[№]],ACT[THC/ Терминальная обработка
KRW],"",0,1)</f>
        <v/>
      </c>
      <c r="Q130" s="40" t="str" cm="1">
        <f t="array" ref="Q130">_xlfn.XLOOKUP($A130,ACT[[№]:[№]],ACT[Wharfage/ Портовая пошлина
KRW],"",0,1)</f>
        <v/>
      </c>
      <c r="R130" s="40" t="str" cm="1">
        <f t="array" ref="R130">_xlfn.XLOOKUP($A130,ACT[[№]:[№]],ACT[TRUCKING CHARGE],"",0,1)</f>
        <v/>
      </c>
      <c r="S130" s="40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40" t="str" cm="1">
        <f t="array" ref="T130">_xlfn.XLOOKUP($A130,ACT[[№]:[№]],ACT[Special Wooden Shoring / Специальное деревянное крепление],"",0,1)</f>
        <v/>
      </c>
      <c r="U130" s="9"/>
      <c r="V130" s="40" t="str" cm="1">
        <f t="array" ref="V130">_xlfn.XLOOKUP($A130,ACT[[№]:[№]],ACT[Total amount/ Общая стоимость KRW (10+11+12+13+14+15+16)],"",0,1)</f>
        <v/>
      </c>
      <c r="W130" s="40" t="str" cm="1">
        <f t="array" ref="W130">_xlfn.XLOOKUP($A130,ACT[[№]:[№]],ACT[Total amount/ Общая стоимость (17*exchange rate/ обменный курс)
 USD],"",0,1)</f>
        <v/>
      </c>
      <c r="X130" s="9" cm="1">
        <f t="array" ref="X1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30" s="12">
        <f>VLOOKUP(Шаблон_Формулы[[#This Row],[24]],Курс_840[[Дата]:[Курс]],2,0)</f>
        <v>12089</v>
      </c>
      <c r="Z130" s="42" t="str">
        <f>IFERROR(Шаблон_Формулы[[#This Row],[23]]*Шаблон_Формулы[[#This Row],[25]],"")</f>
        <v/>
      </c>
      <c r="AA130" s="13" t="str" cm="1">
        <f t="array" ref="AA130">ACT_number[№ исходящего акта]</f>
        <v>468 LCL</v>
      </c>
    </row>
    <row r="131" spans="1:27" s="8" customFormat="1" ht="12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37" t="str" cm="1">
        <f t="array" ref="E131">_xlfn.XLOOKUP($A131,ACT[[№]:[№]],ACT[Date of Dispatch/ 
Дата отгрузки],"",0,1)</f>
        <v/>
      </c>
      <c r="F131" s="38" t="str" cm="1">
        <f t="array" ref="F131">_xlfn.XLOOKUP($A131,ACT[[№]:[№]],ACT[Supplier/ Поставщик],"",0,1)</f>
        <v/>
      </c>
      <c r="G131" s="38" t="str" cm="1">
        <f t="array" ref="G131">_xlfn.XLOOKUP($A131,ACT[[№]:[№]],ACT[Supplier Invoice No/                          № Инвойса Поставщика],"",0,1)</f>
        <v/>
      </c>
      <c r="H131" s="39" t="str" cm="1">
        <f t="array" ref="H131">_xlfn.XLOOKUP($A131,ACT[[№]:[№]],ACT[CBM],"",0,1)</f>
        <v/>
      </c>
      <c r="I131" s="39" t="str" cm="1">
        <f t="array" ref="I131">_xlfn.XLOOKUP($A131,ACT[[№]:[№]],ACT[Gross weight, kg/ Вес брутто, кг],"",0,1)</f>
        <v/>
      </c>
      <c r="J131" s="39" t="str" cm="1">
        <f t="array" ref="J131">_xlfn.XLOOKUP($A131,ACT[[№]:[№]],ACT[Delivery terms / Условия поставки],"",0,1)</f>
        <v/>
      </c>
      <c r="K131" s="39" t="str" cm="1">
        <f t="array" ref="K131">_xlfn.XLOOKUP($A131,ACT[[№]:[№]],ACT[Container total CBM],"",0,1)</f>
        <v/>
      </c>
      <c r="L131" s="40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40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40" t="str" cm="1">
        <f t="array" ref="N131">_xlfn.XLOOKUP($A131,ACT[[№]:[№]],ACT[Shoring, Banding, Sealing, Handling/ Крепление, Перевязка, Опечатование, Обработка
KRW],"",0,1)</f>
        <v/>
      </c>
      <c r="O131" s="40" t="str" cm="1">
        <f t="array" ref="O131">_xlfn.XLOOKUP($A131,ACT[[№]:[№]],ACT[Documents Work/ Сбор за подготовку документов
KRW],"",0,1)</f>
        <v/>
      </c>
      <c r="P131" s="40" t="str" cm="1">
        <f t="array" ref="P131">_xlfn.XLOOKUP($A131,ACT[[№]:[№]],ACT[THC/ Терминальная обработка
KRW],"",0,1)</f>
        <v/>
      </c>
      <c r="Q131" s="40" t="str" cm="1">
        <f t="array" ref="Q131">_xlfn.XLOOKUP($A131,ACT[[№]:[№]],ACT[Wharfage/ Портовая пошлина
KRW],"",0,1)</f>
        <v/>
      </c>
      <c r="R131" s="40" t="str" cm="1">
        <f t="array" ref="R131">_xlfn.XLOOKUP($A131,ACT[[№]:[№]],ACT[TRUCKING CHARGE],"",0,1)</f>
        <v/>
      </c>
      <c r="S131" s="40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40" t="str" cm="1">
        <f t="array" ref="T131">_xlfn.XLOOKUP($A131,ACT[[№]:[№]],ACT[Special Wooden Shoring / Специальное деревянное крепление],"",0,1)</f>
        <v/>
      </c>
      <c r="U131" s="9"/>
      <c r="V131" s="40" t="str" cm="1">
        <f t="array" ref="V131">_xlfn.XLOOKUP($A131,ACT[[№]:[№]],ACT[Total amount/ Общая стоимость KRW (10+11+12+13+14+15+16)],"",0,1)</f>
        <v/>
      </c>
      <c r="W131" s="40" t="str" cm="1">
        <f t="array" ref="W131">_xlfn.XLOOKUP($A131,ACT[[№]:[№]],ACT[Total amount/ Общая стоимость (17*exchange rate/ обменный курс)
 USD],"",0,1)</f>
        <v/>
      </c>
      <c r="X131" s="9" cm="1">
        <f t="array" ref="X1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31" s="12">
        <f>VLOOKUP(Шаблон_Формулы[[#This Row],[24]],Курс_840[[Дата]:[Курс]],2,0)</f>
        <v>12089</v>
      </c>
      <c r="Z131" s="42" t="str">
        <f>IFERROR(Шаблон_Формулы[[#This Row],[23]]*Шаблон_Формулы[[#This Row],[25]],"")</f>
        <v/>
      </c>
      <c r="AA131" s="13" t="str" cm="1">
        <f t="array" ref="AA131">ACT_number[№ исходящего акта]</f>
        <v>468 LCL</v>
      </c>
    </row>
    <row r="132" spans="1:27" s="8" customFormat="1" ht="12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37" t="str" cm="1">
        <f t="array" ref="E132">_xlfn.XLOOKUP($A132,ACT[[№]:[№]],ACT[Date of Dispatch/ 
Дата отгрузки],"",0,1)</f>
        <v/>
      </c>
      <c r="F132" s="38" t="str" cm="1">
        <f t="array" ref="F132">_xlfn.XLOOKUP($A132,ACT[[№]:[№]],ACT[Supplier/ Поставщик],"",0,1)</f>
        <v/>
      </c>
      <c r="G132" s="38" t="str" cm="1">
        <f t="array" ref="G132">_xlfn.XLOOKUP($A132,ACT[[№]:[№]],ACT[Supplier Invoice No/                          № Инвойса Поставщика],"",0,1)</f>
        <v/>
      </c>
      <c r="H132" s="39" t="str" cm="1">
        <f t="array" ref="H132">_xlfn.XLOOKUP($A132,ACT[[№]:[№]],ACT[CBM],"",0,1)</f>
        <v/>
      </c>
      <c r="I132" s="39" t="str" cm="1">
        <f t="array" ref="I132">_xlfn.XLOOKUP($A132,ACT[[№]:[№]],ACT[Gross weight, kg/ Вес брутто, кг],"",0,1)</f>
        <v/>
      </c>
      <c r="J132" s="39" t="str" cm="1">
        <f t="array" ref="J132">_xlfn.XLOOKUP($A132,ACT[[№]:[№]],ACT[Delivery terms / Условия поставки],"",0,1)</f>
        <v/>
      </c>
      <c r="K132" s="39" t="str" cm="1">
        <f t="array" ref="K132">_xlfn.XLOOKUP($A132,ACT[[№]:[№]],ACT[Container total CBM],"",0,1)</f>
        <v/>
      </c>
      <c r="L132" s="40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40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40" t="str" cm="1">
        <f t="array" ref="N132">_xlfn.XLOOKUP($A132,ACT[[№]:[№]],ACT[Shoring, Banding, Sealing, Handling/ Крепление, Перевязка, Опечатование, Обработка
KRW],"",0,1)</f>
        <v/>
      </c>
      <c r="O132" s="40" t="str" cm="1">
        <f t="array" ref="O132">_xlfn.XLOOKUP($A132,ACT[[№]:[№]],ACT[Documents Work/ Сбор за подготовку документов
KRW],"",0,1)</f>
        <v/>
      </c>
      <c r="P132" s="40" t="str" cm="1">
        <f t="array" ref="P132">_xlfn.XLOOKUP($A132,ACT[[№]:[№]],ACT[THC/ Терминальная обработка
KRW],"",0,1)</f>
        <v/>
      </c>
      <c r="Q132" s="40" t="str" cm="1">
        <f t="array" ref="Q132">_xlfn.XLOOKUP($A132,ACT[[№]:[№]],ACT[Wharfage/ Портовая пошлина
KRW],"",0,1)</f>
        <v/>
      </c>
      <c r="R132" s="40" t="str" cm="1">
        <f t="array" ref="R132">_xlfn.XLOOKUP($A132,ACT[[№]:[№]],ACT[TRUCKING CHARGE],"",0,1)</f>
        <v/>
      </c>
      <c r="S132" s="40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40" t="str" cm="1">
        <f t="array" ref="T132">_xlfn.XLOOKUP($A132,ACT[[№]:[№]],ACT[Special Wooden Shoring / Специальное деревянное крепление],"",0,1)</f>
        <v/>
      </c>
      <c r="U132" s="9"/>
      <c r="V132" s="40" t="str" cm="1">
        <f t="array" ref="V132">_xlfn.XLOOKUP($A132,ACT[[№]:[№]],ACT[Total amount/ Общая стоимость KRW (10+11+12+13+14+15+16)],"",0,1)</f>
        <v/>
      </c>
      <c r="W132" s="40" t="str" cm="1">
        <f t="array" ref="W132">_xlfn.XLOOKUP($A132,ACT[[№]:[№]],ACT[Total amount/ Общая стоимость (17*exchange rate/ обменный курс)
 USD],"",0,1)</f>
        <v/>
      </c>
      <c r="X132" s="9" cm="1">
        <f t="array" ref="X1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32" s="12">
        <f>VLOOKUP(Шаблон_Формулы[[#This Row],[24]],Курс_840[[Дата]:[Курс]],2,0)</f>
        <v>12089</v>
      </c>
      <c r="Z132" s="42" t="str">
        <f>IFERROR(Шаблон_Формулы[[#This Row],[23]]*Шаблон_Формулы[[#This Row],[25]],"")</f>
        <v/>
      </c>
      <c r="AA132" s="13" t="str" cm="1">
        <f t="array" ref="AA132">ACT_number[№ исходящего акта]</f>
        <v>468 LCL</v>
      </c>
    </row>
    <row r="133" spans="1:27" s="8" customFormat="1" ht="12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37" t="str" cm="1">
        <f t="array" ref="E133">_xlfn.XLOOKUP($A133,ACT[[№]:[№]],ACT[Date of Dispatch/ 
Дата отгрузки],"",0,1)</f>
        <v/>
      </c>
      <c r="F133" s="38" t="str" cm="1">
        <f t="array" ref="F133">_xlfn.XLOOKUP($A133,ACT[[№]:[№]],ACT[Supplier/ Поставщик],"",0,1)</f>
        <v/>
      </c>
      <c r="G133" s="38" t="str" cm="1">
        <f t="array" ref="G133">_xlfn.XLOOKUP($A133,ACT[[№]:[№]],ACT[Supplier Invoice No/                          № Инвойса Поставщика],"",0,1)</f>
        <v/>
      </c>
      <c r="H133" s="39" t="str" cm="1">
        <f t="array" ref="H133">_xlfn.XLOOKUP($A133,ACT[[№]:[№]],ACT[CBM],"",0,1)</f>
        <v/>
      </c>
      <c r="I133" s="39" t="str" cm="1">
        <f t="array" ref="I133">_xlfn.XLOOKUP($A133,ACT[[№]:[№]],ACT[Gross weight, kg/ Вес брутто, кг],"",0,1)</f>
        <v/>
      </c>
      <c r="J133" s="39" t="str" cm="1">
        <f t="array" ref="J133">_xlfn.XLOOKUP($A133,ACT[[№]:[№]],ACT[Delivery terms / Условия поставки],"",0,1)</f>
        <v/>
      </c>
      <c r="K133" s="39" t="str" cm="1">
        <f t="array" ref="K133">_xlfn.XLOOKUP($A133,ACT[[№]:[№]],ACT[Container total CBM],"",0,1)</f>
        <v/>
      </c>
      <c r="L133" s="40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40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40" t="str" cm="1">
        <f t="array" ref="N133">_xlfn.XLOOKUP($A133,ACT[[№]:[№]],ACT[Shoring, Banding, Sealing, Handling/ Крепление, Перевязка, Опечатование, Обработка
KRW],"",0,1)</f>
        <v/>
      </c>
      <c r="O133" s="40" t="str" cm="1">
        <f t="array" ref="O133">_xlfn.XLOOKUP($A133,ACT[[№]:[№]],ACT[Documents Work/ Сбор за подготовку документов
KRW],"",0,1)</f>
        <v/>
      </c>
      <c r="P133" s="40" t="str" cm="1">
        <f t="array" ref="P133">_xlfn.XLOOKUP($A133,ACT[[№]:[№]],ACT[THC/ Терминальная обработка
KRW],"",0,1)</f>
        <v/>
      </c>
      <c r="Q133" s="40" t="str" cm="1">
        <f t="array" ref="Q133">_xlfn.XLOOKUP($A133,ACT[[№]:[№]],ACT[Wharfage/ Портовая пошлина
KRW],"",0,1)</f>
        <v/>
      </c>
      <c r="R133" s="40" t="str" cm="1">
        <f t="array" ref="R133">_xlfn.XLOOKUP($A133,ACT[[№]:[№]],ACT[TRUCKING CHARGE],"",0,1)</f>
        <v/>
      </c>
      <c r="S133" s="40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40" t="str" cm="1">
        <f t="array" ref="T133">_xlfn.XLOOKUP($A133,ACT[[№]:[№]],ACT[Special Wooden Shoring / Специальное деревянное крепление],"",0,1)</f>
        <v/>
      </c>
      <c r="U133" s="9"/>
      <c r="V133" s="40" t="str" cm="1">
        <f t="array" ref="V133">_xlfn.XLOOKUP($A133,ACT[[№]:[№]],ACT[Total amount/ Общая стоимость KRW (10+11+12+13+14+15+16)],"",0,1)</f>
        <v/>
      </c>
      <c r="W133" s="40" t="str" cm="1">
        <f t="array" ref="W133">_xlfn.XLOOKUP($A133,ACT[[№]:[№]],ACT[Total amount/ Общая стоимость (17*exchange rate/ обменный курс)
 USD],"",0,1)</f>
        <v/>
      </c>
      <c r="X133" s="9" cm="1">
        <f t="array" ref="X1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33" s="12">
        <f>VLOOKUP(Шаблон_Формулы[[#This Row],[24]],Курс_840[[Дата]:[Курс]],2,0)</f>
        <v>12089</v>
      </c>
      <c r="Z133" s="42" t="str">
        <f>IFERROR(Шаблон_Формулы[[#This Row],[23]]*Шаблон_Формулы[[#This Row],[25]],"")</f>
        <v/>
      </c>
      <c r="AA133" s="13" t="str" cm="1">
        <f t="array" ref="AA133">ACT_number[№ исходящего акта]</f>
        <v>468 LCL</v>
      </c>
    </row>
    <row r="134" spans="1:27" s="8" customFormat="1" ht="12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37" t="str" cm="1">
        <f t="array" ref="E134">_xlfn.XLOOKUP($A134,ACT[[№]:[№]],ACT[Date of Dispatch/ 
Дата отгрузки],"",0,1)</f>
        <v/>
      </c>
      <c r="F134" s="38" t="str" cm="1">
        <f t="array" ref="F134">_xlfn.XLOOKUP($A134,ACT[[№]:[№]],ACT[Supplier/ Поставщик],"",0,1)</f>
        <v/>
      </c>
      <c r="G134" s="38" t="str" cm="1">
        <f t="array" ref="G134">_xlfn.XLOOKUP($A134,ACT[[№]:[№]],ACT[Supplier Invoice No/                          № Инвойса Поставщика],"",0,1)</f>
        <v/>
      </c>
      <c r="H134" s="39" t="str" cm="1">
        <f t="array" ref="H134">_xlfn.XLOOKUP($A134,ACT[[№]:[№]],ACT[CBM],"",0,1)</f>
        <v/>
      </c>
      <c r="I134" s="39" t="str" cm="1">
        <f t="array" ref="I134">_xlfn.XLOOKUP($A134,ACT[[№]:[№]],ACT[Gross weight, kg/ Вес брутто, кг],"",0,1)</f>
        <v/>
      </c>
      <c r="J134" s="39" t="str" cm="1">
        <f t="array" ref="J134">_xlfn.XLOOKUP($A134,ACT[[№]:[№]],ACT[Delivery terms / Условия поставки],"",0,1)</f>
        <v/>
      </c>
      <c r="K134" s="39" t="str" cm="1">
        <f t="array" ref="K134">_xlfn.XLOOKUP($A134,ACT[[№]:[№]],ACT[Container total CBM],"",0,1)</f>
        <v/>
      </c>
      <c r="L134" s="40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40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40" t="str" cm="1">
        <f t="array" ref="N134">_xlfn.XLOOKUP($A134,ACT[[№]:[№]],ACT[Shoring, Banding, Sealing, Handling/ Крепление, Перевязка, Опечатование, Обработка
KRW],"",0,1)</f>
        <v/>
      </c>
      <c r="O134" s="40" t="str" cm="1">
        <f t="array" ref="O134">_xlfn.XLOOKUP($A134,ACT[[№]:[№]],ACT[Documents Work/ Сбор за подготовку документов
KRW],"",0,1)</f>
        <v/>
      </c>
      <c r="P134" s="40" t="str" cm="1">
        <f t="array" ref="P134">_xlfn.XLOOKUP($A134,ACT[[№]:[№]],ACT[THC/ Терминальная обработка
KRW],"",0,1)</f>
        <v/>
      </c>
      <c r="Q134" s="40" t="str" cm="1">
        <f t="array" ref="Q134">_xlfn.XLOOKUP($A134,ACT[[№]:[№]],ACT[Wharfage/ Портовая пошлина
KRW],"",0,1)</f>
        <v/>
      </c>
      <c r="R134" s="40" t="str" cm="1">
        <f t="array" ref="R134">_xlfn.XLOOKUP($A134,ACT[[№]:[№]],ACT[TRUCKING CHARGE],"",0,1)</f>
        <v/>
      </c>
      <c r="S134" s="40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40" t="str" cm="1">
        <f t="array" ref="T134">_xlfn.XLOOKUP($A134,ACT[[№]:[№]],ACT[Special Wooden Shoring / Специальное деревянное крепление],"",0,1)</f>
        <v/>
      </c>
      <c r="U134" s="9"/>
      <c r="V134" s="40" t="str" cm="1">
        <f t="array" ref="V134">_xlfn.XLOOKUP($A134,ACT[[№]:[№]],ACT[Total amount/ Общая стоимость KRW (10+11+12+13+14+15+16)],"",0,1)</f>
        <v/>
      </c>
      <c r="W134" s="40" t="str" cm="1">
        <f t="array" ref="W134">_xlfn.XLOOKUP($A134,ACT[[№]:[№]],ACT[Total amount/ Общая стоимость (17*exchange rate/ обменный курс)
 USD],"",0,1)</f>
        <v/>
      </c>
      <c r="X134" s="9" cm="1">
        <f t="array" ref="X1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34" s="12">
        <f>VLOOKUP(Шаблон_Формулы[[#This Row],[24]],Курс_840[[Дата]:[Курс]],2,0)</f>
        <v>12089</v>
      </c>
      <c r="Z134" s="42" t="str">
        <f>IFERROR(Шаблон_Формулы[[#This Row],[23]]*Шаблон_Формулы[[#This Row],[25]],"")</f>
        <v/>
      </c>
      <c r="AA134" s="13" t="str" cm="1">
        <f t="array" ref="AA134">ACT_number[№ исходящего акта]</f>
        <v>468 LCL</v>
      </c>
    </row>
    <row r="135" spans="1:27" s="8" customFormat="1" ht="12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37" t="str" cm="1">
        <f t="array" ref="E135">_xlfn.XLOOKUP($A135,ACT[[№]:[№]],ACT[Date of Dispatch/ 
Дата отгрузки],"",0,1)</f>
        <v/>
      </c>
      <c r="F135" s="38" t="str" cm="1">
        <f t="array" ref="F135">_xlfn.XLOOKUP($A135,ACT[[№]:[№]],ACT[Supplier/ Поставщик],"",0,1)</f>
        <v/>
      </c>
      <c r="G135" s="38" t="str" cm="1">
        <f t="array" ref="G135">_xlfn.XLOOKUP($A135,ACT[[№]:[№]],ACT[Supplier Invoice No/                          № Инвойса Поставщика],"",0,1)</f>
        <v/>
      </c>
      <c r="H135" s="39" t="str" cm="1">
        <f t="array" ref="H135">_xlfn.XLOOKUP($A135,ACT[[№]:[№]],ACT[CBM],"",0,1)</f>
        <v/>
      </c>
      <c r="I135" s="39" t="str" cm="1">
        <f t="array" ref="I135">_xlfn.XLOOKUP($A135,ACT[[№]:[№]],ACT[Gross weight, kg/ Вес брутто, кг],"",0,1)</f>
        <v/>
      </c>
      <c r="J135" s="39" t="str" cm="1">
        <f t="array" ref="J135">_xlfn.XLOOKUP($A135,ACT[[№]:[№]],ACT[Delivery terms / Условия поставки],"",0,1)</f>
        <v/>
      </c>
      <c r="K135" s="39" t="str" cm="1">
        <f t="array" ref="K135">_xlfn.XLOOKUP($A135,ACT[[№]:[№]],ACT[Container total CBM],"",0,1)</f>
        <v/>
      </c>
      <c r="L135" s="40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40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40" t="str" cm="1">
        <f t="array" ref="N135">_xlfn.XLOOKUP($A135,ACT[[№]:[№]],ACT[Shoring, Banding, Sealing, Handling/ Крепление, Перевязка, Опечатование, Обработка
KRW],"",0,1)</f>
        <v/>
      </c>
      <c r="O135" s="40" t="str" cm="1">
        <f t="array" ref="O135">_xlfn.XLOOKUP($A135,ACT[[№]:[№]],ACT[Documents Work/ Сбор за подготовку документов
KRW],"",0,1)</f>
        <v/>
      </c>
      <c r="P135" s="40" t="str" cm="1">
        <f t="array" ref="P135">_xlfn.XLOOKUP($A135,ACT[[№]:[№]],ACT[THC/ Терминальная обработка
KRW],"",0,1)</f>
        <v/>
      </c>
      <c r="Q135" s="40" t="str" cm="1">
        <f t="array" ref="Q135">_xlfn.XLOOKUP($A135,ACT[[№]:[№]],ACT[Wharfage/ Портовая пошлина
KRW],"",0,1)</f>
        <v/>
      </c>
      <c r="R135" s="40" t="str" cm="1">
        <f t="array" ref="R135">_xlfn.XLOOKUP($A135,ACT[[№]:[№]],ACT[TRUCKING CHARGE],"",0,1)</f>
        <v/>
      </c>
      <c r="S135" s="40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40" t="str" cm="1">
        <f t="array" ref="T135">_xlfn.XLOOKUP($A135,ACT[[№]:[№]],ACT[Special Wooden Shoring / Специальное деревянное крепление],"",0,1)</f>
        <v/>
      </c>
      <c r="U135" s="9"/>
      <c r="V135" s="40" t="str" cm="1">
        <f t="array" ref="V135">_xlfn.XLOOKUP($A135,ACT[[№]:[№]],ACT[Total amount/ Общая стоимость KRW (10+11+12+13+14+15+16)],"",0,1)</f>
        <v/>
      </c>
      <c r="W135" s="40" t="str" cm="1">
        <f t="array" ref="W135">_xlfn.XLOOKUP($A135,ACT[[№]:[№]],ACT[Total amount/ Общая стоимость (17*exchange rate/ обменный курс)
 USD],"",0,1)</f>
        <v/>
      </c>
      <c r="X135" s="9" cm="1">
        <f t="array" ref="X1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35" s="12">
        <f>VLOOKUP(Шаблон_Формулы[[#This Row],[24]],Курс_840[[Дата]:[Курс]],2,0)</f>
        <v>12089</v>
      </c>
      <c r="Z135" s="42" t="str">
        <f>IFERROR(Шаблон_Формулы[[#This Row],[23]]*Шаблон_Формулы[[#This Row],[25]],"")</f>
        <v/>
      </c>
      <c r="AA135" s="13" t="str" cm="1">
        <f t="array" ref="AA135">ACT_number[№ исходящего акта]</f>
        <v>468 LCL</v>
      </c>
    </row>
    <row r="136" spans="1:27" s="8" customFormat="1" ht="12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37" t="str" cm="1">
        <f t="array" ref="E136">_xlfn.XLOOKUP($A136,ACT[[№]:[№]],ACT[Date of Dispatch/ 
Дата отгрузки],"",0,1)</f>
        <v/>
      </c>
      <c r="F136" s="38" t="str" cm="1">
        <f t="array" ref="F136">_xlfn.XLOOKUP($A136,ACT[[№]:[№]],ACT[Supplier/ Поставщик],"",0,1)</f>
        <v/>
      </c>
      <c r="G136" s="38" t="str" cm="1">
        <f t="array" ref="G136">_xlfn.XLOOKUP($A136,ACT[[№]:[№]],ACT[Supplier Invoice No/                          № Инвойса Поставщика],"",0,1)</f>
        <v/>
      </c>
      <c r="H136" s="39" t="str" cm="1">
        <f t="array" ref="H136">_xlfn.XLOOKUP($A136,ACT[[№]:[№]],ACT[CBM],"",0,1)</f>
        <v/>
      </c>
      <c r="I136" s="39" t="str" cm="1">
        <f t="array" ref="I136">_xlfn.XLOOKUP($A136,ACT[[№]:[№]],ACT[Gross weight, kg/ Вес брутто, кг],"",0,1)</f>
        <v/>
      </c>
      <c r="J136" s="39" t="str" cm="1">
        <f t="array" ref="J136">_xlfn.XLOOKUP($A136,ACT[[№]:[№]],ACT[Delivery terms / Условия поставки],"",0,1)</f>
        <v/>
      </c>
      <c r="K136" s="39" t="str" cm="1">
        <f t="array" ref="K136">_xlfn.XLOOKUP($A136,ACT[[№]:[№]],ACT[Container total CBM],"",0,1)</f>
        <v/>
      </c>
      <c r="L136" s="40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40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40" t="str" cm="1">
        <f t="array" ref="N136">_xlfn.XLOOKUP($A136,ACT[[№]:[№]],ACT[Shoring, Banding, Sealing, Handling/ Крепление, Перевязка, Опечатование, Обработка
KRW],"",0,1)</f>
        <v/>
      </c>
      <c r="O136" s="40" t="str" cm="1">
        <f t="array" ref="O136">_xlfn.XLOOKUP($A136,ACT[[№]:[№]],ACT[Documents Work/ Сбор за подготовку документов
KRW],"",0,1)</f>
        <v/>
      </c>
      <c r="P136" s="40" t="str" cm="1">
        <f t="array" ref="P136">_xlfn.XLOOKUP($A136,ACT[[№]:[№]],ACT[THC/ Терминальная обработка
KRW],"",0,1)</f>
        <v/>
      </c>
      <c r="Q136" s="40" t="str" cm="1">
        <f t="array" ref="Q136">_xlfn.XLOOKUP($A136,ACT[[№]:[№]],ACT[Wharfage/ Портовая пошлина
KRW],"",0,1)</f>
        <v/>
      </c>
      <c r="R136" s="40" t="str" cm="1">
        <f t="array" ref="R136">_xlfn.XLOOKUP($A136,ACT[[№]:[№]],ACT[TRUCKING CHARGE],"",0,1)</f>
        <v/>
      </c>
      <c r="S136" s="40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40" t="str" cm="1">
        <f t="array" ref="T136">_xlfn.XLOOKUP($A136,ACT[[№]:[№]],ACT[Special Wooden Shoring / Специальное деревянное крепление],"",0,1)</f>
        <v/>
      </c>
      <c r="U136" s="9"/>
      <c r="V136" s="40" t="str" cm="1">
        <f t="array" ref="V136">_xlfn.XLOOKUP($A136,ACT[[№]:[№]],ACT[Total amount/ Общая стоимость KRW (10+11+12+13+14+15+16)],"",0,1)</f>
        <v/>
      </c>
      <c r="W136" s="40" t="str" cm="1">
        <f t="array" ref="W136">_xlfn.XLOOKUP($A136,ACT[[№]:[№]],ACT[Total amount/ Общая стоимость (17*exchange rate/ обменный курс)
 USD],"",0,1)</f>
        <v/>
      </c>
      <c r="X136" s="9" cm="1">
        <f t="array" ref="X1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36" s="12">
        <f>VLOOKUP(Шаблон_Формулы[[#This Row],[24]],Курс_840[[Дата]:[Курс]],2,0)</f>
        <v>12089</v>
      </c>
      <c r="Z136" s="42" t="str">
        <f>IFERROR(Шаблон_Формулы[[#This Row],[23]]*Шаблон_Формулы[[#This Row],[25]],"")</f>
        <v/>
      </c>
      <c r="AA136" s="13" t="str" cm="1">
        <f t="array" ref="AA136">ACT_number[№ исходящего акта]</f>
        <v>468 LCL</v>
      </c>
    </row>
    <row r="137" spans="1:27" s="8" customFormat="1" ht="12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37" t="str" cm="1">
        <f t="array" ref="E137">_xlfn.XLOOKUP($A137,ACT[[№]:[№]],ACT[Date of Dispatch/ 
Дата отгрузки],"",0,1)</f>
        <v/>
      </c>
      <c r="F137" s="38" t="str" cm="1">
        <f t="array" ref="F137">_xlfn.XLOOKUP($A137,ACT[[№]:[№]],ACT[Supplier/ Поставщик],"",0,1)</f>
        <v/>
      </c>
      <c r="G137" s="38" t="str" cm="1">
        <f t="array" ref="G137">_xlfn.XLOOKUP($A137,ACT[[№]:[№]],ACT[Supplier Invoice No/                          № Инвойса Поставщика],"",0,1)</f>
        <v/>
      </c>
      <c r="H137" s="39" t="str" cm="1">
        <f t="array" ref="H137">_xlfn.XLOOKUP($A137,ACT[[№]:[№]],ACT[CBM],"",0,1)</f>
        <v/>
      </c>
      <c r="I137" s="39" t="str" cm="1">
        <f t="array" ref="I137">_xlfn.XLOOKUP($A137,ACT[[№]:[№]],ACT[Gross weight, kg/ Вес брутто, кг],"",0,1)</f>
        <v/>
      </c>
      <c r="J137" s="39" t="str" cm="1">
        <f t="array" ref="J137">_xlfn.XLOOKUP($A137,ACT[[№]:[№]],ACT[Delivery terms / Условия поставки],"",0,1)</f>
        <v/>
      </c>
      <c r="K137" s="39" t="str" cm="1">
        <f t="array" ref="K137">_xlfn.XLOOKUP($A137,ACT[[№]:[№]],ACT[Container total CBM],"",0,1)</f>
        <v/>
      </c>
      <c r="L137" s="40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40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40" t="str" cm="1">
        <f t="array" ref="N137">_xlfn.XLOOKUP($A137,ACT[[№]:[№]],ACT[Shoring, Banding, Sealing, Handling/ Крепление, Перевязка, Опечатование, Обработка
KRW],"",0,1)</f>
        <v/>
      </c>
      <c r="O137" s="40" t="str" cm="1">
        <f t="array" ref="O137">_xlfn.XLOOKUP($A137,ACT[[№]:[№]],ACT[Documents Work/ Сбор за подготовку документов
KRW],"",0,1)</f>
        <v/>
      </c>
      <c r="P137" s="40" t="str" cm="1">
        <f t="array" ref="P137">_xlfn.XLOOKUP($A137,ACT[[№]:[№]],ACT[THC/ Терминальная обработка
KRW],"",0,1)</f>
        <v/>
      </c>
      <c r="Q137" s="40" t="str" cm="1">
        <f t="array" ref="Q137">_xlfn.XLOOKUP($A137,ACT[[№]:[№]],ACT[Wharfage/ Портовая пошлина
KRW],"",0,1)</f>
        <v/>
      </c>
      <c r="R137" s="40" t="str" cm="1">
        <f t="array" ref="R137">_xlfn.XLOOKUP($A137,ACT[[№]:[№]],ACT[TRUCKING CHARGE],"",0,1)</f>
        <v/>
      </c>
      <c r="S137" s="40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40" t="str" cm="1">
        <f t="array" ref="T137">_xlfn.XLOOKUP($A137,ACT[[№]:[№]],ACT[Special Wooden Shoring / Специальное деревянное крепление],"",0,1)</f>
        <v/>
      </c>
      <c r="U137" s="9"/>
      <c r="V137" s="40" t="str" cm="1">
        <f t="array" ref="V137">_xlfn.XLOOKUP($A137,ACT[[№]:[№]],ACT[Total amount/ Общая стоимость KRW (10+11+12+13+14+15+16)],"",0,1)</f>
        <v/>
      </c>
      <c r="W137" s="40" t="str" cm="1">
        <f t="array" ref="W137">_xlfn.XLOOKUP($A137,ACT[[№]:[№]],ACT[Total amount/ Общая стоимость (17*exchange rate/ обменный курс)
 USD],"",0,1)</f>
        <v/>
      </c>
      <c r="X137" s="9" cm="1">
        <f t="array" ref="X1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37" s="12">
        <f>VLOOKUP(Шаблон_Формулы[[#This Row],[24]],Курс_840[[Дата]:[Курс]],2,0)</f>
        <v>12089</v>
      </c>
      <c r="Z137" s="42" t="str">
        <f>IFERROR(Шаблон_Формулы[[#This Row],[23]]*Шаблон_Формулы[[#This Row],[25]],"")</f>
        <v/>
      </c>
      <c r="AA137" s="13" t="str" cm="1">
        <f t="array" ref="AA137">ACT_number[№ исходящего акта]</f>
        <v>468 LCL</v>
      </c>
    </row>
    <row r="138" spans="1:27" s="8" customFormat="1" ht="12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37" t="str" cm="1">
        <f t="array" ref="E138">_xlfn.XLOOKUP($A138,ACT[[№]:[№]],ACT[Date of Dispatch/ 
Дата отгрузки],"",0,1)</f>
        <v/>
      </c>
      <c r="F138" s="38" t="str" cm="1">
        <f t="array" ref="F138">_xlfn.XLOOKUP($A138,ACT[[№]:[№]],ACT[Supplier/ Поставщик],"",0,1)</f>
        <v/>
      </c>
      <c r="G138" s="38" t="str" cm="1">
        <f t="array" ref="G138">_xlfn.XLOOKUP($A138,ACT[[№]:[№]],ACT[Supplier Invoice No/                          № Инвойса Поставщика],"",0,1)</f>
        <v/>
      </c>
      <c r="H138" s="39" t="str" cm="1">
        <f t="array" ref="H138">_xlfn.XLOOKUP($A138,ACT[[№]:[№]],ACT[CBM],"",0,1)</f>
        <v/>
      </c>
      <c r="I138" s="39" t="str" cm="1">
        <f t="array" ref="I138">_xlfn.XLOOKUP($A138,ACT[[№]:[№]],ACT[Gross weight, kg/ Вес брутто, кг],"",0,1)</f>
        <v/>
      </c>
      <c r="J138" s="39" t="str" cm="1">
        <f t="array" ref="J138">_xlfn.XLOOKUP($A138,ACT[[№]:[№]],ACT[Delivery terms / Условия поставки],"",0,1)</f>
        <v/>
      </c>
      <c r="K138" s="39" t="str" cm="1">
        <f t="array" ref="K138">_xlfn.XLOOKUP($A138,ACT[[№]:[№]],ACT[Container total CBM],"",0,1)</f>
        <v/>
      </c>
      <c r="L138" s="40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40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40" t="str" cm="1">
        <f t="array" ref="N138">_xlfn.XLOOKUP($A138,ACT[[№]:[№]],ACT[Shoring, Banding, Sealing, Handling/ Крепление, Перевязка, Опечатование, Обработка
KRW],"",0,1)</f>
        <v/>
      </c>
      <c r="O138" s="40" t="str" cm="1">
        <f t="array" ref="O138">_xlfn.XLOOKUP($A138,ACT[[№]:[№]],ACT[Documents Work/ Сбор за подготовку документов
KRW],"",0,1)</f>
        <v/>
      </c>
      <c r="P138" s="40" t="str" cm="1">
        <f t="array" ref="P138">_xlfn.XLOOKUP($A138,ACT[[№]:[№]],ACT[THC/ Терминальная обработка
KRW],"",0,1)</f>
        <v/>
      </c>
      <c r="Q138" s="40" t="str" cm="1">
        <f t="array" ref="Q138">_xlfn.XLOOKUP($A138,ACT[[№]:[№]],ACT[Wharfage/ Портовая пошлина
KRW],"",0,1)</f>
        <v/>
      </c>
      <c r="R138" s="40" t="str" cm="1">
        <f t="array" ref="R138">_xlfn.XLOOKUP($A138,ACT[[№]:[№]],ACT[TRUCKING CHARGE],"",0,1)</f>
        <v/>
      </c>
      <c r="S138" s="40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40" t="str" cm="1">
        <f t="array" ref="T138">_xlfn.XLOOKUP($A138,ACT[[№]:[№]],ACT[Special Wooden Shoring / Специальное деревянное крепление],"",0,1)</f>
        <v/>
      </c>
      <c r="U138" s="9"/>
      <c r="V138" s="40" t="str" cm="1">
        <f t="array" ref="V138">_xlfn.XLOOKUP($A138,ACT[[№]:[№]],ACT[Total amount/ Общая стоимость KRW (10+11+12+13+14+15+16)],"",0,1)</f>
        <v/>
      </c>
      <c r="W138" s="40" t="str" cm="1">
        <f t="array" ref="W138">_xlfn.XLOOKUP($A138,ACT[[№]:[№]],ACT[Total amount/ Общая стоимость (17*exchange rate/ обменный курс)
 USD],"",0,1)</f>
        <v/>
      </c>
      <c r="X138" s="9" cm="1">
        <f t="array" ref="X1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38" s="12">
        <f>VLOOKUP(Шаблон_Формулы[[#This Row],[24]],Курс_840[[Дата]:[Курс]],2,0)</f>
        <v>12089</v>
      </c>
      <c r="Z138" s="42" t="str">
        <f>IFERROR(Шаблон_Формулы[[#This Row],[23]]*Шаблон_Формулы[[#This Row],[25]],"")</f>
        <v/>
      </c>
      <c r="AA138" s="13" t="str" cm="1">
        <f t="array" ref="AA138">ACT_number[№ исходящего акта]</f>
        <v>468 LCL</v>
      </c>
    </row>
    <row r="139" spans="1:27" s="8" customFormat="1" ht="12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37" t="str" cm="1">
        <f t="array" ref="E139">_xlfn.XLOOKUP($A139,ACT[[№]:[№]],ACT[Date of Dispatch/ 
Дата отгрузки],"",0,1)</f>
        <v/>
      </c>
      <c r="F139" s="38" t="str" cm="1">
        <f t="array" ref="F139">_xlfn.XLOOKUP($A139,ACT[[№]:[№]],ACT[Supplier/ Поставщик],"",0,1)</f>
        <v/>
      </c>
      <c r="G139" s="38" t="str" cm="1">
        <f t="array" ref="G139">_xlfn.XLOOKUP($A139,ACT[[№]:[№]],ACT[Supplier Invoice No/                          № Инвойса Поставщика],"",0,1)</f>
        <v/>
      </c>
      <c r="H139" s="39" t="str" cm="1">
        <f t="array" ref="H139">_xlfn.XLOOKUP($A139,ACT[[№]:[№]],ACT[CBM],"",0,1)</f>
        <v/>
      </c>
      <c r="I139" s="39" t="str" cm="1">
        <f t="array" ref="I139">_xlfn.XLOOKUP($A139,ACT[[№]:[№]],ACT[Gross weight, kg/ Вес брутто, кг],"",0,1)</f>
        <v/>
      </c>
      <c r="J139" s="39" t="str" cm="1">
        <f t="array" ref="J139">_xlfn.XLOOKUP($A139,ACT[[№]:[№]],ACT[Delivery terms / Условия поставки],"",0,1)</f>
        <v/>
      </c>
      <c r="K139" s="39" t="str" cm="1">
        <f t="array" ref="K139">_xlfn.XLOOKUP($A139,ACT[[№]:[№]],ACT[Container total CBM],"",0,1)</f>
        <v/>
      </c>
      <c r="L139" s="40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40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40" t="str" cm="1">
        <f t="array" ref="N139">_xlfn.XLOOKUP($A139,ACT[[№]:[№]],ACT[Shoring, Banding, Sealing, Handling/ Крепление, Перевязка, Опечатование, Обработка
KRW],"",0,1)</f>
        <v/>
      </c>
      <c r="O139" s="40" t="str" cm="1">
        <f t="array" ref="O139">_xlfn.XLOOKUP($A139,ACT[[№]:[№]],ACT[Documents Work/ Сбор за подготовку документов
KRW],"",0,1)</f>
        <v/>
      </c>
      <c r="P139" s="40" t="str" cm="1">
        <f t="array" ref="P139">_xlfn.XLOOKUP($A139,ACT[[№]:[№]],ACT[THC/ Терминальная обработка
KRW],"",0,1)</f>
        <v/>
      </c>
      <c r="Q139" s="40" t="str" cm="1">
        <f t="array" ref="Q139">_xlfn.XLOOKUP($A139,ACT[[№]:[№]],ACT[Wharfage/ Портовая пошлина
KRW],"",0,1)</f>
        <v/>
      </c>
      <c r="R139" s="40" t="str" cm="1">
        <f t="array" ref="R139">_xlfn.XLOOKUP($A139,ACT[[№]:[№]],ACT[TRUCKING CHARGE],"",0,1)</f>
        <v/>
      </c>
      <c r="S139" s="40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40" t="str" cm="1">
        <f t="array" ref="T139">_xlfn.XLOOKUP($A139,ACT[[№]:[№]],ACT[Special Wooden Shoring / Специальное деревянное крепление],"",0,1)</f>
        <v/>
      </c>
      <c r="U139" s="9"/>
      <c r="V139" s="40" t="str" cm="1">
        <f t="array" ref="V139">_xlfn.XLOOKUP($A139,ACT[[№]:[№]],ACT[Total amount/ Общая стоимость KRW (10+11+12+13+14+15+16)],"",0,1)</f>
        <v/>
      </c>
      <c r="W139" s="40" t="str" cm="1">
        <f t="array" ref="W139">_xlfn.XLOOKUP($A139,ACT[[№]:[№]],ACT[Total amount/ Общая стоимость (17*exchange rate/ обменный курс)
 USD],"",0,1)</f>
        <v/>
      </c>
      <c r="X139" s="9" cm="1">
        <f t="array" ref="X1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39" s="12">
        <f>VLOOKUP(Шаблон_Формулы[[#This Row],[24]],Курс_840[[Дата]:[Курс]],2,0)</f>
        <v>12089</v>
      </c>
      <c r="Z139" s="42" t="str">
        <f>IFERROR(Шаблон_Формулы[[#This Row],[23]]*Шаблон_Формулы[[#This Row],[25]],"")</f>
        <v/>
      </c>
      <c r="AA139" s="13" t="str" cm="1">
        <f t="array" ref="AA139">ACT_number[№ исходящего акта]</f>
        <v>468 LCL</v>
      </c>
    </row>
    <row r="140" spans="1:27" s="8" customFormat="1" ht="12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37" t="str" cm="1">
        <f t="array" ref="E140">_xlfn.XLOOKUP($A140,ACT[[№]:[№]],ACT[Date of Dispatch/ 
Дата отгрузки],"",0,1)</f>
        <v/>
      </c>
      <c r="F140" s="38" t="str" cm="1">
        <f t="array" ref="F140">_xlfn.XLOOKUP($A140,ACT[[№]:[№]],ACT[Supplier/ Поставщик],"",0,1)</f>
        <v/>
      </c>
      <c r="G140" s="38" t="str" cm="1">
        <f t="array" ref="G140">_xlfn.XLOOKUP($A140,ACT[[№]:[№]],ACT[Supplier Invoice No/                          № Инвойса Поставщика],"",0,1)</f>
        <v/>
      </c>
      <c r="H140" s="39" t="str" cm="1">
        <f t="array" ref="H140">_xlfn.XLOOKUP($A140,ACT[[№]:[№]],ACT[CBM],"",0,1)</f>
        <v/>
      </c>
      <c r="I140" s="39" t="str" cm="1">
        <f t="array" ref="I140">_xlfn.XLOOKUP($A140,ACT[[№]:[№]],ACT[Gross weight, kg/ Вес брутто, кг],"",0,1)</f>
        <v/>
      </c>
      <c r="J140" s="39" t="str" cm="1">
        <f t="array" ref="J140">_xlfn.XLOOKUP($A140,ACT[[№]:[№]],ACT[Delivery terms / Условия поставки],"",0,1)</f>
        <v/>
      </c>
      <c r="K140" s="39" t="str" cm="1">
        <f t="array" ref="K140">_xlfn.XLOOKUP($A140,ACT[[№]:[№]],ACT[Container total CBM],"",0,1)</f>
        <v/>
      </c>
      <c r="L140" s="40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40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40" t="str" cm="1">
        <f t="array" ref="N140">_xlfn.XLOOKUP($A140,ACT[[№]:[№]],ACT[Shoring, Banding, Sealing, Handling/ Крепление, Перевязка, Опечатование, Обработка
KRW],"",0,1)</f>
        <v/>
      </c>
      <c r="O140" s="40" t="str" cm="1">
        <f t="array" ref="O140">_xlfn.XLOOKUP($A140,ACT[[№]:[№]],ACT[Documents Work/ Сбор за подготовку документов
KRW],"",0,1)</f>
        <v/>
      </c>
      <c r="P140" s="40" t="str" cm="1">
        <f t="array" ref="P140">_xlfn.XLOOKUP($A140,ACT[[№]:[№]],ACT[THC/ Терминальная обработка
KRW],"",0,1)</f>
        <v/>
      </c>
      <c r="Q140" s="40" t="str" cm="1">
        <f t="array" ref="Q140">_xlfn.XLOOKUP($A140,ACT[[№]:[№]],ACT[Wharfage/ Портовая пошлина
KRW],"",0,1)</f>
        <v/>
      </c>
      <c r="R140" s="40" t="str" cm="1">
        <f t="array" ref="R140">_xlfn.XLOOKUP($A140,ACT[[№]:[№]],ACT[TRUCKING CHARGE],"",0,1)</f>
        <v/>
      </c>
      <c r="S140" s="40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40" t="str" cm="1">
        <f t="array" ref="T140">_xlfn.XLOOKUP($A140,ACT[[№]:[№]],ACT[Special Wooden Shoring / Специальное деревянное крепление],"",0,1)</f>
        <v/>
      </c>
      <c r="U140" s="9"/>
      <c r="V140" s="40" t="str" cm="1">
        <f t="array" ref="V140">_xlfn.XLOOKUP($A140,ACT[[№]:[№]],ACT[Total amount/ Общая стоимость KRW (10+11+12+13+14+15+16)],"",0,1)</f>
        <v/>
      </c>
      <c r="W140" s="40" t="str" cm="1">
        <f t="array" ref="W140">_xlfn.XLOOKUP($A140,ACT[[№]:[№]],ACT[Total amount/ Общая стоимость (17*exchange rate/ обменный курс)
 USD],"",0,1)</f>
        <v/>
      </c>
      <c r="X140" s="9" cm="1">
        <f t="array" ref="X1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40" s="12">
        <f>VLOOKUP(Шаблон_Формулы[[#This Row],[24]],Курс_840[[Дата]:[Курс]],2,0)</f>
        <v>12089</v>
      </c>
      <c r="Z140" s="42" t="str">
        <f>IFERROR(Шаблон_Формулы[[#This Row],[23]]*Шаблон_Формулы[[#This Row],[25]],"")</f>
        <v/>
      </c>
      <c r="AA140" s="13" t="str" cm="1">
        <f t="array" ref="AA140">ACT_number[№ исходящего акта]</f>
        <v>468 LCL</v>
      </c>
    </row>
    <row r="141" spans="1:27" s="8" customFormat="1" ht="12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37" t="str" cm="1">
        <f t="array" ref="E141">_xlfn.XLOOKUP($A141,ACT[[№]:[№]],ACT[Date of Dispatch/ 
Дата отгрузки],"",0,1)</f>
        <v/>
      </c>
      <c r="F141" s="38" t="str" cm="1">
        <f t="array" ref="F141">_xlfn.XLOOKUP($A141,ACT[[№]:[№]],ACT[Supplier/ Поставщик],"",0,1)</f>
        <v/>
      </c>
      <c r="G141" s="38" t="str" cm="1">
        <f t="array" ref="G141">_xlfn.XLOOKUP($A141,ACT[[№]:[№]],ACT[Supplier Invoice No/                          № Инвойса Поставщика],"",0,1)</f>
        <v/>
      </c>
      <c r="H141" s="39" t="str" cm="1">
        <f t="array" ref="H141">_xlfn.XLOOKUP($A141,ACT[[№]:[№]],ACT[CBM],"",0,1)</f>
        <v/>
      </c>
      <c r="I141" s="39" t="str" cm="1">
        <f t="array" ref="I141">_xlfn.XLOOKUP($A141,ACT[[№]:[№]],ACT[Gross weight, kg/ Вес брутто, кг],"",0,1)</f>
        <v/>
      </c>
      <c r="J141" s="39" t="str" cm="1">
        <f t="array" ref="J141">_xlfn.XLOOKUP($A141,ACT[[№]:[№]],ACT[Delivery terms / Условия поставки],"",0,1)</f>
        <v/>
      </c>
      <c r="K141" s="39" t="str" cm="1">
        <f t="array" ref="K141">_xlfn.XLOOKUP($A141,ACT[[№]:[№]],ACT[Container total CBM],"",0,1)</f>
        <v/>
      </c>
      <c r="L141" s="40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40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40" t="str" cm="1">
        <f t="array" ref="N141">_xlfn.XLOOKUP($A141,ACT[[№]:[№]],ACT[Shoring, Banding, Sealing, Handling/ Крепление, Перевязка, Опечатование, Обработка
KRW],"",0,1)</f>
        <v/>
      </c>
      <c r="O141" s="40" t="str" cm="1">
        <f t="array" ref="O141">_xlfn.XLOOKUP($A141,ACT[[№]:[№]],ACT[Documents Work/ Сбор за подготовку документов
KRW],"",0,1)</f>
        <v/>
      </c>
      <c r="P141" s="40" t="str" cm="1">
        <f t="array" ref="P141">_xlfn.XLOOKUP($A141,ACT[[№]:[№]],ACT[THC/ Терминальная обработка
KRW],"",0,1)</f>
        <v/>
      </c>
      <c r="Q141" s="40" t="str" cm="1">
        <f t="array" ref="Q141">_xlfn.XLOOKUP($A141,ACT[[№]:[№]],ACT[Wharfage/ Портовая пошлина
KRW],"",0,1)</f>
        <v/>
      </c>
      <c r="R141" s="40" t="str" cm="1">
        <f t="array" ref="R141">_xlfn.XLOOKUP($A141,ACT[[№]:[№]],ACT[TRUCKING CHARGE],"",0,1)</f>
        <v/>
      </c>
      <c r="S141" s="40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40" t="str" cm="1">
        <f t="array" ref="T141">_xlfn.XLOOKUP($A141,ACT[[№]:[№]],ACT[Special Wooden Shoring / Специальное деревянное крепление],"",0,1)</f>
        <v/>
      </c>
      <c r="U141" s="9"/>
      <c r="V141" s="40" t="str" cm="1">
        <f t="array" ref="V141">_xlfn.XLOOKUP($A141,ACT[[№]:[№]],ACT[Total amount/ Общая стоимость KRW (10+11+12+13+14+15+16)],"",0,1)</f>
        <v/>
      </c>
      <c r="W141" s="40" t="str" cm="1">
        <f t="array" ref="W141">_xlfn.XLOOKUP($A141,ACT[[№]:[№]],ACT[Total amount/ Общая стоимость (17*exchange rate/ обменный курс)
 USD],"",0,1)</f>
        <v/>
      </c>
      <c r="X141" s="9" cm="1">
        <f t="array" ref="X1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41" s="12">
        <f>VLOOKUP(Шаблон_Формулы[[#This Row],[24]],Курс_840[[Дата]:[Курс]],2,0)</f>
        <v>12089</v>
      </c>
      <c r="Z141" s="42" t="str">
        <f>IFERROR(Шаблон_Формулы[[#This Row],[23]]*Шаблон_Формулы[[#This Row],[25]],"")</f>
        <v/>
      </c>
      <c r="AA141" s="13" t="str" cm="1">
        <f t="array" ref="AA141">ACT_number[№ исходящего акта]</f>
        <v>468 LCL</v>
      </c>
    </row>
    <row r="142" spans="1:27" s="8" customFormat="1" ht="12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37" t="str" cm="1">
        <f t="array" ref="E142">_xlfn.XLOOKUP($A142,ACT[[№]:[№]],ACT[Date of Dispatch/ 
Дата отгрузки],"",0,1)</f>
        <v/>
      </c>
      <c r="F142" s="38" t="str" cm="1">
        <f t="array" ref="F142">_xlfn.XLOOKUP($A142,ACT[[№]:[№]],ACT[Supplier/ Поставщик],"",0,1)</f>
        <v/>
      </c>
      <c r="G142" s="38" t="str" cm="1">
        <f t="array" ref="G142">_xlfn.XLOOKUP($A142,ACT[[№]:[№]],ACT[Supplier Invoice No/                          № Инвойса Поставщика],"",0,1)</f>
        <v/>
      </c>
      <c r="H142" s="39" t="str" cm="1">
        <f t="array" ref="H142">_xlfn.XLOOKUP($A142,ACT[[№]:[№]],ACT[CBM],"",0,1)</f>
        <v/>
      </c>
      <c r="I142" s="39" t="str" cm="1">
        <f t="array" ref="I142">_xlfn.XLOOKUP($A142,ACT[[№]:[№]],ACT[Gross weight, kg/ Вес брутто, кг],"",0,1)</f>
        <v/>
      </c>
      <c r="J142" s="39" t="str" cm="1">
        <f t="array" ref="J142">_xlfn.XLOOKUP($A142,ACT[[№]:[№]],ACT[Delivery terms / Условия поставки],"",0,1)</f>
        <v/>
      </c>
      <c r="K142" s="39" t="str" cm="1">
        <f t="array" ref="K142">_xlfn.XLOOKUP($A142,ACT[[№]:[№]],ACT[Container total CBM],"",0,1)</f>
        <v/>
      </c>
      <c r="L142" s="40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40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40" t="str" cm="1">
        <f t="array" ref="N142">_xlfn.XLOOKUP($A142,ACT[[№]:[№]],ACT[Shoring, Banding, Sealing, Handling/ Крепление, Перевязка, Опечатование, Обработка
KRW],"",0,1)</f>
        <v/>
      </c>
      <c r="O142" s="40" t="str" cm="1">
        <f t="array" ref="O142">_xlfn.XLOOKUP($A142,ACT[[№]:[№]],ACT[Documents Work/ Сбор за подготовку документов
KRW],"",0,1)</f>
        <v/>
      </c>
      <c r="P142" s="40" t="str" cm="1">
        <f t="array" ref="P142">_xlfn.XLOOKUP($A142,ACT[[№]:[№]],ACT[THC/ Терминальная обработка
KRW],"",0,1)</f>
        <v/>
      </c>
      <c r="Q142" s="40" t="str" cm="1">
        <f t="array" ref="Q142">_xlfn.XLOOKUP($A142,ACT[[№]:[№]],ACT[Wharfage/ Портовая пошлина
KRW],"",0,1)</f>
        <v/>
      </c>
      <c r="R142" s="40" t="str" cm="1">
        <f t="array" ref="R142">_xlfn.XLOOKUP($A142,ACT[[№]:[№]],ACT[TRUCKING CHARGE],"",0,1)</f>
        <v/>
      </c>
      <c r="S142" s="40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40" t="str" cm="1">
        <f t="array" ref="T142">_xlfn.XLOOKUP($A142,ACT[[№]:[№]],ACT[Special Wooden Shoring / Специальное деревянное крепление],"",0,1)</f>
        <v/>
      </c>
      <c r="U142" s="9"/>
      <c r="V142" s="40" t="str" cm="1">
        <f t="array" ref="V142">_xlfn.XLOOKUP($A142,ACT[[№]:[№]],ACT[Total amount/ Общая стоимость KRW (10+11+12+13+14+15+16)],"",0,1)</f>
        <v/>
      </c>
      <c r="W142" s="40" t="str" cm="1">
        <f t="array" ref="W142">_xlfn.XLOOKUP($A142,ACT[[№]:[№]],ACT[Total amount/ Общая стоимость (17*exchange rate/ обменный курс)
 USD],"",0,1)</f>
        <v/>
      </c>
      <c r="X142" s="9" cm="1">
        <f t="array" ref="X1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42" s="12">
        <f>VLOOKUP(Шаблон_Формулы[[#This Row],[24]],Курс_840[[Дата]:[Курс]],2,0)</f>
        <v>12089</v>
      </c>
      <c r="Z142" s="42" t="str">
        <f>IFERROR(Шаблон_Формулы[[#This Row],[23]]*Шаблон_Формулы[[#This Row],[25]],"")</f>
        <v/>
      </c>
      <c r="AA142" s="13" t="str" cm="1">
        <f t="array" ref="AA142">ACT_number[№ исходящего акта]</f>
        <v>468 LCL</v>
      </c>
    </row>
    <row r="143" spans="1:27" s="8" customFormat="1" ht="12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37" t="str" cm="1">
        <f t="array" ref="E143">_xlfn.XLOOKUP($A143,ACT[[№]:[№]],ACT[Date of Dispatch/ 
Дата отгрузки],"",0,1)</f>
        <v/>
      </c>
      <c r="F143" s="38" t="str" cm="1">
        <f t="array" ref="F143">_xlfn.XLOOKUP($A143,ACT[[№]:[№]],ACT[Supplier/ Поставщик],"",0,1)</f>
        <v/>
      </c>
      <c r="G143" s="38" t="str" cm="1">
        <f t="array" ref="G143">_xlfn.XLOOKUP($A143,ACT[[№]:[№]],ACT[Supplier Invoice No/                          № Инвойса Поставщика],"",0,1)</f>
        <v/>
      </c>
      <c r="H143" s="39" t="str" cm="1">
        <f t="array" ref="H143">_xlfn.XLOOKUP($A143,ACT[[№]:[№]],ACT[CBM],"",0,1)</f>
        <v/>
      </c>
      <c r="I143" s="39" t="str" cm="1">
        <f t="array" ref="I143">_xlfn.XLOOKUP($A143,ACT[[№]:[№]],ACT[Gross weight, kg/ Вес брутто, кг],"",0,1)</f>
        <v/>
      </c>
      <c r="J143" s="39" t="str" cm="1">
        <f t="array" ref="J143">_xlfn.XLOOKUP($A143,ACT[[№]:[№]],ACT[Delivery terms / Условия поставки],"",0,1)</f>
        <v/>
      </c>
      <c r="K143" s="39" t="str" cm="1">
        <f t="array" ref="K143">_xlfn.XLOOKUP($A143,ACT[[№]:[№]],ACT[Container total CBM],"",0,1)</f>
        <v/>
      </c>
      <c r="L143" s="40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40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40" t="str" cm="1">
        <f t="array" ref="N143">_xlfn.XLOOKUP($A143,ACT[[№]:[№]],ACT[Shoring, Banding, Sealing, Handling/ Крепление, Перевязка, Опечатование, Обработка
KRW],"",0,1)</f>
        <v/>
      </c>
      <c r="O143" s="40" t="str" cm="1">
        <f t="array" ref="O143">_xlfn.XLOOKUP($A143,ACT[[№]:[№]],ACT[Documents Work/ Сбор за подготовку документов
KRW],"",0,1)</f>
        <v/>
      </c>
      <c r="P143" s="40" t="str" cm="1">
        <f t="array" ref="P143">_xlfn.XLOOKUP($A143,ACT[[№]:[№]],ACT[THC/ Терминальная обработка
KRW],"",0,1)</f>
        <v/>
      </c>
      <c r="Q143" s="40" t="str" cm="1">
        <f t="array" ref="Q143">_xlfn.XLOOKUP($A143,ACT[[№]:[№]],ACT[Wharfage/ Портовая пошлина
KRW],"",0,1)</f>
        <v/>
      </c>
      <c r="R143" s="40" t="str" cm="1">
        <f t="array" ref="R143">_xlfn.XLOOKUP($A143,ACT[[№]:[№]],ACT[TRUCKING CHARGE],"",0,1)</f>
        <v/>
      </c>
      <c r="S143" s="40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40" t="str" cm="1">
        <f t="array" ref="T143">_xlfn.XLOOKUP($A143,ACT[[№]:[№]],ACT[Special Wooden Shoring / Специальное деревянное крепление],"",0,1)</f>
        <v/>
      </c>
      <c r="U143" s="9"/>
      <c r="V143" s="40" t="str" cm="1">
        <f t="array" ref="V143">_xlfn.XLOOKUP($A143,ACT[[№]:[№]],ACT[Total amount/ Общая стоимость KRW (10+11+12+13+14+15+16)],"",0,1)</f>
        <v/>
      </c>
      <c r="W143" s="40" t="str" cm="1">
        <f t="array" ref="W143">_xlfn.XLOOKUP($A143,ACT[[№]:[№]],ACT[Total amount/ Общая стоимость (17*exchange rate/ обменный курс)
 USD],"",0,1)</f>
        <v/>
      </c>
      <c r="X143" s="9" cm="1">
        <f t="array" ref="X1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43" s="12">
        <f>VLOOKUP(Шаблон_Формулы[[#This Row],[24]],Курс_840[[Дата]:[Курс]],2,0)</f>
        <v>12089</v>
      </c>
      <c r="Z143" s="42" t="str">
        <f>IFERROR(Шаблон_Формулы[[#This Row],[23]]*Шаблон_Формулы[[#This Row],[25]],"")</f>
        <v/>
      </c>
      <c r="AA143" s="13" t="str" cm="1">
        <f t="array" ref="AA143">ACT_number[№ исходящего акта]</f>
        <v>468 LCL</v>
      </c>
    </row>
    <row r="144" spans="1:27" s="8" customFormat="1" ht="12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37" t="str" cm="1">
        <f t="array" ref="E144">_xlfn.XLOOKUP($A144,ACT[[№]:[№]],ACT[Date of Dispatch/ 
Дата отгрузки],"",0,1)</f>
        <v/>
      </c>
      <c r="F144" s="38" t="str" cm="1">
        <f t="array" ref="F144">_xlfn.XLOOKUP($A144,ACT[[№]:[№]],ACT[Supplier/ Поставщик],"",0,1)</f>
        <v/>
      </c>
      <c r="G144" s="38" t="str" cm="1">
        <f t="array" ref="G144">_xlfn.XLOOKUP($A144,ACT[[№]:[№]],ACT[Supplier Invoice No/                          № Инвойса Поставщика],"",0,1)</f>
        <v/>
      </c>
      <c r="H144" s="39" t="str" cm="1">
        <f t="array" ref="H144">_xlfn.XLOOKUP($A144,ACT[[№]:[№]],ACT[CBM],"",0,1)</f>
        <v/>
      </c>
      <c r="I144" s="39" t="str" cm="1">
        <f t="array" ref="I144">_xlfn.XLOOKUP($A144,ACT[[№]:[№]],ACT[Gross weight, kg/ Вес брутто, кг],"",0,1)</f>
        <v/>
      </c>
      <c r="J144" s="39" t="str" cm="1">
        <f t="array" ref="J144">_xlfn.XLOOKUP($A144,ACT[[№]:[№]],ACT[Delivery terms / Условия поставки],"",0,1)</f>
        <v/>
      </c>
      <c r="K144" s="39" t="str" cm="1">
        <f t="array" ref="K144">_xlfn.XLOOKUP($A144,ACT[[№]:[№]],ACT[Container total CBM],"",0,1)</f>
        <v/>
      </c>
      <c r="L144" s="40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40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40" t="str" cm="1">
        <f t="array" ref="N144">_xlfn.XLOOKUP($A144,ACT[[№]:[№]],ACT[Shoring, Banding, Sealing, Handling/ Крепление, Перевязка, Опечатование, Обработка
KRW],"",0,1)</f>
        <v/>
      </c>
      <c r="O144" s="40" t="str" cm="1">
        <f t="array" ref="O144">_xlfn.XLOOKUP($A144,ACT[[№]:[№]],ACT[Documents Work/ Сбор за подготовку документов
KRW],"",0,1)</f>
        <v/>
      </c>
      <c r="P144" s="40" t="str" cm="1">
        <f t="array" ref="P144">_xlfn.XLOOKUP($A144,ACT[[№]:[№]],ACT[THC/ Терминальная обработка
KRW],"",0,1)</f>
        <v/>
      </c>
      <c r="Q144" s="40" t="str" cm="1">
        <f t="array" ref="Q144">_xlfn.XLOOKUP($A144,ACT[[№]:[№]],ACT[Wharfage/ Портовая пошлина
KRW],"",0,1)</f>
        <v/>
      </c>
      <c r="R144" s="40" t="str" cm="1">
        <f t="array" ref="R144">_xlfn.XLOOKUP($A144,ACT[[№]:[№]],ACT[TRUCKING CHARGE],"",0,1)</f>
        <v/>
      </c>
      <c r="S144" s="40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40" t="str" cm="1">
        <f t="array" ref="T144">_xlfn.XLOOKUP($A144,ACT[[№]:[№]],ACT[Special Wooden Shoring / Специальное деревянное крепление],"",0,1)</f>
        <v/>
      </c>
      <c r="U144" s="9"/>
      <c r="V144" s="40" t="str" cm="1">
        <f t="array" ref="V144">_xlfn.XLOOKUP($A144,ACT[[№]:[№]],ACT[Total amount/ Общая стоимость KRW (10+11+12+13+14+15+16)],"",0,1)</f>
        <v/>
      </c>
      <c r="W144" s="40" t="str" cm="1">
        <f t="array" ref="W144">_xlfn.XLOOKUP($A144,ACT[[№]:[№]],ACT[Total amount/ Общая стоимость (17*exchange rate/ обменный курс)
 USD],"",0,1)</f>
        <v/>
      </c>
      <c r="X144" s="9" cm="1">
        <f t="array" ref="X1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44" s="12">
        <f>VLOOKUP(Шаблон_Формулы[[#This Row],[24]],Курс_840[[Дата]:[Курс]],2,0)</f>
        <v>12089</v>
      </c>
      <c r="Z144" s="42" t="str">
        <f>IFERROR(Шаблон_Формулы[[#This Row],[23]]*Шаблон_Формулы[[#This Row],[25]],"")</f>
        <v/>
      </c>
      <c r="AA144" s="13" t="str" cm="1">
        <f t="array" ref="AA144">ACT_number[№ исходящего акта]</f>
        <v>468 LCL</v>
      </c>
    </row>
    <row r="145" spans="1:27" s="8" customFormat="1" ht="12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37" t="str" cm="1">
        <f t="array" ref="E145">_xlfn.XLOOKUP($A145,ACT[[№]:[№]],ACT[Date of Dispatch/ 
Дата отгрузки],"",0,1)</f>
        <v/>
      </c>
      <c r="F145" s="38" t="str" cm="1">
        <f t="array" ref="F145">_xlfn.XLOOKUP($A145,ACT[[№]:[№]],ACT[Supplier/ Поставщик],"",0,1)</f>
        <v/>
      </c>
      <c r="G145" s="38" t="str" cm="1">
        <f t="array" ref="G145">_xlfn.XLOOKUP($A145,ACT[[№]:[№]],ACT[Supplier Invoice No/                          № Инвойса Поставщика],"",0,1)</f>
        <v/>
      </c>
      <c r="H145" s="39" t="str" cm="1">
        <f t="array" ref="H145">_xlfn.XLOOKUP($A145,ACT[[№]:[№]],ACT[CBM],"",0,1)</f>
        <v/>
      </c>
      <c r="I145" s="39" t="str" cm="1">
        <f t="array" ref="I145">_xlfn.XLOOKUP($A145,ACT[[№]:[№]],ACT[Gross weight, kg/ Вес брутто, кг],"",0,1)</f>
        <v/>
      </c>
      <c r="J145" s="39" t="str" cm="1">
        <f t="array" ref="J145">_xlfn.XLOOKUP($A145,ACT[[№]:[№]],ACT[Delivery terms / Условия поставки],"",0,1)</f>
        <v/>
      </c>
      <c r="K145" s="39" t="str" cm="1">
        <f t="array" ref="K145">_xlfn.XLOOKUP($A145,ACT[[№]:[№]],ACT[Container total CBM],"",0,1)</f>
        <v/>
      </c>
      <c r="L145" s="40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40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40" t="str" cm="1">
        <f t="array" ref="N145">_xlfn.XLOOKUP($A145,ACT[[№]:[№]],ACT[Shoring, Banding, Sealing, Handling/ Крепление, Перевязка, Опечатование, Обработка
KRW],"",0,1)</f>
        <v/>
      </c>
      <c r="O145" s="40" t="str" cm="1">
        <f t="array" ref="O145">_xlfn.XLOOKUP($A145,ACT[[№]:[№]],ACT[Documents Work/ Сбор за подготовку документов
KRW],"",0,1)</f>
        <v/>
      </c>
      <c r="P145" s="40" t="str" cm="1">
        <f t="array" ref="P145">_xlfn.XLOOKUP($A145,ACT[[№]:[№]],ACT[THC/ Терминальная обработка
KRW],"",0,1)</f>
        <v/>
      </c>
      <c r="Q145" s="40" t="str" cm="1">
        <f t="array" ref="Q145">_xlfn.XLOOKUP($A145,ACT[[№]:[№]],ACT[Wharfage/ Портовая пошлина
KRW],"",0,1)</f>
        <v/>
      </c>
      <c r="R145" s="40" t="str" cm="1">
        <f t="array" ref="R145">_xlfn.XLOOKUP($A145,ACT[[№]:[№]],ACT[TRUCKING CHARGE],"",0,1)</f>
        <v/>
      </c>
      <c r="S145" s="40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40" t="str" cm="1">
        <f t="array" ref="T145">_xlfn.XLOOKUP($A145,ACT[[№]:[№]],ACT[Special Wooden Shoring / Специальное деревянное крепление],"",0,1)</f>
        <v/>
      </c>
      <c r="U145" s="9"/>
      <c r="V145" s="40" t="str" cm="1">
        <f t="array" ref="V145">_xlfn.XLOOKUP($A145,ACT[[№]:[№]],ACT[Total amount/ Общая стоимость KRW (10+11+12+13+14+15+16)],"",0,1)</f>
        <v/>
      </c>
      <c r="W145" s="40" t="str" cm="1">
        <f t="array" ref="W145">_xlfn.XLOOKUP($A145,ACT[[№]:[№]],ACT[Total amount/ Общая стоимость (17*exchange rate/ обменный курс)
 USD],"",0,1)</f>
        <v/>
      </c>
      <c r="X145" s="9" cm="1">
        <f t="array" ref="X1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45" s="12">
        <f>VLOOKUP(Шаблон_Формулы[[#This Row],[24]],Курс_840[[Дата]:[Курс]],2,0)</f>
        <v>12089</v>
      </c>
      <c r="Z145" s="42" t="str">
        <f>IFERROR(Шаблон_Формулы[[#This Row],[23]]*Шаблон_Формулы[[#This Row],[25]],"")</f>
        <v/>
      </c>
      <c r="AA145" s="13" t="str" cm="1">
        <f t="array" ref="AA145">ACT_number[№ исходящего акта]</f>
        <v>468 LCL</v>
      </c>
    </row>
    <row r="146" spans="1:27" s="8" customFormat="1" ht="12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37" t="str" cm="1">
        <f t="array" ref="E146">_xlfn.XLOOKUP($A146,ACT[[№]:[№]],ACT[Date of Dispatch/ 
Дата отгрузки],"",0,1)</f>
        <v/>
      </c>
      <c r="F146" s="38" t="str" cm="1">
        <f t="array" ref="F146">_xlfn.XLOOKUP($A146,ACT[[№]:[№]],ACT[Supplier/ Поставщик],"",0,1)</f>
        <v/>
      </c>
      <c r="G146" s="38" t="str" cm="1">
        <f t="array" ref="G146">_xlfn.XLOOKUP($A146,ACT[[№]:[№]],ACT[Supplier Invoice No/                          № Инвойса Поставщика],"",0,1)</f>
        <v/>
      </c>
      <c r="H146" s="39" t="str" cm="1">
        <f t="array" ref="H146">_xlfn.XLOOKUP($A146,ACT[[№]:[№]],ACT[CBM],"",0,1)</f>
        <v/>
      </c>
      <c r="I146" s="39" t="str" cm="1">
        <f t="array" ref="I146">_xlfn.XLOOKUP($A146,ACT[[№]:[№]],ACT[Gross weight, kg/ Вес брутто, кг],"",0,1)</f>
        <v/>
      </c>
      <c r="J146" s="39" t="str" cm="1">
        <f t="array" ref="J146">_xlfn.XLOOKUP($A146,ACT[[№]:[№]],ACT[Delivery terms / Условия поставки],"",0,1)</f>
        <v/>
      </c>
      <c r="K146" s="39" t="str" cm="1">
        <f t="array" ref="K146">_xlfn.XLOOKUP($A146,ACT[[№]:[№]],ACT[Container total CBM],"",0,1)</f>
        <v/>
      </c>
      <c r="L146" s="40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40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40" t="str" cm="1">
        <f t="array" ref="N146">_xlfn.XLOOKUP($A146,ACT[[№]:[№]],ACT[Shoring, Banding, Sealing, Handling/ Крепление, Перевязка, Опечатование, Обработка
KRW],"",0,1)</f>
        <v/>
      </c>
      <c r="O146" s="40" t="str" cm="1">
        <f t="array" ref="O146">_xlfn.XLOOKUP($A146,ACT[[№]:[№]],ACT[Documents Work/ Сбор за подготовку документов
KRW],"",0,1)</f>
        <v/>
      </c>
      <c r="P146" s="40" t="str" cm="1">
        <f t="array" ref="P146">_xlfn.XLOOKUP($A146,ACT[[№]:[№]],ACT[THC/ Терминальная обработка
KRW],"",0,1)</f>
        <v/>
      </c>
      <c r="Q146" s="40" t="str" cm="1">
        <f t="array" ref="Q146">_xlfn.XLOOKUP($A146,ACT[[№]:[№]],ACT[Wharfage/ Портовая пошлина
KRW],"",0,1)</f>
        <v/>
      </c>
      <c r="R146" s="40" t="str" cm="1">
        <f t="array" ref="R146">_xlfn.XLOOKUP($A146,ACT[[№]:[№]],ACT[TRUCKING CHARGE],"",0,1)</f>
        <v/>
      </c>
      <c r="S146" s="40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40" t="str" cm="1">
        <f t="array" ref="T146">_xlfn.XLOOKUP($A146,ACT[[№]:[№]],ACT[Special Wooden Shoring / Специальное деревянное крепление],"",0,1)</f>
        <v/>
      </c>
      <c r="U146" s="9"/>
      <c r="V146" s="40" t="str" cm="1">
        <f t="array" ref="V146">_xlfn.XLOOKUP($A146,ACT[[№]:[№]],ACT[Total amount/ Общая стоимость KRW (10+11+12+13+14+15+16)],"",0,1)</f>
        <v/>
      </c>
      <c r="W146" s="40" t="str" cm="1">
        <f t="array" ref="W146">_xlfn.XLOOKUP($A146,ACT[[№]:[№]],ACT[Total amount/ Общая стоимость (17*exchange rate/ обменный курс)
 USD],"",0,1)</f>
        <v/>
      </c>
      <c r="X146" s="9" cm="1">
        <f t="array" ref="X1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46" s="12">
        <f>VLOOKUP(Шаблон_Формулы[[#This Row],[24]],Курс_840[[Дата]:[Курс]],2,0)</f>
        <v>12089</v>
      </c>
      <c r="Z146" s="42" t="str">
        <f>IFERROR(Шаблон_Формулы[[#This Row],[23]]*Шаблон_Формулы[[#This Row],[25]],"")</f>
        <v/>
      </c>
      <c r="AA146" s="13" t="str" cm="1">
        <f t="array" ref="AA146">ACT_number[№ исходящего акта]</f>
        <v>468 LCL</v>
      </c>
    </row>
    <row r="147" spans="1:27" s="8" customFormat="1" ht="12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37" t="str" cm="1">
        <f t="array" ref="E147">_xlfn.XLOOKUP($A147,ACT[[№]:[№]],ACT[Date of Dispatch/ 
Дата отгрузки],"",0,1)</f>
        <v/>
      </c>
      <c r="F147" s="38" t="str" cm="1">
        <f t="array" ref="F147">_xlfn.XLOOKUP($A147,ACT[[№]:[№]],ACT[Supplier/ Поставщик],"",0,1)</f>
        <v/>
      </c>
      <c r="G147" s="38" t="str" cm="1">
        <f t="array" ref="G147">_xlfn.XLOOKUP($A147,ACT[[№]:[№]],ACT[Supplier Invoice No/                          № Инвойса Поставщика],"",0,1)</f>
        <v/>
      </c>
      <c r="H147" s="39" t="str" cm="1">
        <f t="array" ref="H147">_xlfn.XLOOKUP($A147,ACT[[№]:[№]],ACT[CBM],"",0,1)</f>
        <v/>
      </c>
      <c r="I147" s="39" t="str" cm="1">
        <f t="array" ref="I147">_xlfn.XLOOKUP($A147,ACT[[№]:[№]],ACT[Gross weight, kg/ Вес брутто, кг],"",0,1)</f>
        <v/>
      </c>
      <c r="J147" s="39" t="str" cm="1">
        <f t="array" ref="J147">_xlfn.XLOOKUP($A147,ACT[[№]:[№]],ACT[Delivery terms / Условия поставки],"",0,1)</f>
        <v/>
      </c>
      <c r="K147" s="39" t="str" cm="1">
        <f t="array" ref="K147">_xlfn.XLOOKUP($A147,ACT[[№]:[№]],ACT[Container total CBM],"",0,1)</f>
        <v/>
      </c>
      <c r="L147" s="40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40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40" t="str" cm="1">
        <f t="array" ref="N147">_xlfn.XLOOKUP($A147,ACT[[№]:[№]],ACT[Shoring, Banding, Sealing, Handling/ Крепление, Перевязка, Опечатование, Обработка
KRW],"",0,1)</f>
        <v/>
      </c>
      <c r="O147" s="40" t="str" cm="1">
        <f t="array" ref="O147">_xlfn.XLOOKUP($A147,ACT[[№]:[№]],ACT[Documents Work/ Сбор за подготовку документов
KRW],"",0,1)</f>
        <v/>
      </c>
      <c r="P147" s="40" t="str" cm="1">
        <f t="array" ref="P147">_xlfn.XLOOKUP($A147,ACT[[№]:[№]],ACT[THC/ Терминальная обработка
KRW],"",0,1)</f>
        <v/>
      </c>
      <c r="Q147" s="40" t="str" cm="1">
        <f t="array" ref="Q147">_xlfn.XLOOKUP($A147,ACT[[№]:[№]],ACT[Wharfage/ Портовая пошлина
KRW],"",0,1)</f>
        <v/>
      </c>
      <c r="R147" s="40" t="str" cm="1">
        <f t="array" ref="R147">_xlfn.XLOOKUP($A147,ACT[[№]:[№]],ACT[TRUCKING CHARGE],"",0,1)</f>
        <v/>
      </c>
      <c r="S147" s="40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40" t="str" cm="1">
        <f t="array" ref="T147">_xlfn.XLOOKUP($A147,ACT[[№]:[№]],ACT[Special Wooden Shoring / Специальное деревянное крепление],"",0,1)</f>
        <v/>
      </c>
      <c r="U147" s="9"/>
      <c r="V147" s="40" t="str" cm="1">
        <f t="array" ref="V147">_xlfn.XLOOKUP($A147,ACT[[№]:[№]],ACT[Total amount/ Общая стоимость KRW (10+11+12+13+14+15+16)],"",0,1)</f>
        <v/>
      </c>
      <c r="W147" s="40" t="str" cm="1">
        <f t="array" ref="W147">_xlfn.XLOOKUP($A147,ACT[[№]:[№]],ACT[Total amount/ Общая стоимость (17*exchange rate/ обменный курс)
 USD],"",0,1)</f>
        <v/>
      </c>
      <c r="X147" s="9" cm="1">
        <f t="array" ref="X1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47" s="12">
        <f>VLOOKUP(Шаблон_Формулы[[#This Row],[24]],Курс_840[[Дата]:[Курс]],2,0)</f>
        <v>12089</v>
      </c>
      <c r="Z147" s="42" t="str">
        <f>IFERROR(Шаблон_Формулы[[#This Row],[23]]*Шаблон_Формулы[[#This Row],[25]],"")</f>
        <v/>
      </c>
      <c r="AA147" s="13" t="str" cm="1">
        <f t="array" ref="AA147">ACT_number[№ исходящего акта]</f>
        <v>468 LCL</v>
      </c>
    </row>
    <row r="148" spans="1:27" s="8" customFormat="1" ht="12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37" t="str" cm="1">
        <f t="array" ref="E148">_xlfn.XLOOKUP($A148,ACT[[№]:[№]],ACT[Date of Dispatch/ 
Дата отгрузки],"",0,1)</f>
        <v/>
      </c>
      <c r="F148" s="38" t="str" cm="1">
        <f t="array" ref="F148">_xlfn.XLOOKUP($A148,ACT[[№]:[№]],ACT[Supplier/ Поставщик],"",0,1)</f>
        <v/>
      </c>
      <c r="G148" s="38" t="str" cm="1">
        <f t="array" ref="G148">_xlfn.XLOOKUP($A148,ACT[[№]:[№]],ACT[Supplier Invoice No/                          № Инвойса Поставщика],"",0,1)</f>
        <v/>
      </c>
      <c r="H148" s="39" t="str" cm="1">
        <f t="array" ref="H148">_xlfn.XLOOKUP($A148,ACT[[№]:[№]],ACT[CBM],"",0,1)</f>
        <v/>
      </c>
      <c r="I148" s="39" t="str" cm="1">
        <f t="array" ref="I148">_xlfn.XLOOKUP($A148,ACT[[№]:[№]],ACT[Gross weight, kg/ Вес брутто, кг],"",0,1)</f>
        <v/>
      </c>
      <c r="J148" s="39" t="str" cm="1">
        <f t="array" ref="J148">_xlfn.XLOOKUP($A148,ACT[[№]:[№]],ACT[Delivery terms / Условия поставки],"",0,1)</f>
        <v/>
      </c>
      <c r="K148" s="39" t="str" cm="1">
        <f t="array" ref="K148">_xlfn.XLOOKUP($A148,ACT[[№]:[№]],ACT[Container total CBM],"",0,1)</f>
        <v/>
      </c>
      <c r="L148" s="40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40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40" t="str" cm="1">
        <f t="array" ref="N148">_xlfn.XLOOKUP($A148,ACT[[№]:[№]],ACT[Shoring, Banding, Sealing, Handling/ Крепление, Перевязка, Опечатование, Обработка
KRW],"",0,1)</f>
        <v/>
      </c>
      <c r="O148" s="40" t="str" cm="1">
        <f t="array" ref="O148">_xlfn.XLOOKUP($A148,ACT[[№]:[№]],ACT[Documents Work/ Сбор за подготовку документов
KRW],"",0,1)</f>
        <v/>
      </c>
      <c r="P148" s="40" t="str" cm="1">
        <f t="array" ref="P148">_xlfn.XLOOKUP($A148,ACT[[№]:[№]],ACT[THC/ Терминальная обработка
KRW],"",0,1)</f>
        <v/>
      </c>
      <c r="Q148" s="40" t="str" cm="1">
        <f t="array" ref="Q148">_xlfn.XLOOKUP($A148,ACT[[№]:[№]],ACT[Wharfage/ Портовая пошлина
KRW],"",0,1)</f>
        <v/>
      </c>
      <c r="R148" s="40" t="str" cm="1">
        <f t="array" ref="R148">_xlfn.XLOOKUP($A148,ACT[[№]:[№]],ACT[TRUCKING CHARGE],"",0,1)</f>
        <v/>
      </c>
      <c r="S148" s="40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40" t="str" cm="1">
        <f t="array" ref="T148">_xlfn.XLOOKUP($A148,ACT[[№]:[№]],ACT[Special Wooden Shoring / Специальное деревянное крепление],"",0,1)</f>
        <v/>
      </c>
      <c r="U148" s="9"/>
      <c r="V148" s="40" t="str" cm="1">
        <f t="array" ref="V148">_xlfn.XLOOKUP($A148,ACT[[№]:[№]],ACT[Total amount/ Общая стоимость KRW (10+11+12+13+14+15+16)],"",0,1)</f>
        <v/>
      </c>
      <c r="W148" s="40" t="str" cm="1">
        <f t="array" ref="W148">_xlfn.XLOOKUP($A148,ACT[[№]:[№]],ACT[Total amount/ Общая стоимость (17*exchange rate/ обменный курс)
 USD],"",0,1)</f>
        <v/>
      </c>
      <c r="X148" s="9" cm="1">
        <f t="array" ref="X1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48" s="12">
        <f>VLOOKUP(Шаблон_Формулы[[#This Row],[24]],Курс_840[[Дата]:[Курс]],2,0)</f>
        <v>12089</v>
      </c>
      <c r="Z148" s="42" t="str">
        <f>IFERROR(Шаблон_Формулы[[#This Row],[23]]*Шаблон_Формулы[[#This Row],[25]],"")</f>
        <v/>
      </c>
      <c r="AA148" s="13" t="str" cm="1">
        <f t="array" ref="AA148">ACT_number[№ исходящего акта]</f>
        <v>468 LCL</v>
      </c>
    </row>
    <row r="149" spans="1:27" s="8" customFormat="1" ht="12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37" t="str" cm="1">
        <f t="array" ref="E149">_xlfn.XLOOKUP($A149,ACT[[№]:[№]],ACT[Date of Dispatch/ 
Дата отгрузки],"",0,1)</f>
        <v/>
      </c>
      <c r="F149" s="38" t="str" cm="1">
        <f t="array" ref="F149">_xlfn.XLOOKUP($A149,ACT[[№]:[№]],ACT[Supplier/ Поставщик],"",0,1)</f>
        <v/>
      </c>
      <c r="G149" s="38" t="str" cm="1">
        <f t="array" ref="G149">_xlfn.XLOOKUP($A149,ACT[[№]:[№]],ACT[Supplier Invoice No/                          № Инвойса Поставщика],"",0,1)</f>
        <v/>
      </c>
      <c r="H149" s="39" t="str" cm="1">
        <f t="array" ref="H149">_xlfn.XLOOKUP($A149,ACT[[№]:[№]],ACT[CBM],"",0,1)</f>
        <v/>
      </c>
      <c r="I149" s="39" t="str" cm="1">
        <f t="array" ref="I149">_xlfn.XLOOKUP($A149,ACT[[№]:[№]],ACT[Gross weight, kg/ Вес брутто, кг],"",0,1)</f>
        <v/>
      </c>
      <c r="J149" s="39" t="str" cm="1">
        <f t="array" ref="J149">_xlfn.XLOOKUP($A149,ACT[[№]:[№]],ACT[Delivery terms / Условия поставки],"",0,1)</f>
        <v/>
      </c>
      <c r="K149" s="39" t="str" cm="1">
        <f t="array" ref="K149">_xlfn.XLOOKUP($A149,ACT[[№]:[№]],ACT[Container total CBM],"",0,1)</f>
        <v/>
      </c>
      <c r="L149" s="40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40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40" t="str" cm="1">
        <f t="array" ref="N149">_xlfn.XLOOKUP($A149,ACT[[№]:[№]],ACT[Shoring, Banding, Sealing, Handling/ Крепление, Перевязка, Опечатование, Обработка
KRW],"",0,1)</f>
        <v/>
      </c>
      <c r="O149" s="40" t="str" cm="1">
        <f t="array" ref="O149">_xlfn.XLOOKUP($A149,ACT[[№]:[№]],ACT[Documents Work/ Сбор за подготовку документов
KRW],"",0,1)</f>
        <v/>
      </c>
      <c r="P149" s="40" t="str" cm="1">
        <f t="array" ref="P149">_xlfn.XLOOKUP($A149,ACT[[№]:[№]],ACT[THC/ Терминальная обработка
KRW],"",0,1)</f>
        <v/>
      </c>
      <c r="Q149" s="40" t="str" cm="1">
        <f t="array" ref="Q149">_xlfn.XLOOKUP($A149,ACT[[№]:[№]],ACT[Wharfage/ Портовая пошлина
KRW],"",0,1)</f>
        <v/>
      </c>
      <c r="R149" s="40" t="str" cm="1">
        <f t="array" ref="R149">_xlfn.XLOOKUP($A149,ACT[[№]:[№]],ACT[TRUCKING CHARGE],"",0,1)</f>
        <v/>
      </c>
      <c r="S149" s="40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40" t="str" cm="1">
        <f t="array" ref="T149">_xlfn.XLOOKUP($A149,ACT[[№]:[№]],ACT[Special Wooden Shoring / Специальное деревянное крепление],"",0,1)</f>
        <v/>
      </c>
      <c r="U149" s="9"/>
      <c r="V149" s="40" t="str" cm="1">
        <f t="array" ref="V149">_xlfn.XLOOKUP($A149,ACT[[№]:[№]],ACT[Total amount/ Общая стоимость KRW (10+11+12+13+14+15+16)],"",0,1)</f>
        <v/>
      </c>
      <c r="W149" s="40" t="str" cm="1">
        <f t="array" ref="W149">_xlfn.XLOOKUP($A149,ACT[[№]:[№]],ACT[Total amount/ Общая стоимость (17*exchange rate/ обменный курс)
 USD],"",0,1)</f>
        <v/>
      </c>
      <c r="X149" s="9" cm="1">
        <f t="array" ref="X1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49" s="12">
        <f>VLOOKUP(Шаблон_Формулы[[#This Row],[24]],Курс_840[[Дата]:[Курс]],2,0)</f>
        <v>12089</v>
      </c>
      <c r="Z149" s="42" t="str">
        <f>IFERROR(Шаблон_Формулы[[#This Row],[23]]*Шаблон_Формулы[[#This Row],[25]],"")</f>
        <v/>
      </c>
      <c r="AA149" s="13" t="str" cm="1">
        <f t="array" ref="AA149">ACT_number[№ исходящего акта]</f>
        <v>468 LCL</v>
      </c>
    </row>
    <row r="150" spans="1:27" s="8" customFormat="1" ht="12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37" t="str" cm="1">
        <f t="array" ref="E150">_xlfn.XLOOKUP($A150,ACT[[№]:[№]],ACT[Date of Dispatch/ 
Дата отгрузки],"",0,1)</f>
        <v/>
      </c>
      <c r="F150" s="38" t="str" cm="1">
        <f t="array" ref="F150">_xlfn.XLOOKUP($A150,ACT[[№]:[№]],ACT[Supplier/ Поставщик],"",0,1)</f>
        <v/>
      </c>
      <c r="G150" s="38" t="str" cm="1">
        <f t="array" ref="G150">_xlfn.XLOOKUP($A150,ACT[[№]:[№]],ACT[Supplier Invoice No/                          № Инвойса Поставщика],"",0,1)</f>
        <v/>
      </c>
      <c r="H150" s="39" t="str" cm="1">
        <f t="array" ref="H150">_xlfn.XLOOKUP($A150,ACT[[№]:[№]],ACT[CBM],"",0,1)</f>
        <v/>
      </c>
      <c r="I150" s="39" t="str" cm="1">
        <f t="array" ref="I150">_xlfn.XLOOKUP($A150,ACT[[№]:[№]],ACT[Gross weight, kg/ Вес брутто, кг],"",0,1)</f>
        <v/>
      </c>
      <c r="J150" s="39" t="str" cm="1">
        <f t="array" ref="J150">_xlfn.XLOOKUP($A150,ACT[[№]:[№]],ACT[Delivery terms / Условия поставки],"",0,1)</f>
        <v/>
      </c>
      <c r="K150" s="39" t="str" cm="1">
        <f t="array" ref="K150">_xlfn.XLOOKUP($A150,ACT[[№]:[№]],ACT[Container total CBM],"",0,1)</f>
        <v/>
      </c>
      <c r="L150" s="40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40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40" t="str" cm="1">
        <f t="array" ref="N150">_xlfn.XLOOKUP($A150,ACT[[№]:[№]],ACT[Shoring, Banding, Sealing, Handling/ Крепление, Перевязка, Опечатование, Обработка
KRW],"",0,1)</f>
        <v/>
      </c>
      <c r="O150" s="40" t="str" cm="1">
        <f t="array" ref="O150">_xlfn.XLOOKUP($A150,ACT[[№]:[№]],ACT[Documents Work/ Сбор за подготовку документов
KRW],"",0,1)</f>
        <v/>
      </c>
      <c r="P150" s="40" t="str" cm="1">
        <f t="array" ref="P150">_xlfn.XLOOKUP($A150,ACT[[№]:[№]],ACT[THC/ Терминальная обработка
KRW],"",0,1)</f>
        <v/>
      </c>
      <c r="Q150" s="40" t="str" cm="1">
        <f t="array" ref="Q150">_xlfn.XLOOKUP($A150,ACT[[№]:[№]],ACT[Wharfage/ Портовая пошлина
KRW],"",0,1)</f>
        <v/>
      </c>
      <c r="R150" s="40" t="str" cm="1">
        <f t="array" ref="R150">_xlfn.XLOOKUP($A150,ACT[[№]:[№]],ACT[TRUCKING CHARGE],"",0,1)</f>
        <v/>
      </c>
      <c r="S150" s="40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40" t="str" cm="1">
        <f t="array" ref="T150">_xlfn.XLOOKUP($A150,ACT[[№]:[№]],ACT[Special Wooden Shoring / Специальное деревянное крепление],"",0,1)</f>
        <v/>
      </c>
      <c r="U150" s="9"/>
      <c r="V150" s="40" t="str" cm="1">
        <f t="array" ref="V150">_xlfn.XLOOKUP($A150,ACT[[№]:[№]],ACT[Total amount/ Общая стоимость KRW (10+11+12+13+14+15+16)],"",0,1)</f>
        <v/>
      </c>
      <c r="W150" s="40" t="str" cm="1">
        <f t="array" ref="W150">_xlfn.XLOOKUP($A150,ACT[[№]:[№]],ACT[Total amount/ Общая стоимость (17*exchange rate/ обменный курс)
 USD],"",0,1)</f>
        <v/>
      </c>
      <c r="X150" s="9" cm="1">
        <f t="array" ref="X1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50" s="12">
        <f>VLOOKUP(Шаблон_Формулы[[#This Row],[24]],Курс_840[[Дата]:[Курс]],2,0)</f>
        <v>12089</v>
      </c>
      <c r="Z150" s="42" t="str">
        <f>IFERROR(Шаблон_Формулы[[#This Row],[23]]*Шаблон_Формулы[[#This Row],[25]],"")</f>
        <v/>
      </c>
      <c r="AA150" s="13" t="str" cm="1">
        <f t="array" ref="AA150">ACT_number[№ исходящего акта]</f>
        <v>468 LCL</v>
      </c>
    </row>
    <row r="151" spans="1:27" s="8" customFormat="1" ht="12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37" t="str" cm="1">
        <f t="array" ref="E151">_xlfn.XLOOKUP($A151,ACT[[№]:[№]],ACT[Date of Dispatch/ 
Дата отгрузки],"",0,1)</f>
        <v/>
      </c>
      <c r="F151" s="38" t="str" cm="1">
        <f t="array" ref="F151">_xlfn.XLOOKUP($A151,ACT[[№]:[№]],ACT[Supplier/ Поставщик],"",0,1)</f>
        <v/>
      </c>
      <c r="G151" s="38" t="str" cm="1">
        <f t="array" ref="G151">_xlfn.XLOOKUP($A151,ACT[[№]:[№]],ACT[Supplier Invoice No/                          № Инвойса Поставщика],"",0,1)</f>
        <v/>
      </c>
      <c r="H151" s="39" t="str" cm="1">
        <f t="array" ref="H151">_xlfn.XLOOKUP($A151,ACT[[№]:[№]],ACT[CBM],"",0,1)</f>
        <v/>
      </c>
      <c r="I151" s="39" t="str" cm="1">
        <f t="array" ref="I151">_xlfn.XLOOKUP($A151,ACT[[№]:[№]],ACT[Gross weight, kg/ Вес брутто, кг],"",0,1)</f>
        <v/>
      </c>
      <c r="J151" s="39" t="str" cm="1">
        <f t="array" ref="J151">_xlfn.XLOOKUP($A151,ACT[[№]:[№]],ACT[Delivery terms / Условия поставки],"",0,1)</f>
        <v/>
      </c>
      <c r="K151" s="39" t="str" cm="1">
        <f t="array" ref="K151">_xlfn.XLOOKUP($A151,ACT[[№]:[№]],ACT[Container total CBM],"",0,1)</f>
        <v/>
      </c>
      <c r="L151" s="40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40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40" t="str" cm="1">
        <f t="array" ref="N151">_xlfn.XLOOKUP($A151,ACT[[№]:[№]],ACT[Shoring, Banding, Sealing, Handling/ Крепление, Перевязка, Опечатование, Обработка
KRW],"",0,1)</f>
        <v/>
      </c>
      <c r="O151" s="40" t="str" cm="1">
        <f t="array" ref="O151">_xlfn.XLOOKUP($A151,ACT[[№]:[№]],ACT[Documents Work/ Сбор за подготовку документов
KRW],"",0,1)</f>
        <v/>
      </c>
      <c r="P151" s="40" t="str" cm="1">
        <f t="array" ref="P151">_xlfn.XLOOKUP($A151,ACT[[№]:[№]],ACT[THC/ Терминальная обработка
KRW],"",0,1)</f>
        <v/>
      </c>
      <c r="Q151" s="40" t="str" cm="1">
        <f t="array" ref="Q151">_xlfn.XLOOKUP($A151,ACT[[№]:[№]],ACT[Wharfage/ Портовая пошлина
KRW],"",0,1)</f>
        <v/>
      </c>
      <c r="R151" s="40" t="str" cm="1">
        <f t="array" ref="R151">_xlfn.XLOOKUP($A151,ACT[[№]:[№]],ACT[TRUCKING CHARGE],"",0,1)</f>
        <v/>
      </c>
      <c r="S151" s="40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40" t="str" cm="1">
        <f t="array" ref="T151">_xlfn.XLOOKUP($A151,ACT[[№]:[№]],ACT[Special Wooden Shoring / Специальное деревянное крепление],"",0,1)</f>
        <v/>
      </c>
      <c r="U151" s="9"/>
      <c r="V151" s="40" t="str" cm="1">
        <f t="array" ref="V151">_xlfn.XLOOKUP($A151,ACT[[№]:[№]],ACT[Total amount/ Общая стоимость KRW (10+11+12+13+14+15+16)],"",0,1)</f>
        <v/>
      </c>
      <c r="W151" s="40" t="str" cm="1">
        <f t="array" ref="W151">_xlfn.XLOOKUP($A151,ACT[[№]:[№]],ACT[Total amount/ Общая стоимость (17*exchange rate/ обменный курс)
 USD],"",0,1)</f>
        <v/>
      </c>
      <c r="X151" s="9" cm="1">
        <f t="array" ref="X1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51" s="12">
        <f>VLOOKUP(Шаблон_Формулы[[#This Row],[24]],Курс_840[[Дата]:[Курс]],2,0)</f>
        <v>12089</v>
      </c>
      <c r="Z151" s="42" t="str">
        <f>IFERROR(Шаблон_Формулы[[#This Row],[23]]*Шаблон_Формулы[[#This Row],[25]],"")</f>
        <v/>
      </c>
      <c r="AA151" s="13" t="str" cm="1">
        <f t="array" ref="AA151">ACT_number[№ исходящего акта]</f>
        <v>468 LCL</v>
      </c>
    </row>
    <row r="152" spans="1:27" s="8" customFormat="1" ht="12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37" t="str" cm="1">
        <f t="array" ref="E152">_xlfn.XLOOKUP($A152,ACT[[№]:[№]],ACT[Date of Dispatch/ 
Дата отгрузки],"",0,1)</f>
        <v/>
      </c>
      <c r="F152" s="38" t="str" cm="1">
        <f t="array" ref="F152">_xlfn.XLOOKUP($A152,ACT[[№]:[№]],ACT[Supplier/ Поставщик],"",0,1)</f>
        <v/>
      </c>
      <c r="G152" s="38" t="str" cm="1">
        <f t="array" ref="G152">_xlfn.XLOOKUP($A152,ACT[[№]:[№]],ACT[Supplier Invoice No/                          № Инвойса Поставщика],"",0,1)</f>
        <v/>
      </c>
      <c r="H152" s="39" t="str" cm="1">
        <f t="array" ref="H152">_xlfn.XLOOKUP($A152,ACT[[№]:[№]],ACT[CBM],"",0,1)</f>
        <v/>
      </c>
      <c r="I152" s="39" t="str" cm="1">
        <f t="array" ref="I152">_xlfn.XLOOKUP($A152,ACT[[№]:[№]],ACT[Gross weight, kg/ Вес брутто, кг],"",0,1)</f>
        <v/>
      </c>
      <c r="J152" s="39" t="str" cm="1">
        <f t="array" ref="J152">_xlfn.XLOOKUP($A152,ACT[[№]:[№]],ACT[Delivery terms / Условия поставки],"",0,1)</f>
        <v/>
      </c>
      <c r="K152" s="39" t="str" cm="1">
        <f t="array" ref="K152">_xlfn.XLOOKUP($A152,ACT[[№]:[№]],ACT[Container total CBM],"",0,1)</f>
        <v/>
      </c>
      <c r="L152" s="40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40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40" t="str" cm="1">
        <f t="array" ref="N152">_xlfn.XLOOKUP($A152,ACT[[№]:[№]],ACT[Shoring, Banding, Sealing, Handling/ Крепление, Перевязка, Опечатование, Обработка
KRW],"",0,1)</f>
        <v/>
      </c>
      <c r="O152" s="40" t="str" cm="1">
        <f t="array" ref="O152">_xlfn.XLOOKUP($A152,ACT[[№]:[№]],ACT[Documents Work/ Сбор за подготовку документов
KRW],"",0,1)</f>
        <v/>
      </c>
      <c r="P152" s="40" t="str" cm="1">
        <f t="array" ref="P152">_xlfn.XLOOKUP($A152,ACT[[№]:[№]],ACT[THC/ Терминальная обработка
KRW],"",0,1)</f>
        <v/>
      </c>
      <c r="Q152" s="40" t="str" cm="1">
        <f t="array" ref="Q152">_xlfn.XLOOKUP($A152,ACT[[№]:[№]],ACT[Wharfage/ Портовая пошлина
KRW],"",0,1)</f>
        <v/>
      </c>
      <c r="R152" s="40" t="str" cm="1">
        <f t="array" ref="R152">_xlfn.XLOOKUP($A152,ACT[[№]:[№]],ACT[TRUCKING CHARGE],"",0,1)</f>
        <v/>
      </c>
      <c r="S152" s="40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40" t="str" cm="1">
        <f t="array" ref="T152">_xlfn.XLOOKUP($A152,ACT[[№]:[№]],ACT[Special Wooden Shoring / Специальное деревянное крепление],"",0,1)</f>
        <v/>
      </c>
      <c r="U152" s="9"/>
      <c r="V152" s="40" t="str" cm="1">
        <f t="array" ref="V152">_xlfn.XLOOKUP($A152,ACT[[№]:[№]],ACT[Total amount/ Общая стоимость KRW (10+11+12+13+14+15+16)],"",0,1)</f>
        <v/>
      </c>
      <c r="W152" s="40" t="str" cm="1">
        <f t="array" ref="W152">_xlfn.XLOOKUP($A152,ACT[[№]:[№]],ACT[Total amount/ Общая стоимость (17*exchange rate/ обменный курс)
 USD],"",0,1)</f>
        <v/>
      </c>
      <c r="X152" s="9" cm="1">
        <f t="array" ref="X1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52" s="12">
        <f>VLOOKUP(Шаблон_Формулы[[#This Row],[24]],Курс_840[[Дата]:[Курс]],2,0)</f>
        <v>12089</v>
      </c>
      <c r="Z152" s="42" t="str">
        <f>IFERROR(Шаблон_Формулы[[#This Row],[23]]*Шаблон_Формулы[[#This Row],[25]],"")</f>
        <v/>
      </c>
      <c r="AA152" s="13" t="str" cm="1">
        <f t="array" ref="AA152">ACT_number[№ исходящего акта]</f>
        <v>468 LCL</v>
      </c>
    </row>
    <row r="153" spans="1:27" s="8" customFormat="1" ht="12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37" t="str" cm="1">
        <f t="array" ref="E153">_xlfn.XLOOKUP($A153,ACT[[№]:[№]],ACT[Date of Dispatch/ 
Дата отгрузки],"",0,1)</f>
        <v/>
      </c>
      <c r="F153" s="38" t="str" cm="1">
        <f t="array" ref="F153">_xlfn.XLOOKUP($A153,ACT[[№]:[№]],ACT[Supplier/ Поставщик],"",0,1)</f>
        <v/>
      </c>
      <c r="G153" s="38" t="str" cm="1">
        <f t="array" ref="G153">_xlfn.XLOOKUP($A153,ACT[[№]:[№]],ACT[Supplier Invoice No/                          № Инвойса Поставщика],"",0,1)</f>
        <v/>
      </c>
      <c r="H153" s="39" t="str" cm="1">
        <f t="array" ref="H153">_xlfn.XLOOKUP($A153,ACT[[№]:[№]],ACT[CBM],"",0,1)</f>
        <v/>
      </c>
      <c r="I153" s="39" t="str" cm="1">
        <f t="array" ref="I153">_xlfn.XLOOKUP($A153,ACT[[№]:[№]],ACT[Gross weight, kg/ Вес брутто, кг],"",0,1)</f>
        <v/>
      </c>
      <c r="J153" s="39" t="str" cm="1">
        <f t="array" ref="J153">_xlfn.XLOOKUP($A153,ACT[[№]:[№]],ACT[Delivery terms / Условия поставки],"",0,1)</f>
        <v/>
      </c>
      <c r="K153" s="39" t="str" cm="1">
        <f t="array" ref="K153">_xlfn.XLOOKUP($A153,ACT[[№]:[№]],ACT[Container total CBM],"",0,1)</f>
        <v/>
      </c>
      <c r="L153" s="40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40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40" t="str" cm="1">
        <f t="array" ref="N153">_xlfn.XLOOKUP($A153,ACT[[№]:[№]],ACT[Shoring, Banding, Sealing, Handling/ Крепление, Перевязка, Опечатование, Обработка
KRW],"",0,1)</f>
        <v/>
      </c>
      <c r="O153" s="40" t="str" cm="1">
        <f t="array" ref="O153">_xlfn.XLOOKUP($A153,ACT[[№]:[№]],ACT[Documents Work/ Сбор за подготовку документов
KRW],"",0,1)</f>
        <v/>
      </c>
      <c r="P153" s="40" t="str" cm="1">
        <f t="array" ref="P153">_xlfn.XLOOKUP($A153,ACT[[№]:[№]],ACT[THC/ Терминальная обработка
KRW],"",0,1)</f>
        <v/>
      </c>
      <c r="Q153" s="40" t="str" cm="1">
        <f t="array" ref="Q153">_xlfn.XLOOKUP($A153,ACT[[№]:[№]],ACT[Wharfage/ Портовая пошлина
KRW],"",0,1)</f>
        <v/>
      </c>
      <c r="R153" s="40" t="str" cm="1">
        <f t="array" ref="R153">_xlfn.XLOOKUP($A153,ACT[[№]:[№]],ACT[TRUCKING CHARGE],"",0,1)</f>
        <v/>
      </c>
      <c r="S153" s="40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40" t="str" cm="1">
        <f t="array" ref="T153">_xlfn.XLOOKUP($A153,ACT[[№]:[№]],ACT[Special Wooden Shoring / Специальное деревянное крепление],"",0,1)</f>
        <v/>
      </c>
      <c r="U153" s="9"/>
      <c r="V153" s="40" t="str" cm="1">
        <f t="array" ref="V153">_xlfn.XLOOKUP($A153,ACT[[№]:[№]],ACT[Total amount/ Общая стоимость KRW (10+11+12+13+14+15+16)],"",0,1)</f>
        <v/>
      </c>
      <c r="W153" s="40" t="str" cm="1">
        <f t="array" ref="W153">_xlfn.XLOOKUP($A153,ACT[[№]:[№]],ACT[Total amount/ Общая стоимость (17*exchange rate/ обменный курс)
 USD],"",0,1)</f>
        <v/>
      </c>
      <c r="X153" s="9" cm="1">
        <f t="array" ref="X1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53" s="12">
        <f>VLOOKUP(Шаблон_Формулы[[#This Row],[24]],Курс_840[[Дата]:[Курс]],2,0)</f>
        <v>12089</v>
      </c>
      <c r="Z153" s="42" t="str">
        <f>IFERROR(Шаблон_Формулы[[#This Row],[23]]*Шаблон_Формулы[[#This Row],[25]],"")</f>
        <v/>
      </c>
      <c r="AA153" s="13" t="str" cm="1">
        <f t="array" ref="AA153">ACT_number[№ исходящего акта]</f>
        <v>468 LCL</v>
      </c>
    </row>
    <row r="154" spans="1:27" s="8" customFormat="1" ht="12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37" t="str" cm="1">
        <f t="array" ref="E154">_xlfn.XLOOKUP($A154,ACT[[№]:[№]],ACT[Date of Dispatch/ 
Дата отгрузки],"",0,1)</f>
        <v/>
      </c>
      <c r="F154" s="38" t="str" cm="1">
        <f t="array" ref="F154">_xlfn.XLOOKUP($A154,ACT[[№]:[№]],ACT[Supplier/ Поставщик],"",0,1)</f>
        <v/>
      </c>
      <c r="G154" s="38" t="str" cm="1">
        <f t="array" ref="G154">_xlfn.XLOOKUP($A154,ACT[[№]:[№]],ACT[Supplier Invoice No/                          № Инвойса Поставщика],"",0,1)</f>
        <v/>
      </c>
      <c r="H154" s="39" t="str" cm="1">
        <f t="array" ref="H154">_xlfn.XLOOKUP($A154,ACT[[№]:[№]],ACT[CBM],"",0,1)</f>
        <v/>
      </c>
      <c r="I154" s="39" t="str" cm="1">
        <f t="array" ref="I154">_xlfn.XLOOKUP($A154,ACT[[№]:[№]],ACT[Gross weight, kg/ Вес брутто, кг],"",0,1)</f>
        <v/>
      </c>
      <c r="J154" s="39" t="str" cm="1">
        <f t="array" ref="J154">_xlfn.XLOOKUP($A154,ACT[[№]:[№]],ACT[Delivery terms / Условия поставки],"",0,1)</f>
        <v/>
      </c>
      <c r="K154" s="39" t="str" cm="1">
        <f t="array" ref="K154">_xlfn.XLOOKUP($A154,ACT[[№]:[№]],ACT[Container total CBM],"",0,1)</f>
        <v/>
      </c>
      <c r="L154" s="40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40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40" t="str" cm="1">
        <f t="array" ref="N154">_xlfn.XLOOKUP($A154,ACT[[№]:[№]],ACT[Shoring, Banding, Sealing, Handling/ Крепление, Перевязка, Опечатование, Обработка
KRW],"",0,1)</f>
        <v/>
      </c>
      <c r="O154" s="40" t="str" cm="1">
        <f t="array" ref="O154">_xlfn.XLOOKUP($A154,ACT[[№]:[№]],ACT[Documents Work/ Сбор за подготовку документов
KRW],"",0,1)</f>
        <v/>
      </c>
      <c r="P154" s="40" t="str" cm="1">
        <f t="array" ref="P154">_xlfn.XLOOKUP($A154,ACT[[№]:[№]],ACT[THC/ Терминальная обработка
KRW],"",0,1)</f>
        <v/>
      </c>
      <c r="Q154" s="40" t="str" cm="1">
        <f t="array" ref="Q154">_xlfn.XLOOKUP($A154,ACT[[№]:[№]],ACT[Wharfage/ Портовая пошлина
KRW],"",0,1)</f>
        <v/>
      </c>
      <c r="R154" s="40" t="str" cm="1">
        <f t="array" ref="R154">_xlfn.XLOOKUP($A154,ACT[[№]:[№]],ACT[TRUCKING CHARGE],"",0,1)</f>
        <v/>
      </c>
      <c r="S154" s="40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40" t="str" cm="1">
        <f t="array" ref="T154">_xlfn.XLOOKUP($A154,ACT[[№]:[№]],ACT[Special Wooden Shoring / Специальное деревянное крепление],"",0,1)</f>
        <v/>
      </c>
      <c r="U154" s="9"/>
      <c r="V154" s="40" t="str" cm="1">
        <f t="array" ref="V154">_xlfn.XLOOKUP($A154,ACT[[№]:[№]],ACT[Total amount/ Общая стоимость KRW (10+11+12+13+14+15+16)],"",0,1)</f>
        <v/>
      </c>
      <c r="W154" s="40" t="str" cm="1">
        <f t="array" ref="W154">_xlfn.XLOOKUP($A154,ACT[[№]:[№]],ACT[Total amount/ Общая стоимость (17*exchange rate/ обменный курс)
 USD],"",0,1)</f>
        <v/>
      </c>
      <c r="X154" s="9" cm="1">
        <f t="array" ref="X1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45155</v>
      </c>
      <c r="Y154" s="12">
        <f>VLOOKUP(Шаблон_Формулы[[#This Row],[24]],Курс_840[[Дата]:[Курс]],2,0)</f>
        <v>12089</v>
      </c>
      <c r="Z154" s="42" t="str">
        <f>IFERROR(Шаблон_Формулы[[#This Row],[23]]*Шаблон_Формулы[[#This Row],[25]],"")</f>
        <v/>
      </c>
      <c r="AA154" s="13" t="str" cm="1">
        <f t="array" ref="AA154">ACT_number[№ исходящего акта]</f>
        <v>468 LCL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5"/>
  <sheetData>
    <row r="2" spans="1:2">
      <c r="A2" s="3" t="s">
        <v>5</v>
      </c>
      <c r="B2" s="3" t="s">
        <v>7</v>
      </c>
    </row>
    <row r="3" spans="1:2">
      <c r="A3" s="3" t="s">
        <v>6</v>
      </c>
      <c r="B3" s="3" t="s">
        <v>8</v>
      </c>
    </row>
    <row r="4" spans="1:2">
      <c r="A4" s="3" t="s">
        <v>9</v>
      </c>
      <c r="B4" s="3" t="s">
        <v>10</v>
      </c>
    </row>
    <row r="5" spans="1:2">
      <c r="A5" s="3" t="s">
        <v>11</v>
      </c>
      <c r="B5" s="3" t="s">
        <v>12</v>
      </c>
    </row>
    <row r="6" spans="1:2">
      <c r="A6" s="3" t="s">
        <v>13</v>
      </c>
      <c r="B6" s="3" t="s">
        <v>14</v>
      </c>
    </row>
    <row r="7" spans="1:2">
      <c r="A7" s="3" t="s">
        <v>15</v>
      </c>
      <c r="B7" s="3" t="s">
        <v>16</v>
      </c>
    </row>
    <row r="8" spans="1:2">
      <c r="A8" s="3" t="s">
        <v>17</v>
      </c>
      <c r="B8" s="3" t="s">
        <v>18</v>
      </c>
    </row>
    <row r="9" spans="1:2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6</vt:i4>
      </vt:variant>
    </vt:vector>
  </HeadingPairs>
  <TitlesOfParts>
    <vt:vector size="14" baseType="lpstr">
      <vt:lpstr>Лист1</vt:lpstr>
      <vt:lpstr>АКТ</vt:lpstr>
      <vt:lpstr>Appendix</vt:lpstr>
      <vt:lpstr>Путь</vt:lpstr>
      <vt:lpstr>Курс</vt:lpstr>
      <vt:lpstr>ACT</vt:lpstr>
      <vt:lpstr>Шаблон_Формулы</vt:lpstr>
      <vt:lpstr>Лист2</vt:lpstr>
      <vt:lpstr>Rate</vt:lpstr>
      <vt:lpstr>SRC</vt:lpstr>
      <vt:lpstr>Appendix!Заголовки_для_печати</vt:lpstr>
      <vt:lpstr>АКТ!Заголовки_для_печати</vt:lpstr>
      <vt:lpstr>Appendix!Область_печати</vt:lpstr>
      <vt:lpstr>АКТ!Область_печати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Rovshan Sadikov</cp:lastModifiedBy>
  <cp:lastPrinted>2023-05-04T05:33:20Z</cp:lastPrinted>
  <dcterms:created xsi:type="dcterms:W3CDTF">2023-02-15T11:48:29Z</dcterms:created>
  <dcterms:modified xsi:type="dcterms:W3CDTF">2023-09-18T10:34:22Z</dcterms:modified>
</cp:coreProperties>
</file>