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A40B140B-ACF8-4E7B-BA38-A9FD953324C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'Centrum'!$A$1:$V$51</definedName>
    <definedName name="ExternalData_1" localSheetId="3" hidden="1">Курс!$A$5:$D$26</definedName>
    <definedName name="ExternalData_1" localSheetId="0" hidden="1">Лист1!$A$2:$Z$82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" i="8" l="1"/>
  <c r="T4" i="5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B2" i="3" l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<sst xmlns="http://schemas.openxmlformats.org/spreadsheetml/2006/main" count="1921" uniqueCount="291">
  <si>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</si>
  <si>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</si>
  <si>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</si>
  <si>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</si>
  <si>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</si>
  <si>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</si>
  <si>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</si>
  <si>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</si>
  <si>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</si>
  <si>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</si>
  <si>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</si>
  <si>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</si>
  <si>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</si>
  <si>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</si>
  <si>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</si>
  <si>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</si>
  <si>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</si>
  <si>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</si>
  <si>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</si>
  <si>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</si>
  <si>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</si>
  <si>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</si>
  <si>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</si>
  <si>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</si>
  <si>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</si>
  <si>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</si>
  <si>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</si>
  <si>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</si>
  <si>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</si>
  <si>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</si>
  <si>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</si>
  <si>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</si>
  <si>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</si>
  <si>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</si>
  <si>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</si>
  <si>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</si>
  <si>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</si>
  <si>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</si>
  <si>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</si>
  <si>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</si>
  <si>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</si>
  <si>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</si>
  <si>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</si>
  <si>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</si>
  <si>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</si>
  <si>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</si>
  <si>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</si>
  <si>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</si>
  <si>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</si>
  <si>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</si>
  <si>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</si>
  <si>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</si>
  <si>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</si>
  <si>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</si>
  <si>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</si>
  <si>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</si>
  <si>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</si>
  <si>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</si>
  <si>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</si>
  <si>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</si>
  <si>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</si>
  <si>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</si>
  <si>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</si>
  <si>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</si>
  <si>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</si>
  <si>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</si>
  <si>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</si>
  <si>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</si>
  <si>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</si>
  <si>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</si>
  <si>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</si>
  <si>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</si>
  <si>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</si>
  <si>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</si>
  <si>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</si>
  <si>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</si>
  <si>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</si>
  <si>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</si>
  <si>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</si>
  <si>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</si>
  <si>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</si>
  <si>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</si>
  <si>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</si>
  <si>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</si>
  <si>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</si>
  <si>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</si>
  <si>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</si>
  <si>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</si>
  <si>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</si>
  <si>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</si>
  <si>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</si>
  <si>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</si>
  <si>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</si>
  <si>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</si>
  <si>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</si>
  <si>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</si>
  <si>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</si>
  <si>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</si>
  <si>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</si>
  <si>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</si>
  <si>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</si>
  <si>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</si>
  <si>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</si>
  <si>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</si>
  <si>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</si>
  <si>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</si>
  <si>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</si>
  <si>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Ср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</si>
  <si>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</si>
  <si>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</si>
  <si>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</si>
  <si>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</si>
  <si>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</si>
  <si>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</si>
  <si>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</si>
  <si>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CNT -FS230001670.xls</t>
  </si>
  <si>
    <t>KOREA</t>
  </si>
  <si>
    <t>57-BT</t>
  </si>
  <si>
    <t>CAIU4826970</t>
  </si>
  <si>
    <t>GM KOREA COMPANY</t>
  </si>
  <si>
    <t>TJAUZ37129A01</t>
  </si>
  <si>
    <t>KUNSAN (FOB/P-D)</t>
  </si>
  <si>
    <t>KD PARTS OF NEXIA (T250), GENTRA, COBALT</t>
  </si>
  <si>
    <t>FSIMPUAS229365</t>
  </si>
  <si>
    <t>FSCOPUVV386630</t>
  </si>
  <si>
    <t>CNT-FS230001670</t>
  </si>
  <si>
    <t>CAIU7847534</t>
  </si>
  <si>
    <t>CAIU7848130</t>
  </si>
  <si>
    <t>CAIU7893756</t>
  </si>
  <si>
    <t>CAIU7894006</t>
  </si>
  <si>
    <t>CAIU7954511</t>
  </si>
  <si>
    <t>CAIU7961017</t>
  </si>
  <si>
    <t>TJAUZ37130A01</t>
  </si>
  <si>
    <t>INCHEON (FOB/P-D)</t>
  </si>
  <si>
    <t>FSIMINAS229362</t>
  </si>
  <si>
    <t>FSCOPUVV386626</t>
  </si>
  <si>
    <t>CAIU8406512</t>
  </si>
  <si>
    <t>CAIU8476696</t>
  </si>
  <si>
    <t>TJAUZ37132C01</t>
  </si>
  <si>
    <t>BUSAN (FOB/P-D)</t>
  </si>
  <si>
    <t>FSIMPUAS229366</t>
  </si>
  <si>
    <t>FSCOPUVV386631</t>
  </si>
  <si>
    <t>CAIU8768229</t>
  </si>
  <si>
    <t>CAIU8857711</t>
  </si>
  <si>
    <t>TJAUZ37133A01</t>
  </si>
  <si>
    <t>FSIMINAS229363</t>
  </si>
  <si>
    <t>FSCOPUVV386627</t>
  </si>
  <si>
    <t>CAIU8903484</t>
  </si>
  <si>
    <t>CAIU9072174</t>
  </si>
  <si>
    <t>FESU5119911</t>
  </si>
  <si>
    <t>FESU5133150</t>
  </si>
  <si>
    <t>TJAUZ37116A01</t>
  </si>
  <si>
    <t>FSIMPUAS229341</t>
  </si>
  <si>
    <t>FSCOPUVV386541</t>
  </si>
  <si>
    <t>FESU5141324</t>
  </si>
  <si>
    <t>FESU5172768</t>
  </si>
  <si>
    <t>FESU5176608</t>
  </si>
  <si>
    <t>FESU5184630</t>
  </si>
  <si>
    <t>FESU5186442</t>
  </si>
  <si>
    <t>FESU5218262</t>
  </si>
  <si>
    <t>FESU5225976</t>
  </si>
  <si>
    <t>FESU5228050</t>
  </si>
  <si>
    <t>FESU5233924</t>
  </si>
  <si>
    <t>FESU5259404</t>
  </si>
  <si>
    <t>FESU5266743</t>
  </si>
  <si>
    <t>FESU5267101</t>
  </si>
  <si>
    <t>FESU5270759</t>
  </si>
  <si>
    <t>FESU5278174</t>
  </si>
  <si>
    <t>TJAUZ37132C01; UZ2302171S</t>
  </si>
  <si>
    <t>FSIMPUAS229366; FSIMPUAS229367</t>
  </si>
  <si>
    <t>FSCOPUVV386631; FSCOPUVV386632</t>
  </si>
  <si>
    <t>FESU5281500</t>
  </si>
  <si>
    <t>FESU5287237</t>
  </si>
  <si>
    <t>FESU5299217</t>
  </si>
  <si>
    <t>FESU5310830</t>
  </si>
  <si>
    <t>FESU5318180</t>
  </si>
  <si>
    <t>TJAUZ37118C01,  UZ2302132S</t>
  </si>
  <si>
    <t>FSIMPUAS229339; FSIMPUAS229340</t>
  </si>
  <si>
    <t>FSCOPUVV386539; FSCOPUVV386540</t>
  </si>
  <si>
    <t>FESU5326987</t>
  </si>
  <si>
    <t>TJAUZ37125C01</t>
  </si>
  <si>
    <t>FSIMPUAS229347</t>
  </si>
  <si>
    <t>FSCOPUVV386629</t>
  </si>
  <si>
    <t>FESU5328450</t>
  </si>
  <si>
    <t>FESU5328568</t>
  </si>
  <si>
    <t>FESU5335696</t>
  </si>
  <si>
    <t>FESU5335968</t>
  </si>
  <si>
    <t>SEGU4061092</t>
  </si>
  <si>
    <t>TCLU6218030</t>
  </si>
  <si>
    <t>TCLU8947508</t>
  </si>
  <si>
    <t>TCLU9963782</t>
  </si>
  <si>
    <t>TCNU7819562</t>
  </si>
  <si>
    <t>TEMU7395382</t>
  </si>
  <si>
    <t>TGHU6138308</t>
  </si>
  <si>
    <t>TGHU6438584</t>
  </si>
  <si>
    <t>TGHU6626452</t>
  </si>
  <si>
    <t>TGHU6903578</t>
  </si>
  <si>
    <t>TGHU9229090</t>
  </si>
  <si>
    <t>.</t>
  </si>
  <si>
    <t>UZL-UZA-01 от 01.08.2022г</t>
  </si>
  <si>
    <t>CENTRUM AVIATION FZCO 
Доп-4</t>
  </si>
  <si>
    <t>PKEU5029603</t>
  </si>
  <si>
    <t>GM Korea</t>
  </si>
  <si>
    <t>TJAUZ37420A01</t>
  </si>
  <si>
    <t>HDMU6868424</t>
  </si>
  <si>
    <t>CRSU9145906</t>
  </si>
  <si>
    <t>HDMU6892441</t>
  </si>
  <si>
    <t>CCLU7284045</t>
  </si>
  <si>
    <t>TJAUZ37420A01 UZ230728IS</t>
  </si>
  <si>
    <t>CCLU7234384</t>
  </si>
  <si>
    <t>CRXU9891430</t>
  </si>
  <si>
    <t>SEGU4249990</t>
  </si>
  <si>
    <t>TJAUZ37420A01 &amp; TJAUZ37421A01</t>
  </si>
  <si>
    <t>DFSU6447068</t>
  </si>
  <si>
    <t>GESU5801326</t>
  </si>
  <si>
    <t>GESU5890196</t>
  </si>
  <si>
    <t>CRXU9862302</t>
  </si>
  <si>
    <t>HDMU6872511</t>
  </si>
  <si>
    <t>SEGU4355815</t>
  </si>
  <si>
    <t>DRYU9554367</t>
  </si>
  <si>
    <t>TCLU8183098</t>
  </si>
  <si>
    <t>MAGU5116390</t>
  </si>
  <si>
    <t>HDMU6809484</t>
  </si>
  <si>
    <t>PKEU5018466</t>
  </si>
  <si>
    <t>CKLU4102692</t>
  </si>
  <si>
    <t>LLDU8392305</t>
  </si>
  <si>
    <t>PKEU5001524</t>
  </si>
  <si>
    <t>CBHU8156075</t>
  </si>
  <si>
    <t>GESU5784553</t>
  </si>
  <si>
    <t>PKEU5025125</t>
  </si>
  <si>
    <t>KMTU9252552</t>
  </si>
  <si>
    <t>DFOU8031603</t>
  </si>
  <si>
    <t>IDOU5000127</t>
  </si>
  <si>
    <t>CRSU9242378</t>
  </si>
  <si>
    <t>APHU6325967</t>
  </si>
  <si>
    <t>GLDU7469916</t>
  </si>
  <si>
    <t>TCNU8961340</t>
  </si>
  <si>
    <t>AMFU8813572</t>
  </si>
  <si>
    <t>GESU6707192</t>
  </si>
  <si>
    <t>GESU6449668</t>
  </si>
  <si>
    <t>PKEU5022240</t>
  </si>
  <si>
    <t>PKEU5022506</t>
  </si>
  <si>
    <t>PKEU5029877</t>
  </si>
  <si>
    <t>TDRU6391901</t>
  </si>
  <si>
    <t>TJAUZ37421A01</t>
  </si>
  <si>
    <t>TGHU6054146</t>
  </si>
  <si>
    <t>TGHU8917647</t>
  </si>
  <si>
    <t>TEMU7232317</t>
  </si>
  <si>
    <t>TDTU0706948</t>
  </si>
  <si>
    <t>TGHU7868213</t>
  </si>
  <si>
    <t>PKEU5043324</t>
  </si>
  <si>
    <t>TCLU6356656</t>
  </si>
  <si>
    <t>TRLU7130024</t>
  </si>
  <si>
    <t>WSCU9773076</t>
  </si>
  <si>
    <t>RFCU5070623</t>
  </si>
  <si>
    <t>UESU4777635</t>
  </si>
  <si>
    <t>TCLU8753349</t>
  </si>
  <si>
    <t>TEMU6699586</t>
  </si>
  <si>
    <t>TRLU6933850</t>
  </si>
  <si>
    <t>PKEU5044001</t>
  </si>
  <si>
    <t>PKEU5041297</t>
  </si>
  <si>
    <t>PKEU5041105</t>
  </si>
  <si>
    <t>SNKU2693380</t>
  </si>
  <si>
    <t>CLHU8986766</t>
  </si>
  <si>
    <t>GM KOREA</t>
  </si>
  <si>
    <t>TJAUZ37450A01</t>
  </si>
  <si>
    <t>TRLU5714820</t>
  </si>
  <si>
    <t>TDRU6342738</t>
  </si>
  <si>
    <t>PKEU5031302</t>
  </si>
  <si>
    <t>MOTU0755784</t>
  </si>
  <si>
    <t>CCLU6645858</t>
  </si>
  <si>
    <t>PKEU5033244</t>
  </si>
  <si>
    <t>PKEU5042539</t>
  </si>
  <si>
    <t>CCLU6640666</t>
  </si>
  <si>
    <t>ULCU5005222</t>
  </si>
  <si>
    <t>TDRU6731637</t>
  </si>
  <si>
    <t>LCRU5405468</t>
  </si>
  <si>
    <t>PKEU5040330</t>
  </si>
  <si>
    <t>CZZU0443335</t>
  </si>
  <si>
    <t>PKEU5040731</t>
  </si>
  <si>
    <t>PKEU5030918</t>
  </si>
  <si>
    <t>PKEU5028865</t>
  </si>
  <si>
    <t>TDRU8371972</t>
  </si>
  <si>
    <t>HJMU1413594</t>
  </si>
  <si>
    <t>CAXU8231777</t>
  </si>
  <si>
    <t>TRLU5710682</t>
  </si>
  <si>
    <t>CRLKS23070066&amp;67&amp;68</t>
  </si>
  <si>
    <t>SUNS02063301</t>
  </si>
  <si>
    <t>CRLKS23080035</t>
  </si>
  <si>
    <t>FSIMPUAS405995</t>
  </si>
  <si>
    <t>CNT-CKRF083-1-CR81-82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</si>
</sst>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3" fontId="9" fillId="0" borderId="0" xfId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82" tableType="queryTable" totalsRowShown="0" headerRowDxfId="91" dataDxfId="90" tableBorderDxfId="89">
  <autoFilter ref="A2:Z82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1" tableType="queryTable" totalsRowShown="0" headerRowDxfId="62" dataDxfId="61">
  <autoFilter ref="A1:V51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26" tableType="queryTable" totalsRowShown="0" headerRowDxfId="33">
  <autoFilter ref="A5:D26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82"/>
  <sheetViews>
    <sheetView tabSelected="1" topLeftCell="M1" workbookViewId="0">
      <selection activeCell="R6" sqref="R6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3.44140625" customWidth="1"/>
    <col min="6" max="6" width="19" customWidth="1"/>
    <col min="7" max="7" width="19.33203125" bestFit="1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0.44140625" bestFit="1" customWidth="1"/>
    <col min="13" max="13" width="17.5546875" bestFit="1" customWidth="1"/>
    <col min="14" max="14" width="17.88671875" bestFit="1" customWidth="1"/>
    <col min="15" max="15" width="17.6640625" bestFit="1" customWidth="1"/>
    <col min="16" max="16" width="20.109375" bestFit="1" customWidth="1"/>
    <col min="17" max="17" width="16.44140625" bestFit="1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17" bestFit="1" customWidth="1"/>
  </cols>
  <sheetData>
    <row r="1" spans="1:26" ht="61.2" x14ac:dyDescent="0.3">
      <c r="A1" s="58">
        <v>488</v>
      </c>
      <c r="B1" s="58"/>
      <c r="C1" s="58"/>
      <c r="D1" s="59" t="str">
        <f>Z5</f>
        <v>CNT-CKRF083-1-CR81-82</v>
      </c>
      <c r="E1" s="59"/>
      <c r="F1" s="59"/>
      <c r="G1" s="59"/>
      <c r="H1" s="60">
        <v>45194</v>
      </c>
      <c r="I1" s="60"/>
      <c r="J1" s="61" t="s">
        <v>199</v>
      </c>
      <c r="K1" s="62"/>
      <c r="L1" s="62"/>
      <c r="M1" s="63"/>
      <c r="N1" s="55" t="s">
        <v>0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</row>
    <row r="2" spans="1:26" x14ac:dyDescent="0.3">
      <c r="A2" s="27" t="s">
        <v>78</v>
      </c>
      <c r="B2" s="27" t="s">
        <v>79</v>
      </c>
      <c r="C2" s="27" t="s">
        <v>80</v>
      </c>
      <c r="D2" s="27" t="s">
        <v>81</v>
      </c>
      <c r="E2" s="27" t="s">
        <v>82</v>
      </c>
      <c r="F2" s="27" t="s">
        <v>83</v>
      </c>
      <c r="G2" s="27" t="s">
        <v>84</v>
      </c>
      <c r="H2" s="27" t="s">
        <v>85</v>
      </c>
      <c r="I2" s="27" t="s">
        <v>86</v>
      </c>
      <c r="J2" s="27" t="s">
        <v>87</v>
      </c>
      <c r="K2" s="27" t="s">
        <v>88</v>
      </c>
      <c r="L2" s="27" t="s">
        <v>89</v>
      </c>
      <c r="M2" s="27" t="s">
        <v>90</v>
      </c>
      <c r="N2" s="27" t="s">
        <v>91</v>
      </c>
      <c r="O2" s="27" t="s">
        <v>92</v>
      </c>
      <c r="P2" s="27" t="s">
        <v>93</v>
      </c>
      <c r="Q2" s="27" t="s">
        <v>94</v>
      </c>
      <c r="R2" s="27" t="s">
        <v>95</v>
      </c>
      <c r="S2" s="27" t="s">
        <v>96</v>
      </c>
      <c r="T2" s="27" t="s">
        <v>97</v>
      </c>
      <c r="U2" s="27" t="s">
        <v>98</v>
      </c>
      <c r="V2" s="27" t="s">
        <v>99</v>
      </c>
      <c r="W2" s="27" t="s">
        <v>100</v>
      </c>
      <c r="X2" s="27" t="s">
        <v>101</v>
      </c>
      <c r="Y2" s="27" t="s">
        <v>102</v>
      </c>
      <c r="Z2" s="27" t="s">
        <v>103</v>
      </c>
    </row>
    <row r="3" spans="1:26" s="36" customFormat="1" ht="60.6" x14ac:dyDescent="0.3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3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v>844946.79</v>
      </c>
      <c r="U4" s="40"/>
      <c r="V4" s="39"/>
      <c r="W4" s="39"/>
      <c r="X4" s="41"/>
      <c r="Y4" s="39">
        <v>10318549345.755301</v>
      </c>
      <c r="Z4" s="44"/>
    </row>
    <row r="5" spans="1:26" ht="36" x14ac:dyDescent="0.3">
      <c r="A5" s="50">
        <v>1</v>
      </c>
      <c r="B5" s="51" t="s">
        <v>200</v>
      </c>
      <c r="C5" s="51" t="s">
        <v>116</v>
      </c>
      <c r="D5" s="51" t="s">
        <v>201</v>
      </c>
      <c r="E5" s="51" t="s">
        <v>202</v>
      </c>
      <c r="F5" s="51" t="s">
        <v>203</v>
      </c>
      <c r="G5" s="53">
        <v>35729.160000000018</v>
      </c>
      <c r="H5" s="51" t="s">
        <v>40</v>
      </c>
      <c r="I5" s="50">
        <v>65.403000000000006</v>
      </c>
      <c r="J5" s="52">
        <v>6643</v>
      </c>
      <c r="K5" s="52" t="s">
        <v>45</v>
      </c>
      <c r="L5" s="51" t="s">
        <v>133</v>
      </c>
      <c r="M5" s="51" t="s">
        <v>286</v>
      </c>
      <c r="N5" s="51" t="s">
        <v>287</v>
      </c>
      <c r="O5" s="54">
        <v>45135</v>
      </c>
      <c r="P5" s="54">
        <v>45184</v>
      </c>
      <c r="Q5" s="51" t="s">
        <v>46</v>
      </c>
      <c r="R5" s="52">
        <v>10850</v>
      </c>
      <c r="S5" s="52">
        <v>0</v>
      </c>
      <c r="T5" s="52">
        <v>10850</v>
      </c>
      <c r="U5" s="54">
        <v>45194</v>
      </c>
      <c r="V5" s="52">
        <v>12212.07</v>
      </c>
      <c r="W5" s="52">
        <v>132500959.5</v>
      </c>
      <c r="X5" s="51"/>
      <c r="Y5" s="52">
        <v>132500959.5</v>
      </c>
      <c r="Z5" s="50" t="s">
        <v>290</v>
      </c>
    </row>
    <row r="6" spans="1:26" s="4" customFormat="1" ht="36" x14ac:dyDescent="0.3">
      <c r="A6" s="50">
        <v>2</v>
      </c>
      <c r="B6" s="51" t="s">
        <v>200</v>
      </c>
      <c r="C6" s="51" t="s">
        <v>116</v>
      </c>
      <c r="D6" s="51" t="s">
        <v>204</v>
      </c>
      <c r="E6" s="51" t="s">
        <v>202</v>
      </c>
      <c r="F6" s="51" t="s">
        <v>203</v>
      </c>
      <c r="G6" s="53">
        <v>66256.120000000024</v>
      </c>
      <c r="H6" s="51" t="s">
        <v>40</v>
      </c>
      <c r="I6" s="50">
        <v>65.846000000000004</v>
      </c>
      <c r="J6" s="52">
        <v>9632</v>
      </c>
      <c r="K6" s="52" t="s">
        <v>45</v>
      </c>
      <c r="L6" s="51" t="s">
        <v>133</v>
      </c>
      <c r="M6" s="51" t="s">
        <v>286</v>
      </c>
      <c r="N6" s="51" t="s">
        <v>287</v>
      </c>
      <c r="O6" s="54">
        <v>45135</v>
      </c>
      <c r="P6" s="54">
        <v>45184</v>
      </c>
      <c r="Q6" s="51" t="s">
        <v>46</v>
      </c>
      <c r="R6" s="52">
        <v>10850</v>
      </c>
      <c r="S6" s="52">
        <v>0</v>
      </c>
      <c r="T6" s="52">
        <v>10850</v>
      </c>
      <c r="U6" s="54">
        <v>45194</v>
      </c>
      <c r="V6" s="52">
        <v>12212.07</v>
      </c>
      <c r="W6" s="52">
        <v>132500959.5</v>
      </c>
      <c r="X6" s="51"/>
      <c r="Y6" s="52">
        <v>132500959.5</v>
      </c>
      <c r="Z6" s="50" t="s">
        <v>290</v>
      </c>
    </row>
    <row r="7" spans="1:26" s="4" customFormat="1" ht="36" x14ac:dyDescent="0.3">
      <c r="A7" s="50">
        <v>3</v>
      </c>
      <c r="B7" s="51" t="s">
        <v>200</v>
      </c>
      <c r="C7" s="51" t="s">
        <v>116</v>
      </c>
      <c r="D7" s="51" t="s">
        <v>205</v>
      </c>
      <c r="E7" s="51" t="s">
        <v>202</v>
      </c>
      <c r="F7" s="51" t="s">
        <v>203</v>
      </c>
      <c r="G7" s="53">
        <v>65856.639999999956</v>
      </c>
      <c r="H7" s="51" t="s">
        <v>40</v>
      </c>
      <c r="I7" s="50">
        <v>67.808999999999997</v>
      </c>
      <c r="J7" s="52">
        <v>12145</v>
      </c>
      <c r="K7" s="52" t="s">
        <v>45</v>
      </c>
      <c r="L7" s="51" t="s">
        <v>133</v>
      </c>
      <c r="M7" s="51" t="s">
        <v>286</v>
      </c>
      <c r="N7" s="51" t="s">
        <v>287</v>
      </c>
      <c r="O7" s="54">
        <v>45135</v>
      </c>
      <c r="P7" s="54">
        <v>45184</v>
      </c>
      <c r="Q7" s="51" t="s">
        <v>46</v>
      </c>
      <c r="R7" s="52">
        <v>10850</v>
      </c>
      <c r="S7" s="52">
        <v>0</v>
      </c>
      <c r="T7" s="52">
        <v>10850</v>
      </c>
      <c r="U7" s="54">
        <v>45194</v>
      </c>
      <c r="V7" s="52">
        <v>12212.07</v>
      </c>
      <c r="W7" s="52">
        <v>132500959.5</v>
      </c>
      <c r="X7" s="51"/>
      <c r="Y7" s="52">
        <v>132500959.5</v>
      </c>
      <c r="Z7" s="50" t="s">
        <v>290</v>
      </c>
    </row>
    <row r="8" spans="1:26" s="4" customFormat="1" ht="36" x14ac:dyDescent="0.3">
      <c r="A8" s="50">
        <v>4</v>
      </c>
      <c r="B8" s="51" t="s">
        <v>200</v>
      </c>
      <c r="C8" s="51" t="s">
        <v>116</v>
      </c>
      <c r="D8" s="51" t="s">
        <v>206</v>
      </c>
      <c r="E8" s="51" t="s">
        <v>202</v>
      </c>
      <c r="F8" s="51" t="s">
        <v>203</v>
      </c>
      <c r="G8" s="53">
        <v>42001.900000000016</v>
      </c>
      <c r="H8" s="51" t="s">
        <v>40</v>
      </c>
      <c r="I8" s="50">
        <v>68.003</v>
      </c>
      <c r="J8" s="52">
        <v>9621</v>
      </c>
      <c r="K8" s="52" t="s">
        <v>45</v>
      </c>
      <c r="L8" s="51" t="s">
        <v>133</v>
      </c>
      <c r="M8" s="51" t="s">
        <v>286</v>
      </c>
      <c r="N8" s="51" t="s">
        <v>287</v>
      </c>
      <c r="O8" s="54">
        <v>45135</v>
      </c>
      <c r="P8" s="54">
        <v>45184</v>
      </c>
      <c r="Q8" s="51" t="s">
        <v>46</v>
      </c>
      <c r="R8" s="52">
        <v>10850</v>
      </c>
      <c r="S8" s="52">
        <v>0</v>
      </c>
      <c r="T8" s="52">
        <v>10850</v>
      </c>
      <c r="U8" s="54">
        <v>45194</v>
      </c>
      <c r="V8" s="52">
        <v>12212.07</v>
      </c>
      <c r="W8" s="52">
        <v>132500959.5</v>
      </c>
      <c r="X8" s="51"/>
      <c r="Y8" s="52">
        <v>132500959.5</v>
      </c>
      <c r="Z8" s="50" t="s">
        <v>290</v>
      </c>
    </row>
    <row r="9" spans="1:26" s="4" customFormat="1" ht="36" x14ac:dyDescent="0.3">
      <c r="A9" s="50">
        <v>5</v>
      </c>
      <c r="B9" s="51" t="s">
        <v>200</v>
      </c>
      <c r="C9" s="51" t="s">
        <v>116</v>
      </c>
      <c r="D9" s="51" t="s">
        <v>207</v>
      </c>
      <c r="E9" s="51" t="s">
        <v>202</v>
      </c>
      <c r="F9" s="51" t="s">
        <v>208</v>
      </c>
      <c r="G9" s="53">
        <v>105870.72</v>
      </c>
      <c r="H9" s="51" t="s">
        <v>40</v>
      </c>
      <c r="I9" s="50">
        <v>67.350999999999999</v>
      </c>
      <c r="J9" s="52">
        <v>22061</v>
      </c>
      <c r="K9" s="52" t="s">
        <v>45</v>
      </c>
      <c r="L9" s="51" t="s">
        <v>133</v>
      </c>
      <c r="M9" s="51" t="s">
        <v>286</v>
      </c>
      <c r="N9" s="51" t="s">
        <v>287</v>
      </c>
      <c r="O9" s="54">
        <v>45135</v>
      </c>
      <c r="P9" s="54">
        <v>45184</v>
      </c>
      <c r="Q9" s="51" t="s">
        <v>46</v>
      </c>
      <c r="R9" s="52">
        <v>10850</v>
      </c>
      <c r="S9" s="52">
        <f>Шаблон_Формулы_2[[#This Row],[18]]-Шаблон_Формулы_2[[#This Row],[20]]</f>
        <v>1353.2099999999991</v>
      </c>
      <c r="T9" s="52">
        <v>9496.7900000000009</v>
      </c>
      <c r="U9" s="54">
        <v>45194</v>
      </c>
      <c r="V9" s="52">
        <v>12212.07</v>
      </c>
      <c r="W9" s="52">
        <v>115975464.25530002</v>
      </c>
      <c r="X9" s="51"/>
      <c r="Y9" s="52">
        <v>115975464.25530002</v>
      </c>
      <c r="Z9" s="50" t="s">
        <v>290</v>
      </c>
    </row>
    <row r="10" spans="1:26" s="4" customFormat="1" ht="36" x14ac:dyDescent="0.3">
      <c r="A10" s="50">
        <v>6</v>
      </c>
      <c r="B10" s="51" t="s">
        <v>200</v>
      </c>
      <c r="C10" s="51" t="s">
        <v>116</v>
      </c>
      <c r="D10" s="51" t="s">
        <v>209</v>
      </c>
      <c r="E10" s="51" t="s">
        <v>202</v>
      </c>
      <c r="F10" s="51" t="s">
        <v>203</v>
      </c>
      <c r="G10" s="53">
        <v>21268.080000000005</v>
      </c>
      <c r="H10" s="51" t="s">
        <v>40</v>
      </c>
      <c r="I10" s="50">
        <v>67.218999999999994</v>
      </c>
      <c r="J10" s="52">
        <v>6373</v>
      </c>
      <c r="K10" s="52" t="s">
        <v>45</v>
      </c>
      <c r="L10" s="51" t="s">
        <v>133</v>
      </c>
      <c r="M10" s="51" t="s">
        <v>286</v>
      </c>
      <c r="N10" s="51" t="s">
        <v>287</v>
      </c>
      <c r="O10" s="54">
        <v>45135</v>
      </c>
      <c r="P10" s="54">
        <v>45184</v>
      </c>
      <c r="Q10" s="51" t="s">
        <v>46</v>
      </c>
      <c r="R10" s="52">
        <v>10850</v>
      </c>
      <c r="S10" s="52">
        <v>0</v>
      </c>
      <c r="T10" s="52">
        <v>10850</v>
      </c>
      <c r="U10" s="54">
        <v>45194</v>
      </c>
      <c r="V10" s="52">
        <v>12212.07</v>
      </c>
      <c r="W10" s="52">
        <v>132500959.5</v>
      </c>
      <c r="X10" s="51"/>
      <c r="Y10" s="52">
        <v>132500959.5</v>
      </c>
      <c r="Z10" s="50" t="s">
        <v>290</v>
      </c>
    </row>
    <row r="11" spans="1:26" s="4" customFormat="1" ht="36" x14ac:dyDescent="0.3">
      <c r="A11" s="50">
        <v>7</v>
      </c>
      <c r="B11" s="51" t="s">
        <v>200</v>
      </c>
      <c r="C11" s="51" t="s">
        <v>116</v>
      </c>
      <c r="D11" s="51" t="s">
        <v>210</v>
      </c>
      <c r="E11" s="51" t="s">
        <v>202</v>
      </c>
      <c r="F11" s="51" t="s">
        <v>203</v>
      </c>
      <c r="G11" s="53">
        <v>57104.510000000009</v>
      </c>
      <c r="H11" s="51" t="s">
        <v>40</v>
      </c>
      <c r="I11" s="50">
        <v>68.036000000000001</v>
      </c>
      <c r="J11" s="52">
        <v>14585</v>
      </c>
      <c r="K11" s="52" t="s">
        <v>45</v>
      </c>
      <c r="L11" s="51" t="s">
        <v>133</v>
      </c>
      <c r="M11" s="51" t="s">
        <v>286</v>
      </c>
      <c r="N11" s="51" t="s">
        <v>287</v>
      </c>
      <c r="O11" s="54">
        <v>45135</v>
      </c>
      <c r="P11" s="54">
        <v>45184</v>
      </c>
      <c r="Q11" s="51" t="s">
        <v>46</v>
      </c>
      <c r="R11" s="52">
        <v>10850</v>
      </c>
      <c r="S11" s="52">
        <v>0</v>
      </c>
      <c r="T11" s="52">
        <v>10850</v>
      </c>
      <c r="U11" s="54">
        <v>45194</v>
      </c>
      <c r="V11" s="52">
        <v>12212.07</v>
      </c>
      <c r="W11" s="52">
        <v>132500959.5</v>
      </c>
      <c r="X11" s="51"/>
      <c r="Y11" s="52">
        <v>132500959.5</v>
      </c>
      <c r="Z11" s="50" t="s">
        <v>290</v>
      </c>
    </row>
    <row r="12" spans="1:26" s="4" customFormat="1" ht="36" x14ac:dyDescent="0.3">
      <c r="A12" s="50">
        <v>8</v>
      </c>
      <c r="B12" s="51" t="s">
        <v>200</v>
      </c>
      <c r="C12" s="51" t="s">
        <v>116</v>
      </c>
      <c r="D12" s="51" t="s">
        <v>211</v>
      </c>
      <c r="E12" s="51" t="s">
        <v>202</v>
      </c>
      <c r="F12" s="51" t="s">
        <v>212</v>
      </c>
      <c r="G12" s="53">
        <v>27741.66</v>
      </c>
      <c r="H12" s="51" t="s">
        <v>40</v>
      </c>
      <c r="I12" s="50">
        <v>65.552999999999997</v>
      </c>
      <c r="J12" s="52">
        <v>5298</v>
      </c>
      <c r="K12" s="52" t="s">
        <v>45</v>
      </c>
      <c r="L12" s="51" t="s">
        <v>133</v>
      </c>
      <c r="M12" s="51" t="s">
        <v>286</v>
      </c>
      <c r="N12" s="51" t="s">
        <v>287</v>
      </c>
      <c r="O12" s="54">
        <v>45135</v>
      </c>
      <c r="P12" s="54">
        <v>45184</v>
      </c>
      <c r="Q12" s="51" t="s">
        <v>46</v>
      </c>
      <c r="R12" s="52">
        <v>10850</v>
      </c>
      <c r="S12" s="52">
        <v>0</v>
      </c>
      <c r="T12" s="52">
        <v>10850</v>
      </c>
      <c r="U12" s="54">
        <v>45194</v>
      </c>
      <c r="V12" s="52">
        <v>12212.07</v>
      </c>
      <c r="W12" s="52">
        <v>132500959.5</v>
      </c>
      <c r="X12" s="51"/>
      <c r="Y12" s="52">
        <v>132500959.5</v>
      </c>
      <c r="Z12" s="50" t="s">
        <v>290</v>
      </c>
    </row>
    <row r="13" spans="1:26" s="4" customFormat="1" ht="36" x14ac:dyDescent="0.3">
      <c r="A13" s="50">
        <v>9</v>
      </c>
      <c r="B13" s="51" t="s">
        <v>200</v>
      </c>
      <c r="C13" s="51" t="s">
        <v>116</v>
      </c>
      <c r="D13" s="51" t="s">
        <v>213</v>
      </c>
      <c r="E13" s="51" t="s">
        <v>202</v>
      </c>
      <c r="F13" s="51" t="s">
        <v>203</v>
      </c>
      <c r="G13" s="53">
        <v>62170.720000000016</v>
      </c>
      <c r="H13" s="51" t="s">
        <v>40</v>
      </c>
      <c r="I13" s="50">
        <v>64.876999999999995</v>
      </c>
      <c r="J13" s="52">
        <v>6342</v>
      </c>
      <c r="K13" s="52" t="s">
        <v>45</v>
      </c>
      <c r="L13" s="51" t="s">
        <v>133</v>
      </c>
      <c r="M13" s="51" t="s">
        <v>286</v>
      </c>
      <c r="N13" s="51" t="s">
        <v>287</v>
      </c>
      <c r="O13" s="54">
        <v>45135</v>
      </c>
      <c r="P13" s="54">
        <v>45184</v>
      </c>
      <c r="Q13" s="51" t="s">
        <v>46</v>
      </c>
      <c r="R13" s="52">
        <v>10850</v>
      </c>
      <c r="S13" s="52">
        <v>0</v>
      </c>
      <c r="T13" s="52">
        <v>10850</v>
      </c>
      <c r="U13" s="54">
        <v>45194</v>
      </c>
      <c r="V13" s="52">
        <v>12212.07</v>
      </c>
      <c r="W13" s="52">
        <v>132500959.5</v>
      </c>
      <c r="X13" s="51"/>
      <c r="Y13" s="52">
        <v>132500959.5</v>
      </c>
      <c r="Z13" s="50" t="s">
        <v>290</v>
      </c>
    </row>
    <row r="14" spans="1:26" s="4" customFormat="1" ht="36" x14ac:dyDescent="0.3">
      <c r="A14" s="50">
        <v>10</v>
      </c>
      <c r="B14" s="51" t="s">
        <v>200</v>
      </c>
      <c r="C14" s="51" t="s">
        <v>116</v>
      </c>
      <c r="D14" s="51" t="s">
        <v>214</v>
      </c>
      <c r="E14" s="51" t="s">
        <v>202</v>
      </c>
      <c r="F14" s="51" t="s">
        <v>203</v>
      </c>
      <c r="G14" s="53">
        <v>58034.180000000008</v>
      </c>
      <c r="H14" s="51" t="s">
        <v>40</v>
      </c>
      <c r="I14" s="50">
        <v>68.037999999999997</v>
      </c>
      <c r="J14" s="52">
        <v>13035</v>
      </c>
      <c r="K14" s="52" t="s">
        <v>45</v>
      </c>
      <c r="L14" s="51" t="s">
        <v>133</v>
      </c>
      <c r="M14" s="51" t="s">
        <v>286</v>
      </c>
      <c r="N14" s="51" t="s">
        <v>287</v>
      </c>
      <c r="O14" s="54">
        <v>45135</v>
      </c>
      <c r="P14" s="54">
        <v>45184</v>
      </c>
      <c r="Q14" s="51" t="s">
        <v>46</v>
      </c>
      <c r="R14" s="52">
        <v>10850</v>
      </c>
      <c r="S14" s="52">
        <v>0</v>
      </c>
      <c r="T14" s="52">
        <v>10850</v>
      </c>
      <c r="U14" s="54">
        <v>45194</v>
      </c>
      <c r="V14" s="52">
        <v>12212.07</v>
      </c>
      <c r="W14" s="52">
        <v>132500959.5</v>
      </c>
      <c r="X14" s="51"/>
      <c r="Y14" s="52">
        <v>132500959.5</v>
      </c>
      <c r="Z14" s="50" t="s">
        <v>290</v>
      </c>
    </row>
    <row r="15" spans="1:26" s="4" customFormat="1" ht="36" x14ac:dyDescent="0.3">
      <c r="A15" s="50">
        <v>11</v>
      </c>
      <c r="B15" s="51" t="s">
        <v>200</v>
      </c>
      <c r="C15" s="51" t="s">
        <v>116</v>
      </c>
      <c r="D15" s="51" t="s">
        <v>215</v>
      </c>
      <c r="E15" s="51" t="s">
        <v>202</v>
      </c>
      <c r="F15" s="51" t="s">
        <v>203</v>
      </c>
      <c r="G15" s="53">
        <v>20897.399999999998</v>
      </c>
      <c r="H15" s="51" t="s">
        <v>40</v>
      </c>
      <c r="I15" s="50">
        <v>65.084999999999994</v>
      </c>
      <c r="J15" s="52">
        <v>3529</v>
      </c>
      <c r="K15" s="52" t="s">
        <v>45</v>
      </c>
      <c r="L15" s="51" t="s">
        <v>133</v>
      </c>
      <c r="M15" s="51" t="s">
        <v>286</v>
      </c>
      <c r="N15" s="51" t="s">
        <v>287</v>
      </c>
      <c r="O15" s="54">
        <v>45135</v>
      </c>
      <c r="P15" s="54">
        <v>45184</v>
      </c>
      <c r="Q15" s="51" t="s">
        <v>46</v>
      </c>
      <c r="R15" s="52">
        <v>10850</v>
      </c>
      <c r="S15" s="52">
        <v>0</v>
      </c>
      <c r="T15" s="52">
        <v>10850</v>
      </c>
      <c r="U15" s="54">
        <v>45194</v>
      </c>
      <c r="V15" s="52">
        <v>12212.07</v>
      </c>
      <c r="W15" s="52">
        <v>132500959.5</v>
      </c>
      <c r="X15" s="51"/>
      <c r="Y15" s="52">
        <v>132500959.5</v>
      </c>
      <c r="Z15" s="50" t="s">
        <v>290</v>
      </c>
    </row>
    <row r="16" spans="1:26" s="4" customFormat="1" ht="36" x14ac:dyDescent="0.3">
      <c r="A16" s="50">
        <v>12</v>
      </c>
      <c r="B16" s="51" t="s">
        <v>200</v>
      </c>
      <c r="C16" s="51" t="s">
        <v>116</v>
      </c>
      <c r="D16" s="51" t="s">
        <v>216</v>
      </c>
      <c r="E16" s="51" t="s">
        <v>202</v>
      </c>
      <c r="F16" s="51" t="s">
        <v>203</v>
      </c>
      <c r="G16" s="53">
        <v>46217.640000000021</v>
      </c>
      <c r="H16" s="51" t="s">
        <v>40</v>
      </c>
      <c r="I16" s="50">
        <v>67.143000000000001</v>
      </c>
      <c r="J16" s="52">
        <v>13014</v>
      </c>
      <c r="K16" s="52" t="s">
        <v>45</v>
      </c>
      <c r="L16" s="51" t="s">
        <v>133</v>
      </c>
      <c r="M16" s="51" t="s">
        <v>286</v>
      </c>
      <c r="N16" s="51" t="s">
        <v>287</v>
      </c>
      <c r="O16" s="54">
        <v>45135</v>
      </c>
      <c r="P16" s="54">
        <v>45184</v>
      </c>
      <c r="Q16" s="51" t="s">
        <v>46</v>
      </c>
      <c r="R16" s="52">
        <v>10850</v>
      </c>
      <c r="S16" s="52">
        <v>0</v>
      </c>
      <c r="T16" s="52">
        <v>10850</v>
      </c>
      <c r="U16" s="54">
        <v>45194</v>
      </c>
      <c r="V16" s="52">
        <v>12212.07</v>
      </c>
      <c r="W16" s="52">
        <v>132500959.5</v>
      </c>
      <c r="X16" s="51"/>
      <c r="Y16" s="52">
        <v>132500959.5</v>
      </c>
      <c r="Z16" s="50" t="s">
        <v>290</v>
      </c>
    </row>
    <row r="17" spans="1:26" s="4" customFormat="1" ht="36" x14ac:dyDescent="0.3">
      <c r="A17" s="50">
        <v>13</v>
      </c>
      <c r="B17" s="51" t="s">
        <v>200</v>
      </c>
      <c r="C17" s="51" t="s">
        <v>116</v>
      </c>
      <c r="D17" s="51" t="s">
        <v>217</v>
      </c>
      <c r="E17" s="51" t="s">
        <v>202</v>
      </c>
      <c r="F17" s="51" t="s">
        <v>203</v>
      </c>
      <c r="G17" s="53">
        <v>44785.919999999962</v>
      </c>
      <c r="H17" s="51" t="s">
        <v>40</v>
      </c>
      <c r="I17" s="50">
        <v>67.286000000000001</v>
      </c>
      <c r="J17" s="52">
        <v>9756</v>
      </c>
      <c r="K17" s="52" t="s">
        <v>45</v>
      </c>
      <c r="L17" s="51" t="s">
        <v>133</v>
      </c>
      <c r="M17" s="51" t="s">
        <v>286</v>
      </c>
      <c r="N17" s="51" t="s">
        <v>287</v>
      </c>
      <c r="O17" s="54">
        <v>45135</v>
      </c>
      <c r="P17" s="54">
        <v>45184</v>
      </c>
      <c r="Q17" s="51" t="s">
        <v>46</v>
      </c>
      <c r="R17" s="52">
        <v>10850</v>
      </c>
      <c r="S17" s="52">
        <v>0</v>
      </c>
      <c r="T17" s="52">
        <v>10850</v>
      </c>
      <c r="U17" s="54">
        <v>45194</v>
      </c>
      <c r="V17" s="52">
        <v>12212.07</v>
      </c>
      <c r="W17" s="52">
        <v>132500959.5</v>
      </c>
      <c r="X17" s="51"/>
      <c r="Y17" s="52">
        <v>132500959.5</v>
      </c>
      <c r="Z17" s="50" t="s">
        <v>290</v>
      </c>
    </row>
    <row r="18" spans="1:26" s="4" customFormat="1" ht="36" x14ac:dyDescent="0.3">
      <c r="A18" s="50">
        <v>14</v>
      </c>
      <c r="B18" s="51" t="s">
        <v>200</v>
      </c>
      <c r="C18" s="51" t="s">
        <v>116</v>
      </c>
      <c r="D18" s="51" t="s">
        <v>218</v>
      </c>
      <c r="E18" s="51" t="s">
        <v>202</v>
      </c>
      <c r="F18" s="51" t="s">
        <v>212</v>
      </c>
      <c r="G18" s="53">
        <v>52222.5</v>
      </c>
      <c r="H18" s="51" t="s">
        <v>40</v>
      </c>
      <c r="I18" s="50">
        <v>62.451999999999998</v>
      </c>
      <c r="J18" s="52">
        <v>3669</v>
      </c>
      <c r="K18" s="52" t="s">
        <v>45</v>
      </c>
      <c r="L18" s="51" t="s">
        <v>133</v>
      </c>
      <c r="M18" s="51" t="s">
        <v>286</v>
      </c>
      <c r="N18" s="51" t="s">
        <v>287</v>
      </c>
      <c r="O18" s="54">
        <v>45135</v>
      </c>
      <c r="P18" s="54">
        <v>45184</v>
      </c>
      <c r="Q18" s="51" t="s">
        <v>46</v>
      </c>
      <c r="R18" s="52">
        <v>10850</v>
      </c>
      <c r="S18" s="52">
        <v>0</v>
      </c>
      <c r="T18" s="52">
        <v>10850</v>
      </c>
      <c r="U18" s="54">
        <v>45194</v>
      </c>
      <c r="V18" s="52">
        <v>12212.07</v>
      </c>
      <c r="W18" s="52">
        <v>132500959.5</v>
      </c>
      <c r="X18" s="51"/>
      <c r="Y18" s="52">
        <v>132500959.5</v>
      </c>
      <c r="Z18" s="50" t="s">
        <v>290</v>
      </c>
    </row>
    <row r="19" spans="1:26" s="4" customFormat="1" ht="36" x14ac:dyDescent="0.3">
      <c r="A19" s="50">
        <v>15</v>
      </c>
      <c r="B19" s="51" t="s">
        <v>200</v>
      </c>
      <c r="C19" s="51" t="s">
        <v>116</v>
      </c>
      <c r="D19" s="51" t="s">
        <v>219</v>
      </c>
      <c r="E19" s="51" t="s">
        <v>202</v>
      </c>
      <c r="F19" s="51" t="s">
        <v>203</v>
      </c>
      <c r="G19" s="53">
        <v>42621.319999999992</v>
      </c>
      <c r="H19" s="51" t="s">
        <v>40</v>
      </c>
      <c r="I19" s="50">
        <v>67.125</v>
      </c>
      <c r="J19" s="52">
        <v>11163</v>
      </c>
      <c r="K19" s="52" t="s">
        <v>45</v>
      </c>
      <c r="L19" s="51" t="s">
        <v>133</v>
      </c>
      <c r="M19" s="51" t="s">
        <v>286</v>
      </c>
      <c r="N19" s="51" t="s">
        <v>287</v>
      </c>
      <c r="O19" s="54">
        <v>45135</v>
      </c>
      <c r="P19" s="54">
        <v>45184</v>
      </c>
      <c r="Q19" s="51" t="s">
        <v>46</v>
      </c>
      <c r="R19" s="52">
        <v>10850</v>
      </c>
      <c r="S19" s="52">
        <v>0</v>
      </c>
      <c r="T19" s="52">
        <v>10850</v>
      </c>
      <c r="U19" s="54">
        <v>45194</v>
      </c>
      <c r="V19" s="52">
        <v>12212.07</v>
      </c>
      <c r="W19" s="52">
        <v>132500959.5</v>
      </c>
      <c r="X19" s="51"/>
      <c r="Y19" s="52">
        <v>132500959.5</v>
      </c>
      <c r="Z19" s="50" t="s">
        <v>290</v>
      </c>
    </row>
    <row r="20" spans="1:26" s="4" customFormat="1" ht="36" x14ac:dyDescent="0.3">
      <c r="A20" s="50">
        <v>16</v>
      </c>
      <c r="B20" s="51" t="s">
        <v>200</v>
      </c>
      <c r="C20" s="51" t="s">
        <v>116</v>
      </c>
      <c r="D20" s="51" t="s">
        <v>220</v>
      </c>
      <c r="E20" s="51" t="s">
        <v>202</v>
      </c>
      <c r="F20" s="51" t="s">
        <v>203</v>
      </c>
      <c r="G20" s="53">
        <v>67018.799999999974</v>
      </c>
      <c r="H20" s="51" t="s">
        <v>40</v>
      </c>
      <c r="I20" s="50">
        <v>66.921999999999997</v>
      </c>
      <c r="J20" s="52">
        <v>8670</v>
      </c>
      <c r="K20" s="52" t="s">
        <v>45</v>
      </c>
      <c r="L20" s="51" t="s">
        <v>133</v>
      </c>
      <c r="M20" s="51" t="s">
        <v>286</v>
      </c>
      <c r="N20" s="51" t="s">
        <v>287</v>
      </c>
      <c r="O20" s="54">
        <v>45135</v>
      </c>
      <c r="P20" s="54">
        <v>45184</v>
      </c>
      <c r="Q20" s="51" t="s">
        <v>46</v>
      </c>
      <c r="R20" s="52">
        <v>10850</v>
      </c>
      <c r="S20" s="52">
        <v>0</v>
      </c>
      <c r="T20" s="52">
        <v>10850</v>
      </c>
      <c r="U20" s="54">
        <v>45194</v>
      </c>
      <c r="V20" s="52">
        <v>12212.07</v>
      </c>
      <c r="W20" s="52">
        <v>132500959.5</v>
      </c>
      <c r="X20" s="51"/>
      <c r="Y20" s="52">
        <v>132500959.5</v>
      </c>
      <c r="Z20" s="50" t="s">
        <v>290</v>
      </c>
    </row>
    <row r="21" spans="1:26" s="4" customFormat="1" ht="36" x14ac:dyDescent="0.3">
      <c r="A21" s="50">
        <v>17</v>
      </c>
      <c r="B21" s="51" t="s">
        <v>200</v>
      </c>
      <c r="C21" s="51" t="s">
        <v>116</v>
      </c>
      <c r="D21" s="51" t="s">
        <v>221</v>
      </c>
      <c r="E21" s="51" t="s">
        <v>202</v>
      </c>
      <c r="F21" s="51" t="s">
        <v>203</v>
      </c>
      <c r="G21" s="53">
        <v>45374.100000000297</v>
      </c>
      <c r="H21" s="51" t="s">
        <v>40</v>
      </c>
      <c r="I21" s="50">
        <v>65.941000000000003</v>
      </c>
      <c r="J21" s="52">
        <v>12185</v>
      </c>
      <c r="K21" s="52" t="s">
        <v>45</v>
      </c>
      <c r="L21" s="51" t="s">
        <v>133</v>
      </c>
      <c r="M21" s="51" t="s">
        <v>286</v>
      </c>
      <c r="N21" s="51" t="s">
        <v>287</v>
      </c>
      <c r="O21" s="54">
        <v>45135</v>
      </c>
      <c r="P21" s="54">
        <v>45184</v>
      </c>
      <c r="Q21" s="51" t="s">
        <v>46</v>
      </c>
      <c r="R21" s="52">
        <v>10850</v>
      </c>
      <c r="S21" s="52">
        <v>0</v>
      </c>
      <c r="T21" s="52">
        <v>10850</v>
      </c>
      <c r="U21" s="54">
        <v>45194</v>
      </c>
      <c r="V21" s="52">
        <v>12212.07</v>
      </c>
      <c r="W21" s="52">
        <v>132500959.5</v>
      </c>
      <c r="X21" s="51"/>
      <c r="Y21" s="52">
        <v>132500959.5</v>
      </c>
      <c r="Z21" s="50" t="s">
        <v>290</v>
      </c>
    </row>
    <row r="22" spans="1:26" s="4" customFormat="1" ht="36" x14ac:dyDescent="0.3">
      <c r="A22" s="50">
        <v>18</v>
      </c>
      <c r="B22" s="51" t="s">
        <v>200</v>
      </c>
      <c r="C22" s="51" t="s">
        <v>116</v>
      </c>
      <c r="D22" s="51" t="s">
        <v>222</v>
      </c>
      <c r="E22" s="51" t="s">
        <v>202</v>
      </c>
      <c r="F22" s="51" t="s">
        <v>203</v>
      </c>
      <c r="G22" s="53">
        <v>33131.379999999946</v>
      </c>
      <c r="H22" s="51" t="s">
        <v>40</v>
      </c>
      <c r="I22" s="50">
        <v>67.834000000000003</v>
      </c>
      <c r="J22" s="52">
        <v>7739</v>
      </c>
      <c r="K22" s="52" t="s">
        <v>45</v>
      </c>
      <c r="L22" s="51" t="s">
        <v>133</v>
      </c>
      <c r="M22" s="51" t="s">
        <v>286</v>
      </c>
      <c r="N22" s="51" t="s">
        <v>287</v>
      </c>
      <c r="O22" s="54">
        <v>45135</v>
      </c>
      <c r="P22" s="54">
        <v>45184</v>
      </c>
      <c r="Q22" s="51" t="s">
        <v>46</v>
      </c>
      <c r="R22" s="52">
        <v>10850</v>
      </c>
      <c r="S22" s="52">
        <v>0</v>
      </c>
      <c r="T22" s="52">
        <v>10850</v>
      </c>
      <c r="U22" s="54">
        <v>45194</v>
      </c>
      <c r="V22" s="52">
        <v>12212.07</v>
      </c>
      <c r="W22" s="52">
        <v>132500959.5</v>
      </c>
      <c r="X22" s="51"/>
      <c r="Y22" s="52">
        <v>132500959.5</v>
      </c>
      <c r="Z22" s="50" t="s">
        <v>290</v>
      </c>
    </row>
    <row r="23" spans="1:26" s="4" customFormat="1" ht="36" x14ac:dyDescent="0.3">
      <c r="A23" s="50">
        <v>19</v>
      </c>
      <c r="B23" s="51" t="s">
        <v>200</v>
      </c>
      <c r="C23" s="51" t="s">
        <v>116</v>
      </c>
      <c r="D23" s="51" t="s">
        <v>223</v>
      </c>
      <c r="E23" s="51" t="s">
        <v>202</v>
      </c>
      <c r="F23" s="51" t="s">
        <v>203</v>
      </c>
      <c r="G23" s="53">
        <v>60749.039999999746</v>
      </c>
      <c r="H23" s="51" t="s">
        <v>40</v>
      </c>
      <c r="I23" s="50">
        <v>66.512</v>
      </c>
      <c r="J23" s="52">
        <v>8094</v>
      </c>
      <c r="K23" s="52" t="s">
        <v>45</v>
      </c>
      <c r="L23" s="51" t="s">
        <v>133</v>
      </c>
      <c r="M23" s="51" t="s">
        <v>286</v>
      </c>
      <c r="N23" s="51" t="s">
        <v>287</v>
      </c>
      <c r="O23" s="54">
        <v>45135</v>
      </c>
      <c r="P23" s="54">
        <v>45184</v>
      </c>
      <c r="Q23" s="51" t="s">
        <v>46</v>
      </c>
      <c r="R23" s="52">
        <v>10850</v>
      </c>
      <c r="S23" s="52">
        <v>0</v>
      </c>
      <c r="T23" s="52">
        <v>10850</v>
      </c>
      <c r="U23" s="54">
        <v>45194</v>
      </c>
      <c r="V23" s="52">
        <v>12212.07</v>
      </c>
      <c r="W23" s="52">
        <v>132500959.5</v>
      </c>
      <c r="X23" s="51"/>
      <c r="Y23" s="52">
        <v>132500959.5</v>
      </c>
      <c r="Z23" s="50" t="s">
        <v>290</v>
      </c>
    </row>
    <row r="24" spans="1:26" s="4" customFormat="1" ht="36" x14ac:dyDescent="0.3">
      <c r="A24" s="50">
        <v>20</v>
      </c>
      <c r="B24" s="51" t="s">
        <v>200</v>
      </c>
      <c r="C24" s="51" t="s">
        <v>116</v>
      </c>
      <c r="D24" s="51" t="s">
        <v>224</v>
      </c>
      <c r="E24" s="51" t="s">
        <v>202</v>
      </c>
      <c r="F24" s="51" t="s">
        <v>203</v>
      </c>
      <c r="G24" s="53">
        <v>111865.72000000076</v>
      </c>
      <c r="H24" s="51" t="s">
        <v>40</v>
      </c>
      <c r="I24" s="50">
        <v>66.691999999999993</v>
      </c>
      <c r="J24" s="52">
        <v>18338</v>
      </c>
      <c r="K24" s="52" t="s">
        <v>45</v>
      </c>
      <c r="L24" s="51" t="s">
        <v>133</v>
      </c>
      <c r="M24" s="51" t="s">
        <v>286</v>
      </c>
      <c r="N24" s="51" t="s">
        <v>287</v>
      </c>
      <c r="O24" s="54">
        <v>45135</v>
      </c>
      <c r="P24" s="54">
        <v>45184</v>
      </c>
      <c r="Q24" s="51" t="s">
        <v>46</v>
      </c>
      <c r="R24" s="52">
        <v>10850</v>
      </c>
      <c r="S24" s="52">
        <v>0</v>
      </c>
      <c r="T24" s="52">
        <v>10850</v>
      </c>
      <c r="U24" s="54">
        <v>45194</v>
      </c>
      <c r="V24" s="52">
        <v>12212.07</v>
      </c>
      <c r="W24" s="52">
        <v>132500959.5</v>
      </c>
      <c r="X24" s="51"/>
      <c r="Y24" s="52">
        <v>132500959.5</v>
      </c>
      <c r="Z24" s="50" t="s">
        <v>290</v>
      </c>
    </row>
    <row r="25" spans="1:26" s="4" customFormat="1" ht="36" x14ac:dyDescent="0.3">
      <c r="A25" s="50">
        <v>21</v>
      </c>
      <c r="B25" s="51" t="s">
        <v>200</v>
      </c>
      <c r="C25" s="51" t="s">
        <v>116</v>
      </c>
      <c r="D25" s="51" t="s">
        <v>225</v>
      </c>
      <c r="E25" s="51" t="s">
        <v>202</v>
      </c>
      <c r="F25" s="51" t="s">
        <v>203</v>
      </c>
      <c r="G25" s="53">
        <v>21220.02</v>
      </c>
      <c r="H25" s="51" t="s">
        <v>40</v>
      </c>
      <c r="I25" s="50">
        <v>62.170999999999999</v>
      </c>
      <c r="J25" s="52">
        <v>3081</v>
      </c>
      <c r="K25" s="52" t="s">
        <v>45</v>
      </c>
      <c r="L25" s="51" t="s">
        <v>133</v>
      </c>
      <c r="M25" s="51" t="s">
        <v>286</v>
      </c>
      <c r="N25" s="51" t="s">
        <v>287</v>
      </c>
      <c r="O25" s="54">
        <v>45135</v>
      </c>
      <c r="P25" s="54">
        <v>45184</v>
      </c>
      <c r="Q25" s="51" t="s">
        <v>46</v>
      </c>
      <c r="R25" s="52">
        <v>10850</v>
      </c>
      <c r="S25" s="52">
        <v>0</v>
      </c>
      <c r="T25" s="52">
        <v>10850</v>
      </c>
      <c r="U25" s="54">
        <v>45194</v>
      </c>
      <c r="V25" s="52">
        <v>12212.07</v>
      </c>
      <c r="W25" s="52">
        <v>132500959.5</v>
      </c>
      <c r="X25" s="51"/>
      <c r="Y25" s="52">
        <v>132500959.5</v>
      </c>
      <c r="Z25" s="50" t="s">
        <v>290</v>
      </c>
    </row>
    <row r="26" spans="1:26" s="4" customFormat="1" ht="36" x14ac:dyDescent="0.3">
      <c r="A26" s="50">
        <v>22</v>
      </c>
      <c r="B26" s="51" t="s">
        <v>200</v>
      </c>
      <c r="C26" s="51" t="s">
        <v>116</v>
      </c>
      <c r="D26" s="51" t="s">
        <v>226</v>
      </c>
      <c r="E26" s="51" t="s">
        <v>202</v>
      </c>
      <c r="F26" s="51" t="s">
        <v>203</v>
      </c>
      <c r="G26" s="53">
        <v>29549.679999999975</v>
      </c>
      <c r="H26" s="51" t="s">
        <v>40</v>
      </c>
      <c r="I26" s="50">
        <v>67.337000000000003</v>
      </c>
      <c r="J26" s="52">
        <v>8133</v>
      </c>
      <c r="K26" s="52" t="s">
        <v>45</v>
      </c>
      <c r="L26" s="51" t="s">
        <v>133</v>
      </c>
      <c r="M26" s="51" t="s">
        <v>286</v>
      </c>
      <c r="N26" s="51" t="s">
        <v>287</v>
      </c>
      <c r="O26" s="54">
        <v>45135</v>
      </c>
      <c r="P26" s="54">
        <v>45184</v>
      </c>
      <c r="Q26" s="51" t="s">
        <v>46</v>
      </c>
      <c r="R26" s="52">
        <v>10850</v>
      </c>
      <c r="S26" s="52">
        <v>0</v>
      </c>
      <c r="T26" s="52">
        <v>10850</v>
      </c>
      <c r="U26" s="54">
        <v>45194</v>
      </c>
      <c r="V26" s="52">
        <v>12212.07</v>
      </c>
      <c r="W26" s="52">
        <v>132500959.5</v>
      </c>
      <c r="X26" s="51"/>
      <c r="Y26" s="52">
        <v>132500959.5</v>
      </c>
      <c r="Z26" s="50" t="s">
        <v>290</v>
      </c>
    </row>
    <row r="27" spans="1:26" s="4" customFormat="1" ht="36" x14ac:dyDescent="0.3">
      <c r="A27" s="50">
        <v>23</v>
      </c>
      <c r="B27" s="51" t="s">
        <v>200</v>
      </c>
      <c r="C27" s="51" t="s">
        <v>116</v>
      </c>
      <c r="D27" s="51" t="s">
        <v>227</v>
      </c>
      <c r="E27" s="51" t="s">
        <v>202</v>
      </c>
      <c r="F27" s="51" t="s">
        <v>203</v>
      </c>
      <c r="G27" s="53">
        <v>37185.31999999992</v>
      </c>
      <c r="H27" s="51" t="s">
        <v>40</v>
      </c>
      <c r="I27" s="50">
        <v>68.653999999999996</v>
      </c>
      <c r="J27" s="52">
        <v>8290</v>
      </c>
      <c r="K27" s="52" t="s">
        <v>45</v>
      </c>
      <c r="L27" s="51" t="s">
        <v>133</v>
      </c>
      <c r="M27" s="51" t="s">
        <v>286</v>
      </c>
      <c r="N27" s="51" t="s">
        <v>287</v>
      </c>
      <c r="O27" s="54">
        <v>45135</v>
      </c>
      <c r="P27" s="54">
        <v>45184</v>
      </c>
      <c r="Q27" s="51" t="s">
        <v>46</v>
      </c>
      <c r="R27" s="52">
        <v>10850</v>
      </c>
      <c r="S27" s="52">
        <v>0</v>
      </c>
      <c r="T27" s="52">
        <v>10850</v>
      </c>
      <c r="U27" s="54">
        <v>45194</v>
      </c>
      <c r="V27" s="52">
        <v>12212.07</v>
      </c>
      <c r="W27" s="52">
        <v>132500959.5</v>
      </c>
      <c r="X27" s="51"/>
      <c r="Y27" s="52">
        <v>132500959.5</v>
      </c>
      <c r="Z27" s="50" t="s">
        <v>290</v>
      </c>
    </row>
    <row r="28" spans="1:26" s="4" customFormat="1" ht="36" x14ac:dyDescent="0.3">
      <c r="A28" s="50">
        <v>24</v>
      </c>
      <c r="B28" s="51" t="s">
        <v>200</v>
      </c>
      <c r="C28" s="51" t="s">
        <v>116</v>
      </c>
      <c r="D28" s="51" t="s">
        <v>228</v>
      </c>
      <c r="E28" s="51" t="s">
        <v>202</v>
      </c>
      <c r="F28" s="51" t="s">
        <v>203</v>
      </c>
      <c r="G28" s="53">
        <v>77337.200000000041</v>
      </c>
      <c r="H28" s="51" t="s">
        <v>40</v>
      </c>
      <c r="I28" s="50">
        <v>63.104999999999997</v>
      </c>
      <c r="J28" s="52">
        <v>6424</v>
      </c>
      <c r="K28" s="52" t="s">
        <v>45</v>
      </c>
      <c r="L28" s="51" t="s">
        <v>133</v>
      </c>
      <c r="M28" s="51" t="s">
        <v>286</v>
      </c>
      <c r="N28" s="51" t="s">
        <v>287</v>
      </c>
      <c r="O28" s="54">
        <v>45135</v>
      </c>
      <c r="P28" s="54">
        <v>45184</v>
      </c>
      <c r="Q28" s="51" t="s">
        <v>46</v>
      </c>
      <c r="R28" s="52">
        <v>10850</v>
      </c>
      <c r="S28" s="52">
        <v>0</v>
      </c>
      <c r="T28" s="52">
        <v>10850</v>
      </c>
      <c r="U28" s="54">
        <v>45194</v>
      </c>
      <c r="V28" s="52">
        <v>12212.07</v>
      </c>
      <c r="W28" s="52">
        <v>132500959.5</v>
      </c>
      <c r="X28" s="51"/>
      <c r="Y28" s="52">
        <v>132500959.5</v>
      </c>
      <c r="Z28" s="50" t="s">
        <v>290</v>
      </c>
    </row>
    <row r="29" spans="1:26" s="4" customFormat="1" ht="36" x14ac:dyDescent="0.3">
      <c r="A29" s="50">
        <v>25</v>
      </c>
      <c r="B29" s="51" t="s">
        <v>200</v>
      </c>
      <c r="C29" s="51" t="s">
        <v>116</v>
      </c>
      <c r="D29" s="51" t="s">
        <v>229</v>
      </c>
      <c r="E29" s="51" t="s">
        <v>202</v>
      </c>
      <c r="F29" s="51" t="s">
        <v>203</v>
      </c>
      <c r="G29" s="53">
        <v>54973.899999999798</v>
      </c>
      <c r="H29" s="51" t="s">
        <v>40</v>
      </c>
      <c r="I29" s="50">
        <v>66.185000000000002</v>
      </c>
      <c r="J29" s="52">
        <v>11369</v>
      </c>
      <c r="K29" s="52" t="s">
        <v>45</v>
      </c>
      <c r="L29" s="51" t="s">
        <v>133</v>
      </c>
      <c r="M29" s="51" t="s">
        <v>286</v>
      </c>
      <c r="N29" s="51" t="s">
        <v>287</v>
      </c>
      <c r="O29" s="54">
        <v>45135</v>
      </c>
      <c r="P29" s="54">
        <v>45184</v>
      </c>
      <c r="Q29" s="51" t="s">
        <v>46</v>
      </c>
      <c r="R29" s="52">
        <v>10850</v>
      </c>
      <c r="S29" s="52">
        <v>0</v>
      </c>
      <c r="T29" s="52">
        <v>10850</v>
      </c>
      <c r="U29" s="54">
        <v>45194</v>
      </c>
      <c r="V29" s="52">
        <v>12212.07</v>
      </c>
      <c r="W29" s="52">
        <v>132500959.5</v>
      </c>
      <c r="X29" s="51"/>
      <c r="Y29" s="52">
        <v>132500959.5</v>
      </c>
      <c r="Z29" s="50" t="s">
        <v>290</v>
      </c>
    </row>
    <row r="30" spans="1:26" s="4" customFormat="1" ht="36" x14ac:dyDescent="0.3">
      <c r="A30" s="50">
        <v>26</v>
      </c>
      <c r="B30" s="51" t="s">
        <v>200</v>
      </c>
      <c r="C30" s="51" t="s">
        <v>116</v>
      </c>
      <c r="D30" s="51" t="s">
        <v>230</v>
      </c>
      <c r="E30" s="51" t="s">
        <v>202</v>
      </c>
      <c r="F30" s="51" t="s">
        <v>203</v>
      </c>
      <c r="G30" s="53">
        <v>37188.640000000007</v>
      </c>
      <c r="H30" s="51" t="s">
        <v>40</v>
      </c>
      <c r="I30" s="50">
        <v>63.988999999999997</v>
      </c>
      <c r="J30" s="52">
        <v>5300</v>
      </c>
      <c r="K30" s="52" t="s">
        <v>45</v>
      </c>
      <c r="L30" s="51" t="s">
        <v>133</v>
      </c>
      <c r="M30" s="51" t="s">
        <v>286</v>
      </c>
      <c r="N30" s="51" t="s">
        <v>287</v>
      </c>
      <c r="O30" s="54">
        <v>45135</v>
      </c>
      <c r="P30" s="54">
        <v>45184</v>
      </c>
      <c r="Q30" s="51" t="s">
        <v>46</v>
      </c>
      <c r="R30" s="52">
        <v>10850</v>
      </c>
      <c r="S30" s="52">
        <v>0</v>
      </c>
      <c r="T30" s="52">
        <v>10850</v>
      </c>
      <c r="U30" s="54">
        <v>45194</v>
      </c>
      <c r="V30" s="52">
        <v>12212.07</v>
      </c>
      <c r="W30" s="52">
        <v>132500959.5</v>
      </c>
      <c r="X30" s="51"/>
      <c r="Y30" s="52">
        <v>132500959.5</v>
      </c>
      <c r="Z30" s="50" t="s">
        <v>290</v>
      </c>
    </row>
    <row r="31" spans="1:26" s="4" customFormat="1" ht="36" x14ac:dyDescent="0.3">
      <c r="A31" s="50">
        <v>27</v>
      </c>
      <c r="B31" s="51" t="s">
        <v>200</v>
      </c>
      <c r="C31" s="51" t="s">
        <v>116</v>
      </c>
      <c r="D31" s="51" t="s">
        <v>231</v>
      </c>
      <c r="E31" s="51" t="s">
        <v>202</v>
      </c>
      <c r="F31" s="51" t="s">
        <v>203</v>
      </c>
      <c r="G31" s="53">
        <v>77796.299999999479</v>
      </c>
      <c r="H31" s="51" t="s">
        <v>40</v>
      </c>
      <c r="I31" s="50">
        <v>66.097999999999999</v>
      </c>
      <c r="J31" s="52">
        <v>8014</v>
      </c>
      <c r="K31" s="52" t="s">
        <v>45</v>
      </c>
      <c r="L31" s="51" t="s">
        <v>133</v>
      </c>
      <c r="M31" s="51" t="s">
        <v>286</v>
      </c>
      <c r="N31" s="51" t="s">
        <v>287</v>
      </c>
      <c r="O31" s="54">
        <v>45135</v>
      </c>
      <c r="P31" s="54">
        <v>45184</v>
      </c>
      <c r="Q31" s="51" t="s">
        <v>46</v>
      </c>
      <c r="R31" s="52">
        <v>10850</v>
      </c>
      <c r="S31" s="52">
        <v>0</v>
      </c>
      <c r="T31" s="52">
        <v>10850</v>
      </c>
      <c r="U31" s="54">
        <v>45194</v>
      </c>
      <c r="V31" s="52">
        <v>12212.07</v>
      </c>
      <c r="W31" s="52">
        <v>132500959.5</v>
      </c>
      <c r="X31" s="51"/>
      <c r="Y31" s="52">
        <v>132500959.5</v>
      </c>
      <c r="Z31" s="50" t="s">
        <v>290</v>
      </c>
    </row>
    <row r="32" spans="1:26" s="4" customFormat="1" ht="36" x14ac:dyDescent="0.3">
      <c r="A32" s="50">
        <v>28</v>
      </c>
      <c r="B32" s="51" t="s">
        <v>200</v>
      </c>
      <c r="C32" s="51" t="s">
        <v>116</v>
      </c>
      <c r="D32" s="51" t="s">
        <v>232</v>
      </c>
      <c r="E32" s="51" t="s">
        <v>202</v>
      </c>
      <c r="F32" s="51" t="s">
        <v>203</v>
      </c>
      <c r="G32" s="53">
        <v>31711.539999999994</v>
      </c>
      <c r="H32" s="51" t="s">
        <v>40</v>
      </c>
      <c r="I32" s="50">
        <v>67.902000000000001</v>
      </c>
      <c r="J32" s="52">
        <v>8694</v>
      </c>
      <c r="K32" s="52" t="s">
        <v>45</v>
      </c>
      <c r="L32" s="51" t="s">
        <v>133</v>
      </c>
      <c r="M32" s="51" t="s">
        <v>286</v>
      </c>
      <c r="N32" s="51" t="s">
        <v>287</v>
      </c>
      <c r="O32" s="54">
        <v>45135</v>
      </c>
      <c r="P32" s="54">
        <v>45184</v>
      </c>
      <c r="Q32" s="51" t="s">
        <v>46</v>
      </c>
      <c r="R32" s="52">
        <v>10850</v>
      </c>
      <c r="S32" s="52">
        <v>0</v>
      </c>
      <c r="T32" s="52">
        <v>10850</v>
      </c>
      <c r="U32" s="54">
        <v>45194</v>
      </c>
      <c r="V32" s="52">
        <v>12212.07</v>
      </c>
      <c r="W32" s="52">
        <v>132500959.5</v>
      </c>
      <c r="X32" s="51"/>
      <c r="Y32" s="52">
        <v>132500959.5</v>
      </c>
      <c r="Z32" s="50" t="s">
        <v>290</v>
      </c>
    </row>
    <row r="33" spans="1:26" s="4" customFormat="1" ht="36" x14ac:dyDescent="0.3">
      <c r="A33" s="50">
        <v>29</v>
      </c>
      <c r="B33" s="51" t="s">
        <v>200</v>
      </c>
      <c r="C33" s="51" t="s">
        <v>116</v>
      </c>
      <c r="D33" s="51" t="s">
        <v>233</v>
      </c>
      <c r="E33" s="51" t="s">
        <v>202</v>
      </c>
      <c r="F33" s="51" t="s">
        <v>203</v>
      </c>
      <c r="G33" s="53">
        <v>52645.319999999992</v>
      </c>
      <c r="H33" s="51" t="s">
        <v>40</v>
      </c>
      <c r="I33" s="50">
        <v>66.623999999999995</v>
      </c>
      <c r="J33" s="52">
        <v>11557</v>
      </c>
      <c r="K33" s="52" t="s">
        <v>45</v>
      </c>
      <c r="L33" s="51" t="s">
        <v>133</v>
      </c>
      <c r="M33" s="51" t="s">
        <v>286</v>
      </c>
      <c r="N33" s="51" t="s">
        <v>287</v>
      </c>
      <c r="O33" s="54">
        <v>45135</v>
      </c>
      <c r="P33" s="54">
        <v>45184</v>
      </c>
      <c r="Q33" s="51" t="s">
        <v>46</v>
      </c>
      <c r="R33" s="52">
        <v>10850</v>
      </c>
      <c r="S33" s="52">
        <v>0</v>
      </c>
      <c r="T33" s="52">
        <v>10850</v>
      </c>
      <c r="U33" s="54">
        <v>45194</v>
      </c>
      <c r="V33" s="52">
        <v>12212.07</v>
      </c>
      <c r="W33" s="52">
        <v>132500959.5</v>
      </c>
      <c r="X33" s="51"/>
      <c r="Y33" s="52">
        <v>132500959.5</v>
      </c>
      <c r="Z33" s="50" t="s">
        <v>290</v>
      </c>
    </row>
    <row r="34" spans="1:26" s="4" customFormat="1" ht="36" x14ac:dyDescent="0.3">
      <c r="A34" s="50">
        <v>30</v>
      </c>
      <c r="B34" s="51" t="s">
        <v>200</v>
      </c>
      <c r="C34" s="51" t="s">
        <v>116</v>
      </c>
      <c r="D34" s="51" t="s">
        <v>234</v>
      </c>
      <c r="E34" s="51" t="s">
        <v>202</v>
      </c>
      <c r="F34" s="51" t="s">
        <v>203</v>
      </c>
      <c r="G34" s="53">
        <v>197741</v>
      </c>
      <c r="H34" s="51" t="s">
        <v>40</v>
      </c>
      <c r="I34" s="50">
        <v>64.3</v>
      </c>
      <c r="J34" s="52">
        <v>15895</v>
      </c>
      <c r="K34" s="52" t="s">
        <v>45</v>
      </c>
      <c r="L34" s="51" t="s">
        <v>133</v>
      </c>
      <c r="M34" s="51" t="s">
        <v>286</v>
      </c>
      <c r="N34" s="51" t="s">
        <v>287</v>
      </c>
      <c r="O34" s="54">
        <v>45135</v>
      </c>
      <c r="P34" s="54">
        <v>45184</v>
      </c>
      <c r="Q34" s="51" t="s">
        <v>46</v>
      </c>
      <c r="R34" s="52">
        <v>10850</v>
      </c>
      <c r="S34" s="52">
        <v>0</v>
      </c>
      <c r="T34" s="52">
        <v>10850</v>
      </c>
      <c r="U34" s="54">
        <v>45194</v>
      </c>
      <c r="V34" s="52">
        <v>12212.07</v>
      </c>
      <c r="W34" s="52">
        <v>132500959.5</v>
      </c>
      <c r="X34" s="51"/>
      <c r="Y34" s="52">
        <v>132500959.5</v>
      </c>
      <c r="Z34" s="50" t="s">
        <v>290</v>
      </c>
    </row>
    <row r="35" spans="1:26" s="4" customFormat="1" ht="36" x14ac:dyDescent="0.3">
      <c r="A35" s="50">
        <v>31</v>
      </c>
      <c r="B35" s="51" t="s">
        <v>200</v>
      </c>
      <c r="C35" s="51" t="s">
        <v>116</v>
      </c>
      <c r="D35" s="51" t="s">
        <v>235</v>
      </c>
      <c r="E35" s="51" t="s">
        <v>202</v>
      </c>
      <c r="F35" s="51" t="s">
        <v>203</v>
      </c>
      <c r="G35" s="53">
        <v>176170.46000000005</v>
      </c>
      <c r="H35" s="51" t="s">
        <v>40</v>
      </c>
      <c r="I35" s="50">
        <v>68.055000000000007</v>
      </c>
      <c r="J35" s="52">
        <v>15641</v>
      </c>
      <c r="K35" s="52" t="s">
        <v>45</v>
      </c>
      <c r="L35" s="51" t="s">
        <v>133</v>
      </c>
      <c r="M35" s="51" t="s">
        <v>286</v>
      </c>
      <c r="N35" s="51" t="s">
        <v>287</v>
      </c>
      <c r="O35" s="54">
        <v>45135</v>
      </c>
      <c r="P35" s="54">
        <v>45184</v>
      </c>
      <c r="Q35" s="51" t="s">
        <v>46</v>
      </c>
      <c r="R35" s="52">
        <v>10850</v>
      </c>
      <c r="S35" s="52">
        <v>0</v>
      </c>
      <c r="T35" s="52">
        <v>10850</v>
      </c>
      <c r="U35" s="54">
        <v>45194</v>
      </c>
      <c r="V35" s="52">
        <v>12212.07</v>
      </c>
      <c r="W35" s="52">
        <v>132500959.5</v>
      </c>
      <c r="X35" s="51"/>
      <c r="Y35" s="52">
        <v>132500959.5</v>
      </c>
      <c r="Z35" s="50" t="s">
        <v>290</v>
      </c>
    </row>
    <row r="36" spans="1:26" s="4" customFormat="1" ht="36" x14ac:dyDescent="0.3">
      <c r="A36" s="50">
        <v>32</v>
      </c>
      <c r="B36" s="51" t="s">
        <v>200</v>
      </c>
      <c r="C36" s="51" t="s">
        <v>116</v>
      </c>
      <c r="D36" s="51" t="s">
        <v>236</v>
      </c>
      <c r="E36" s="51" t="s">
        <v>202</v>
      </c>
      <c r="F36" s="51" t="s">
        <v>212</v>
      </c>
      <c r="G36" s="53">
        <v>149230.43</v>
      </c>
      <c r="H36" s="51" t="s">
        <v>40</v>
      </c>
      <c r="I36" s="50">
        <v>67.488</v>
      </c>
      <c r="J36" s="52">
        <v>18213</v>
      </c>
      <c r="K36" s="52" t="s">
        <v>45</v>
      </c>
      <c r="L36" s="51" t="s">
        <v>133</v>
      </c>
      <c r="M36" s="51" t="s">
        <v>286</v>
      </c>
      <c r="N36" s="51" t="s">
        <v>287</v>
      </c>
      <c r="O36" s="54">
        <v>45135</v>
      </c>
      <c r="P36" s="54">
        <v>45184</v>
      </c>
      <c r="Q36" s="51" t="s">
        <v>46</v>
      </c>
      <c r="R36" s="52">
        <v>10850</v>
      </c>
      <c r="S36" s="52">
        <v>0</v>
      </c>
      <c r="T36" s="52">
        <v>10850</v>
      </c>
      <c r="U36" s="54">
        <v>45194</v>
      </c>
      <c r="V36" s="52">
        <v>12212.07</v>
      </c>
      <c r="W36" s="52">
        <v>132500959.5</v>
      </c>
      <c r="X36" s="51"/>
      <c r="Y36" s="52">
        <v>132500959.5</v>
      </c>
      <c r="Z36" s="50" t="s">
        <v>290</v>
      </c>
    </row>
    <row r="37" spans="1:26" s="4" customFormat="1" ht="36" x14ac:dyDescent="0.3">
      <c r="A37" s="50">
        <v>33</v>
      </c>
      <c r="B37" s="51" t="s">
        <v>200</v>
      </c>
      <c r="C37" s="51" t="s">
        <v>116</v>
      </c>
      <c r="D37" s="51" t="s">
        <v>237</v>
      </c>
      <c r="E37" s="51" t="s">
        <v>202</v>
      </c>
      <c r="F37" s="51" t="s">
        <v>203</v>
      </c>
      <c r="G37" s="53">
        <v>144689.93000000139</v>
      </c>
      <c r="H37" s="51" t="s">
        <v>40</v>
      </c>
      <c r="I37" s="50">
        <v>67.453999999999994</v>
      </c>
      <c r="J37" s="52">
        <v>18179</v>
      </c>
      <c r="K37" s="52" t="s">
        <v>45</v>
      </c>
      <c r="L37" s="51" t="s">
        <v>133</v>
      </c>
      <c r="M37" s="51" t="s">
        <v>286</v>
      </c>
      <c r="N37" s="51" t="s">
        <v>287</v>
      </c>
      <c r="O37" s="54">
        <v>45135</v>
      </c>
      <c r="P37" s="54">
        <v>45184</v>
      </c>
      <c r="Q37" s="51" t="s">
        <v>46</v>
      </c>
      <c r="R37" s="52">
        <v>10850</v>
      </c>
      <c r="S37" s="52">
        <v>0</v>
      </c>
      <c r="T37" s="52">
        <v>10850</v>
      </c>
      <c r="U37" s="54">
        <v>45194</v>
      </c>
      <c r="V37" s="52">
        <v>12212.07</v>
      </c>
      <c r="W37" s="52">
        <v>132500959.5</v>
      </c>
      <c r="X37" s="51"/>
      <c r="Y37" s="52">
        <v>132500959.5</v>
      </c>
      <c r="Z37" s="50" t="s">
        <v>290</v>
      </c>
    </row>
    <row r="38" spans="1:26" s="4" customFormat="1" ht="36" x14ac:dyDescent="0.3">
      <c r="A38" s="50">
        <v>34</v>
      </c>
      <c r="B38" s="51" t="s">
        <v>200</v>
      </c>
      <c r="C38" s="51" t="s">
        <v>116</v>
      </c>
      <c r="D38" s="51" t="s">
        <v>238</v>
      </c>
      <c r="E38" s="51" t="s">
        <v>202</v>
      </c>
      <c r="F38" s="51" t="s">
        <v>203</v>
      </c>
      <c r="G38" s="53">
        <v>228741.84000000008</v>
      </c>
      <c r="H38" s="51" t="s">
        <v>40</v>
      </c>
      <c r="I38" s="50">
        <v>68.234999999999999</v>
      </c>
      <c r="J38" s="52">
        <v>18669</v>
      </c>
      <c r="K38" s="52" t="s">
        <v>45</v>
      </c>
      <c r="L38" s="51" t="s">
        <v>133</v>
      </c>
      <c r="M38" s="51" t="s">
        <v>286</v>
      </c>
      <c r="N38" s="51" t="s">
        <v>287</v>
      </c>
      <c r="O38" s="54">
        <v>45135</v>
      </c>
      <c r="P38" s="54">
        <v>45184</v>
      </c>
      <c r="Q38" s="51" t="s">
        <v>46</v>
      </c>
      <c r="R38" s="52">
        <v>10850</v>
      </c>
      <c r="S38" s="52">
        <v>0</v>
      </c>
      <c r="T38" s="52">
        <v>10850</v>
      </c>
      <c r="U38" s="54">
        <v>45194</v>
      </c>
      <c r="V38" s="52">
        <v>12212.07</v>
      </c>
      <c r="W38" s="52">
        <v>132500959.5</v>
      </c>
      <c r="X38" s="51"/>
      <c r="Y38" s="52">
        <v>132500959.5</v>
      </c>
      <c r="Z38" s="50" t="s">
        <v>290</v>
      </c>
    </row>
    <row r="39" spans="1:26" s="4" customFormat="1" ht="36" x14ac:dyDescent="0.3">
      <c r="A39" s="50">
        <v>35</v>
      </c>
      <c r="B39" s="51" t="s">
        <v>200</v>
      </c>
      <c r="C39" s="51" t="s">
        <v>116</v>
      </c>
      <c r="D39" s="51" t="s">
        <v>239</v>
      </c>
      <c r="E39" s="51" t="s">
        <v>202</v>
      </c>
      <c r="F39" s="51" t="s">
        <v>203</v>
      </c>
      <c r="G39" s="53">
        <v>55118.819999999978</v>
      </c>
      <c r="H39" s="51" t="s">
        <v>40</v>
      </c>
      <c r="I39" s="50">
        <v>67.513000000000005</v>
      </c>
      <c r="J39" s="52">
        <v>11745</v>
      </c>
      <c r="K39" s="52" t="s">
        <v>45</v>
      </c>
      <c r="L39" s="51" t="s">
        <v>133</v>
      </c>
      <c r="M39" s="51" t="s">
        <v>286</v>
      </c>
      <c r="N39" s="51" t="s">
        <v>287</v>
      </c>
      <c r="O39" s="54">
        <v>45135</v>
      </c>
      <c r="P39" s="54">
        <v>45184</v>
      </c>
      <c r="Q39" s="51" t="s">
        <v>46</v>
      </c>
      <c r="R39" s="52">
        <v>10850</v>
      </c>
      <c r="S39" s="52">
        <v>0</v>
      </c>
      <c r="T39" s="52">
        <v>10850</v>
      </c>
      <c r="U39" s="54">
        <v>45194</v>
      </c>
      <c r="V39" s="52">
        <v>12212.07</v>
      </c>
      <c r="W39" s="52">
        <v>132500959.5</v>
      </c>
      <c r="X39" s="51"/>
      <c r="Y39" s="52">
        <v>132500959.5</v>
      </c>
      <c r="Z39" s="50" t="s">
        <v>290</v>
      </c>
    </row>
    <row r="40" spans="1:26" s="4" customFormat="1" ht="36" x14ac:dyDescent="0.3">
      <c r="A40" s="50">
        <v>36</v>
      </c>
      <c r="B40" s="51" t="s">
        <v>200</v>
      </c>
      <c r="C40" s="51" t="s">
        <v>116</v>
      </c>
      <c r="D40" s="51" t="s">
        <v>240</v>
      </c>
      <c r="E40" s="51" t="s">
        <v>202</v>
      </c>
      <c r="F40" s="51" t="s">
        <v>203</v>
      </c>
      <c r="G40" s="53">
        <v>57179.039999999964</v>
      </c>
      <c r="H40" s="51" t="s">
        <v>40</v>
      </c>
      <c r="I40" s="50">
        <v>66.016999999999996</v>
      </c>
      <c r="J40" s="52">
        <v>9636</v>
      </c>
      <c r="K40" s="52" t="s">
        <v>45</v>
      </c>
      <c r="L40" s="51" t="s">
        <v>133</v>
      </c>
      <c r="M40" s="51" t="s">
        <v>286</v>
      </c>
      <c r="N40" s="51" t="s">
        <v>287</v>
      </c>
      <c r="O40" s="54">
        <v>45135</v>
      </c>
      <c r="P40" s="54">
        <v>45184</v>
      </c>
      <c r="Q40" s="51" t="s">
        <v>46</v>
      </c>
      <c r="R40" s="52">
        <v>10850</v>
      </c>
      <c r="S40" s="52">
        <v>0</v>
      </c>
      <c r="T40" s="52">
        <v>10850</v>
      </c>
      <c r="U40" s="54">
        <v>45194</v>
      </c>
      <c r="V40" s="52">
        <v>12212.07</v>
      </c>
      <c r="W40" s="52">
        <v>132500959.5</v>
      </c>
      <c r="X40" s="51"/>
      <c r="Y40" s="52">
        <v>132500959.5</v>
      </c>
      <c r="Z40" s="50" t="s">
        <v>290</v>
      </c>
    </row>
    <row r="41" spans="1:26" s="4" customFormat="1" ht="36" x14ac:dyDescent="0.3">
      <c r="A41" s="50">
        <v>37</v>
      </c>
      <c r="B41" s="51" t="s">
        <v>200</v>
      </c>
      <c r="C41" s="51" t="s">
        <v>116</v>
      </c>
      <c r="D41" s="51" t="s">
        <v>241</v>
      </c>
      <c r="E41" s="51" t="s">
        <v>202</v>
      </c>
      <c r="F41" s="51" t="s">
        <v>203</v>
      </c>
      <c r="G41" s="53">
        <v>231806.27999999994</v>
      </c>
      <c r="H41" s="51" t="s">
        <v>40</v>
      </c>
      <c r="I41" s="50">
        <v>68.234999999999999</v>
      </c>
      <c r="J41" s="52">
        <v>20721</v>
      </c>
      <c r="K41" s="52" t="s">
        <v>45</v>
      </c>
      <c r="L41" s="51" t="s">
        <v>133</v>
      </c>
      <c r="M41" s="51" t="s">
        <v>286</v>
      </c>
      <c r="N41" s="51" t="s">
        <v>287</v>
      </c>
      <c r="O41" s="54">
        <v>45135</v>
      </c>
      <c r="P41" s="54">
        <v>45184</v>
      </c>
      <c r="Q41" s="51" t="s">
        <v>46</v>
      </c>
      <c r="R41" s="52">
        <v>10850</v>
      </c>
      <c r="S41" s="52">
        <v>0</v>
      </c>
      <c r="T41" s="52">
        <v>10850</v>
      </c>
      <c r="U41" s="54">
        <v>45194</v>
      </c>
      <c r="V41" s="52">
        <v>12212.07</v>
      </c>
      <c r="W41" s="52">
        <v>132500959.5</v>
      </c>
      <c r="X41" s="51"/>
      <c r="Y41" s="52">
        <v>132500959.5</v>
      </c>
      <c r="Z41" s="50" t="s">
        <v>290</v>
      </c>
    </row>
    <row r="42" spans="1:26" s="4" customFormat="1" ht="36" x14ac:dyDescent="0.3">
      <c r="A42" s="50">
        <v>38</v>
      </c>
      <c r="B42" s="51" t="s">
        <v>200</v>
      </c>
      <c r="C42" s="51" t="s">
        <v>116</v>
      </c>
      <c r="D42" s="51" t="s">
        <v>242</v>
      </c>
      <c r="E42" s="51" t="s">
        <v>202</v>
      </c>
      <c r="F42" s="51" t="s">
        <v>203</v>
      </c>
      <c r="G42" s="53">
        <v>237164.89999999997</v>
      </c>
      <c r="H42" s="51" t="s">
        <v>40</v>
      </c>
      <c r="I42" s="50">
        <v>67.081000000000003</v>
      </c>
      <c r="J42" s="52">
        <v>20604</v>
      </c>
      <c r="K42" s="52" t="s">
        <v>45</v>
      </c>
      <c r="L42" s="51" t="s">
        <v>133</v>
      </c>
      <c r="M42" s="51" t="s">
        <v>286</v>
      </c>
      <c r="N42" s="51" t="s">
        <v>287</v>
      </c>
      <c r="O42" s="54">
        <v>45135</v>
      </c>
      <c r="P42" s="54">
        <v>45184</v>
      </c>
      <c r="Q42" s="51" t="s">
        <v>46</v>
      </c>
      <c r="R42" s="52">
        <v>10850</v>
      </c>
      <c r="S42" s="52">
        <v>0</v>
      </c>
      <c r="T42" s="52">
        <v>10850</v>
      </c>
      <c r="U42" s="54">
        <v>45194</v>
      </c>
      <c r="V42" s="52">
        <v>12212.07</v>
      </c>
      <c r="W42" s="52">
        <v>132500959.5</v>
      </c>
      <c r="X42" s="51"/>
      <c r="Y42" s="52">
        <v>132500959.5</v>
      </c>
      <c r="Z42" s="50" t="s">
        <v>290</v>
      </c>
    </row>
    <row r="43" spans="1:26" s="4" customFormat="1" ht="36" x14ac:dyDescent="0.3">
      <c r="A43" s="50">
        <v>39</v>
      </c>
      <c r="B43" s="51" t="s">
        <v>200</v>
      </c>
      <c r="C43" s="51" t="s">
        <v>116</v>
      </c>
      <c r="D43" s="51" t="s">
        <v>243</v>
      </c>
      <c r="E43" s="51" t="s">
        <v>202</v>
      </c>
      <c r="F43" s="51" t="s">
        <v>244</v>
      </c>
      <c r="G43" s="53">
        <v>42850.240000000085</v>
      </c>
      <c r="H43" s="51" t="s">
        <v>40</v>
      </c>
      <c r="I43" s="50">
        <v>69.125</v>
      </c>
      <c r="J43" s="52">
        <v>11886</v>
      </c>
      <c r="K43" s="52" t="s">
        <v>45</v>
      </c>
      <c r="L43" s="51" t="s">
        <v>133</v>
      </c>
      <c r="M43" s="51" t="s">
        <v>286</v>
      </c>
      <c r="N43" s="51" t="s">
        <v>287</v>
      </c>
      <c r="O43" s="54">
        <v>45135</v>
      </c>
      <c r="P43" s="54">
        <v>45184</v>
      </c>
      <c r="Q43" s="51" t="s">
        <v>46</v>
      </c>
      <c r="R43" s="52">
        <v>10850</v>
      </c>
      <c r="S43" s="52">
        <v>0</v>
      </c>
      <c r="T43" s="52">
        <v>10850</v>
      </c>
      <c r="U43" s="54">
        <v>45194</v>
      </c>
      <c r="V43" s="52">
        <v>12212.07</v>
      </c>
      <c r="W43" s="52">
        <v>132500959.5</v>
      </c>
      <c r="X43" s="51"/>
      <c r="Y43" s="52">
        <v>132500959.5</v>
      </c>
      <c r="Z43" s="50" t="s">
        <v>290</v>
      </c>
    </row>
    <row r="44" spans="1:26" s="4" customFormat="1" ht="36" x14ac:dyDescent="0.3">
      <c r="A44" s="50">
        <v>40</v>
      </c>
      <c r="B44" s="51" t="s">
        <v>200</v>
      </c>
      <c r="C44" s="51" t="s">
        <v>116</v>
      </c>
      <c r="D44" s="51" t="s">
        <v>245</v>
      </c>
      <c r="E44" s="51" t="s">
        <v>202</v>
      </c>
      <c r="F44" s="51" t="s">
        <v>244</v>
      </c>
      <c r="G44" s="53">
        <v>33687.959999999985</v>
      </c>
      <c r="H44" s="51" t="s">
        <v>40</v>
      </c>
      <c r="I44" s="50">
        <v>66.643000000000001</v>
      </c>
      <c r="J44" s="52">
        <v>7393</v>
      </c>
      <c r="K44" s="52" t="s">
        <v>45</v>
      </c>
      <c r="L44" s="51" t="s">
        <v>133</v>
      </c>
      <c r="M44" s="51" t="s">
        <v>286</v>
      </c>
      <c r="N44" s="51" t="s">
        <v>287</v>
      </c>
      <c r="O44" s="54">
        <v>45135</v>
      </c>
      <c r="P44" s="54">
        <v>45184</v>
      </c>
      <c r="Q44" s="51" t="s">
        <v>46</v>
      </c>
      <c r="R44" s="52">
        <v>10850</v>
      </c>
      <c r="S44" s="52">
        <v>0</v>
      </c>
      <c r="T44" s="52">
        <v>10850</v>
      </c>
      <c r="U44" s="54">
        <v>45194</v>
      </c>
      <c r="V44" s="52">
        <v>12212.07</v>
      </c>
      <c r="W44" s="52">
        <v>132500959.5</v>
      </c>
      <c r="X44" s="51"/>
      <c r="Y44" s="52">
        <v>132500959.5</v>
      </c>
      <c r="Z44" s="50" t="s">
        <v>290</v>
      </c>
    </row>
    <row r="45" spans="1:26" s="4" customFormat="1" ht="36" x14ac:dyDescent="0.3">
      <c r="A45" s="50">
        <v>41</v>
      </c>
      <c r="B45" s="51" t="s">
        <v>200</v>
      </c>
      <c r="C45" s="51" t="s">
        <v>116</v>
      </c>
      <c r="D45" s="51" t="s">
        <v>246</v>
      </c>
      <c r="E45" s="51" t="s">
        <v>202</v>
      </c>
      <c r="F45" s="51" t="s">
        <v>244</v>
      </c>
      <c r="G45" s="53">
        <v>47758.160000000011</v>
      </c>
      <c r="H45" s="51" t="s">
        <v>40</v>
      </c>
      <c r="I45" s="50">
        <v>67.236000000000004</v>
      </c>
      <c r="J45" s="52">
        <v>9386</v>
      </c>
      <c r="K45" s="52" t="s">
        <v>45</v>
      </c>
      <c r="L45" s="51" t="s">
        <v>133</v>
      </c>
      <c r="M45" s="51" t="s">
        <v>286</v>
      </c>
      <c r="N45" s="51" t="s">
        <v>287</v>
      </c>
      <c r="O45" s="54">
        <v>45135</v>
      </c>
      <c r="P45" s="54">
        <v>45184</v>
      </c>
      <c r="Q45" s="51" t="s">
        <v>46</v>
      </c>
      <c r="R45" s="52">
        <v>10850</v>
      </c>
      <c r="S45" s="52">
        <v>0</v>
      </c>
      <c r="T45" s="52">
        <v>10850</v>
      </c>
      <c r="U45" s="54">
        <v>45194</v>
      </c>
      <c r="V45" s="52">
        <v>12212.07</v>
      </c>
      <c r="W45" s="52">
        <v>132500959.5</v>
      </c>
      <c r="X45" s="51"/>
      <c r="Y45" s="52">
        <v>132500959.5</v>
      </c>
      <c r="Z45" s="50" t="s">
        <v>290</v>
      </c>
    </row>
    <row r="46" spans="1:26" s="4" customFormat="1" ht="36" x14ac:dyDescent="0.3">
      <c r="A46" s="50">
        <v>42</v>
      </c>
      <c r="B46" s="51" t="s">
        <v>200</v>
      </c>
      <c r="C46" s="51" t="s">
        <v>116</v>
      </c>
      <c r="D46" s="51" t="s">
        <v>247</v>
      </c>
      <c r="E46" s="51" t="s">
        <v>202</v>
      </c>
      <c r="F46" s="51" t="s">
        <v>244</v>
      </c>
      <c r="G46" s="53">
        <v>137765.51999999973</v>
      </c>
      <c r="H46" s="51" t="s">
        <v>40</v>
      </c>
      <c r="I46" s="50">
        <v>67.421000000000006</v>
      </c>
      <c r="J46" s="52">
        <v>20109</v>
      </c>
      <c r="K46" s="52" t="s">
        <v>45</v>
      </c>
      <c r="L46" s="51" t="s">
        <v>133</v>
      </c>
      <c r="M46" s="51" t="s">
        <v>286</v>
      </c>
      <c r="N46" s="51" t="s">
        <v>287</v>
      </c>
      <c r="O46" s="54">
        <v>45135</v>
      </c>
      <c r="P46" s="54">
        <v>45184</v>
      </c>
      <c r="Q46" s="51" t="s">
        <v>46</v>
      </c>
      <c r="R46" s="52">
        <v>10850</v>
      </c>
      <c r="S46" s="52">
        <v>0</v>
      </c>
      <c r="T46" s="52">
        <v>10850</v>
      </c>
      <c r="U46" s="54">
        <v>45194</v>
      </c>
      <c r="V46" s="52">
        <v>12212.07</v>
      </c>
      <c r="W46" s="52">
        <v>132500959.5</v>
      </c>
      <c r="X46" s="51"/>
      <c r="Y46" s="52">
        <v>132500959.5</v>
      </c>
      <c r="Z46" s="50" t="s">
        <v>290</v>
      </c>
    </row>
    <row r="47" spans="1:26" s="4" customFormat="1" ht="36" x14ac:dyDescent="0.3">
      <c r="A47" s="50">
        <v>43</v>
      </c>
      <c r="B47" s="51" t="s">
        <v>200</v>
      </c>
      <c r="C47" s="51" t="s">
        <v>116</v>
      </c>
      <c r="D47" s="51" t="s">
        <v>248</v>
      </c>
      <c r="E47" s="51" t="s">
        <v>202</v>
      </c>
      <c r="F47" s="51" t="s">
        <v>244</v>
      </c>
      <c r="G47" s="53">
        <v>57229.560000000063</v>
      </c>
      <c r="H47" s="51" t="s">
        <v>40</v>
      </c>
      <c r="I47" s="50">
        <v>67.387</v>
      </c>
      <c r="J47" s="52">
        <v>13396</v>
      </c>
      <c r="K47" s="52" t="s">
        <v>45</v>
      </c>
      <c r="L47" s="51" t="s">
        <v>133</v>
      </c>
      <c r="M47" s="51" t="s">
        <v>286</v>
      </c>
      <c r="N47" s="51" t="s">
        <v>287</v>
      </c>
      <c r="O47" s="54">
        <v>45135</v>
      </c>
      <c r="P47" s="54">
        <v>45184</v>
      </c>
      <c r="Q47" s="51" t="s">
        <v>46</v>
      </c>
      <c r="R47" s="52">
        <v>10850</v>
      </c>
      <c r="S47" s="52">
        <v>0</v>
      </c>
      <c r="T47" s="52">
        <v>10850</v>
      </c>
      <c r="U47" s="54">
        <v>45194</v>
      </c>
      <c r="V47" s="52">
        <v>12212.07</v>
      </c>
      <c r="W47" s="52">
        <v>132500959.5</v>
      </c>
      <c r="X47" s="51"/>
      <c r="Y47" s="52">
        <v>132500959.5</v>
      </c>
      <c r="Z47" s="50" t="s">
        <v>290</v>
      </c>
    </row>
    <row r="48" spans="1:26" s="4" customFormat="1" ht="36" x14ac:dyDescent="0.3">
      <c r="A48" s="50">
        <v>44</v>
      </c>
      <c r="B48" s="51" t="s">
        <v>200</v>
      </c>
      <c r="C48" s="51" t="s">
        <v>116</v>
      </c>
      <c r="D48" s="51" t="s">
        <v>249</v>
      </c>
      <c r="E48" s="51" t="s">
        <v>202</v>
      </c>
      <c r="F48" s="51" t="s">
        <v>244</v>
      </c>
      <c r="G48" s="53">
        <v>21876.84</v>
      </c>
      <c r="H48" s="51" t="s">
        <v>40</v>
      </c>
      <c r="I48" s="50">
        <v>65.084999999999994</v>
      </c>
      <c r="J48" s="52">
        <v>3611</v>
      </c>
      <c r="K48" s="52" t="s">
        <v>45</v>
      </c>
      <c r="L48" s="51" t="s">
        <v>133</v>
      </c>
      <c r="M48" s="51" t="s">
        <v>286</v>
      </c>
      <c r="N48" s="51" t="s">
        <v>287</v>
      </c>
      <c r="O48" s="54">
        <v>45135</v>
      </c>
      <c r="P48" s="54">
        <v>45184</v>
      </c>
      <c r="Q48" s="51" t="s">
        <v>46</v>
      </c>
      <c r="R48" s="52">
        <v>10850</v>
      </c>
      <c r="S48" s="52">
        <v>0</v>
      </c>
      <c r="T48" s="52">
        <v>10850</v>
      </c>
      <c r="U48" s="54">
        <v>45194</v>
      </c>
      <c r="V48" s="52">
        <v>12212.07</v>
      </c>
      <c r="W48" s="52">
        <v>132500959.5</v>
      </c>
      <c r="X48" s="51"/>
      <c r="Y48" s="52">
        <v>132500959.5</v>
      </c>
      <c r="Z48" s="50" t="s">
        <v>290</v>
      </c>
    </row>
    <row r="49" spans="1:26" s="4" customFormat="1" ht="36" x14ac:dyDescent="0.3">
      <c r="A49" s="50">
        <v>45</v>
      </c>
      <c r="B49" s="51" t="s">
        <v>200</v>
      </c>
      <c r="C49" s="51" t="s">
        <v>116</v>
      </c>
      <c r="D49" s="51" t="s">
        <v>250</v>
      </c>
      <c r="E49" s="51" t="s">
        <v>202</v>
      </c>
      <c r="F49" s="51" t="s">
        <v>244</v>
      </c>
      <c r="G49" s="53">
        <v>106035.67999999959</v>
      </c>
      <c r="H49" s="51" t="s">
        <v>40</v>
      </c>
      <c r="I49" s="50">
        <v>66.040000000000006</v>
      </c>
      <c r="J49" s="52">
        <v>12207</v>
      </c>
      <c r="K49" s="52" t="s">
        <v>45</v>
      </c>
      <c r="L49" s="51" t="s">
        <v>133</v>
      </c>
      <c r="M49" s="51" t="s">
        <v>286</v>
      </c>
      <c r="N49" s="51" t="s">
        <v>287</v>
      </c>
      <c r="O49" s="54">
        <v>45135</v>
      </c>
      <c r="P49" s="54">
        <v>45184</v>
      </c>
      <c r="Q49" s="51" t="s">
        <v>46</v>
      </c>
      <c r="R49" s="52">
        <v>10850</v>
      </c>
      <c r="S49" s="52">
        <v>0</v>
      </c>
      <c r="T49" s="52">
        <v>10850</v>
      </c>
      <c r="U49" s="54">
        <v>45194</v>
      </c>
      <c r="V49" s="52">
        <v>12212.07</v>
      </c>
      <c r="W49" s="52">
        <v>132500959.5</v>
      </c>
      <c r="X49" s="51"/>
      <c r="Y49" s="52">
        <v>132500959.5</v>
      </c>
      <c r="Z49" s="50" t="s">
        <v>290</v>
      </c>
    </row>
    <row r="50" spans="1:26" s="4" customFormat="1" ht="36" x14ac:dyDescent="0.3">
      <c r="A50" s="50">
        <v>46</v>
      </c>
      <c r="B50" s="51" t="s">
        <v>200</v>
      </c>
      <c r="C50" s="51" t="s">
        <v>116</v>
      </c>
      <c r="D50" s="51" t="s">
        <v>251</v>
      </c>
      <c r="E50" s="51" t="s">
        <v>202</v>
      </c>
      <c r="F50" s="51" t="s">
        <v>244</v>
      </c>
      <c r="G50" s="53">
        <v>38019.840000000004</v>
      </c>
      <c r="H50" s="51" t="s">
        <v>40</v>
      </c>
      <c r="I50" s="50">
        <v>62.817</v>
      </c>
      <c r="J50" s="52">
        <v>4302</v>
      </c>
      <c r="K50" s="52" t="s">
        <v>45</v>
      </c>
      <c r="L50" s="51" t="s">
        <v>133</v>
      </c>
      <c r="M50" s="51" t="s">
        <v>286</v>
      </c>
      <c r="N50" s="51" t="s">
        <v>287</v>
      </c>
      <c r="O50" s="54">
        <v>45135</v>
      </c>
      <c r="P50" s="54">
        <v>45184</v>
      </c>
      <c r="Q50" s="51" t="s">
        <v>46</v>
      </c>
      <c r="R50" s="52">
        <v>10850</v>
      </c>
      <c r="S50" s="52">
        <v>0</v>
      </c>
      <c r="T50" s="52">
        <v>10850</v>
      </c>
      <c r="U50" s="54">
        <v>45194</v>
      </c>
      <c r="V50" s="52">
        <v>12212.07</v>
      </c>
      <c r="W50" s="52">
        <v>132500959.5</v>
      </c>
      <c r="X50" s="51"/>
      <c r="Y50" s="52">
        <v>132500959.5</v>
      </c>
      <c r="Z50" s="50" t="s">
        <v>290</v>
      </c>
    </row>
    <row r="51" spans="1:26" s="4" customFormat="1" ht="36" x14ac:dyDescent="0.3">
      <c r="A51" s="50">
        <v>47</v>
      </c>
      <c r="B51" s="51" t="s">
        <v>200</v>
      </c>
      <c r="C51" s="51" t="s">
        <v>116</v>
      </c>
      <c r="D51" s="51" t="s">
        <v>252</v>
      </c>
      <c r="E51" s="51" t="s">
        <v>202</v>
      </c>
      <c r="F51" s="51" t="s">
        <v>244</v>
      </c>
      <c r="G51" s="53">
        <v>64402.160000000054</v>
      </c>
      <c r="H51" s="51" t="s">
        <v>40</v>
      </c>
      <c r="I51" s="50">
        <v>67.981999999999999</v>
      </c>
      <c r="J51" s="52">
        <v>15599</v>
      </c>
      <c r="K51" s="52" t="s">
        <v>45</v>
      </c>
      <c r="L51" s="51" t="s">
        <v>133</v>
      </c>
      <c r="M51" s="51" t="s">
        <v>286</v>
      </c>
      <c r="N51" s="51" t="s">
        <v>287</v>
      </c>
      <c r="O51" s="54">
        <v>45135</v>
      </c>
      <c r="P51" s="54">
        <v>45184</v>
      </c>
      <c r="Q51" s="51" t="s">
        <v>46</v>
      </c>
      <c r="R51" s="52">
        <v>10850</v>
      </c>
      <c r="S51" s="52">
        <v>0</v>
      </c>
      <c r="T51" s="52">
        <v>10850</v>
      </c>
      <c r="U51" s="54">
        <v>45194</v>
      </c>
      <c r="V51" s="52">
        <v>12212.07</v>
      </c>
      <c r="W51" s="52">
        <v>132500959.5</v>
      </c>
      <c r="X51" s="51"/>
      <c r="Y51" s="52">
        <v>132500959.5</v>
      </c>
      <c r="Z51" s="50" t="s">
        <v>290</v>
      </c>
    </row>
    <row r="52" spans="1:26" s="4" customFormat="1" ht="36" x14ac:dyDescent="0.3">
      <c r="A52" s="50">
        <v>48</v>
      </c>
      <c r="B52" s="51" t="s">
        <v>200</v>
      </c>
      <c r="C52" s="51" t="s">
        <v>116</v>
      </c>
      <c r="D52" s="51" t="s">
        <v>253</v>
      </c>
      <c r="E52" s="51" t="s">
        <v>202</v>
      </c>
      <c r="F52" s="51" t="s">
        <v>244</v>
      </c>
      <c r="G52" s="53">
        <v>26929.439999999995</v>
      </c>
      <c r="H52" s="51" t="s">
        <v>40</v>
      </c>
      <c r="I52" s="50">
        <v>65.191000000000003</v>
      </c>
      <c r="J52" s="52">
        <v>4855</v>
      </c>
      <c r="K52" s="52" t="s">
        <v>45</v>
      </c>
      <c r="L52" s="51" t="s">
        <v>133</v>
      </c>
      <c r="M52" s="51" t="s">
        <v>286</v>
      </c>
      <c r="N52" s="51" t="s">
        <v>287</v>
      </c>
      <c r="O52" s="54">
        <v>45135</v>
      </c>
      <c r="P52" s="54">
        <v>45184</v>
      </c>
      <c r="Q52" s="51" t="s">
        <v>46</v>
      </c>
      <c r="R52" s="52">
        <v>10850</v>
      </c>
      <c r="S52" s="52">
        <v>0</v>
      </c>
      <c r="T52" s="52">
        <v>10850</v>
      </c>
      <c r="U52" s="54">
        <v>45194</v>
      </c>
      <c r="V52" s="52">
        <v>12212.07</v>
      </c>
      <c r="W52" s="52">
        <v>132500959.5</v>
      </c>
      <c r="X52" s="51"/>
      <c r="Y52" s="52">
        <v>132500959.5</v>
      </c>
      <c r="Z52" s="50" t="s">
        <v>290</v>
      </c>
    </row>
    <row r="53" spans="1:26" s="4" customFormat="1" ht="36" x14ac:dyDescent="0.3">
      <c r="A53" s="50">
        <v>49</v>
      </c>
      <c r="B53" s="51" t="s">
        <v>200</v>
      </c>
      <c r="C53" s="51" t="s">
        <v>116</v>
      </c>
      <c r="D53" s="51" t="s">
        <v>254</v>
      </c>
      <c r="E53" s="51" t="s">
        <v>202</v>
      </c>
      <c r="F53" s="51" t="s">
        <v>244</v>
      </c>
      <c r="G53" s="53">
        <v>164158.31000000029</v>
      </c>
      <c r="H53" s="51" t="s">
        <v>40</v>
      </c>
      <c r="I53" s="50">
        <v>67.488</v>
      </c>
      <c r="J53" s="52">
        <v>19230</v>
      </c>
      <c r="K53" s="52" t="s">
        <v>45</v>
      </c>
      <c r="L53" s="51" t="s">
        <v>133</v>
      </c>
      <c r="M53" s="51" t="s">
        <v>286</v>
      </c>
      <c r="N53" s="51" t="s">
        <v>287</v>
      </c>
      <c r="O53" s="54">
        <v>45135</v>
      </c>
      <c r="P53" s="54">
        <v>45184</v>
      </c>
      <c r="Q53" s="51" t="s">
        <v>46</v>
      </c>
      <c r="R53" s="52">
        <v>10850</v>
      </c>
      <c r="S53" s="52">
        <v>0</v>
      </c>
      <c r="T53" s="52">
        <v>10850</v>
      </c>
      <c r="U53" s="54">
        <v>45194</v>
      </c>
      <c r="V53" s="52">
        <v>12212.07</v>
      </c>
      <c r="W53" s="52">
        <v>132500959.5</v>
      </c>
      <c r="X53" s="51"/>
      <c r="Y53" s="52">
        <v>132500959.5</v>
      </c>
      <c r="Z53" s="50" t="s">
        <v>290</v>
      </c>
    </row>
    <row r="54" spans="1:26" s="4" customFormat="1" ht="36" x14ac:dyDescent="0.3">
      <c r="A54" s="50">
        <v>50</v>
      </c>
      <c r="B54" s="51" t="s">
        <v>200</v>
      </c>
      <c r="C54" s="51" t="s">
        <v>116</v>
      </c>
      <c r="D54" s="51" t="s">
        <v>255</v>
      </c>
      <c r="E54" s="51" t="s">
        <v>202</v>
      </c>
      <c r="F54" s="51" t="s">
        <v>244</v>
      </c>
      <c r="G54" s="53">
        <v>72337.689999999537</v>
      </c>
      <c r="H54" s="51" t="s">
        <v>40</v>
      </c>
      <c r="I54" s="50">
        <v>67.353999999999999</v>
      </c>
      <c r="J54" s="52">
        <v>15077</v>
      </c>
      <c r="K54" s="52" t="s">
        <v>45</v>
      </c>
      <c r="L54" s="51" t="s">
        <v>133</v>
      </c>
      <c r="M54" s="51" t="s">
        <v>286</v>
      </c>
      <c r="N54" s="51" t="s">
        <v>287</v>
      </c>
      <c r="O54" s="54">
        <v>45135</v>
      </c>
      <c r="P54" s="54">
        <v>45184</v>
      </c>
      <c r="Q54" s="51" t="s">
        <v>46</v>
      </c>
      <c r="R54" s="52">
        <v>10850</v>
      </c>
      <c r="S54" s="52">
        <v>0</v>
      </c>
      <c r="T54" s="52">
        <v>10850</v>
      </c>
      <c r="U54" s="54">
        <v>45194</v>
      </c>
      <c r="V54" s="52">
        <v>12212.07</v>
      </c>
      <c r="W54" s="52">
        <v>132500959.5</v>
      </c>
      <c r="X54" s="51"/>
      <c r="Y54" s="52">
        <v>132500959.5</v>
      </c>
      <c r="Z54" s="50" t="s">
        <v>290</v>
      </c>
    </row>
    <row r="55" spans="1:26" s="4" customFormat="1" ht="36" x14ac:dyDescent="0.3">
      <c r="A55" s="50">
        <v>51</v>
      </c>
      <c r="B55" s="51" t="s">
        <v>200</v>
      </c>
      <c r="C55" s="51" t="s">
        <v>116</v>
      </c>
      <c r="D55" s="51" t="s">
        <v>256</v>
      </c>
      <c r="E55" s="51" t="s">
        <v>202</v>
      </c>
      <c r="F55" s="51" t="s">
        <v>244</v>
      </c>
      <c r="G55" s="53">
        <v>237250.56000000006</v>
      </c>
      <c r="H55" s="51" t="s">
        <v>40</v>
      </c>
      <c r="I55" s="50">
        <v>68.034999999999997</v>
      </c>
      <c r="J55" s="52">
        <v>18178</v>
      </c>
      <c r="K55" s="52" t="s">
        <v>45</v>
      </c>
      <c r="L55" s="51" t="s">
        <v>133</v>
      </c>
      <c r="M55" s="51" t="s">
        <v>286</v>
      </c>
      <c r="N55" s="51" t="s">
        <v>287</v>
      </c>
      <c r="O55" s="54">
        <v>45135</v>
      </c>
      <c r="P55" s="54">
        <v>45184</v>
      </c>
      <c r="Q55" s="51" t="s">
        <v>46</v>
      </c>
      <c r="R55" s="52">
        <v>10850</v>
      </c>
      <c r="S55" s="52">
        <v>0</v>
      </c>
      <c r="T55" s="52">
        <v>10850</v>
      </c>
      <c r="U55" s="54">
        <v>45194</v>
      </c>
      <c r="V55" s="52">
        <v>12212.07</v>
      </c>
      <c r="W55" s="52">
        <v>132500959.5</v>
      </c>
      <c r="X55" s="51"/>
      <c r="Y55" s="52">
        <v>132500959.5</v>
      </c>
      <c r="Z55" s="50" t="s">
        <v>290</v>
      </c>
    </row>
    <row r="56" spans="1:26" s="4" customFormat="1" ht="36" x14ac:dyDescent="0.3">
      <c r="A56" s="50">
        <v>52</v>
      </c>
      <c r="B56" s="51" t="s">
        <v>200</v>
      </c>
      <c r="C56" s="51" t="s">
        <v>116</v>
      </c>
      <c r="D56" s="51" t="s">
        <v>257</v>
      </c>
      <c r="E56" s="51" t="s">
        <v>202</v>
      </c>
      <c r="F56" s="51" t="s">
        <v>244</v>
      </c>
      <c r="G56" s="53">
        <v>231283.54000000007</v>
      </c>
      <c r="H56" s="51" t="s">
        <v>40</v>
      </c>
      <c r="I56" s="50">
        <v>68.269000000000005</v>
      </c>
      <c r="J56" s="52">
        <v>19144</v>
      </c>
      <c r="K56" s="52" t="s">
        <v>45</v>
      </c>
      <c r="L56" s="51" t="s">
        <v>133</v>
      </c>
      <c r="M56" s="51" t="s">
        <v>286</v>
      </c>
      <c r="N56" s="51" t="s">
        <v>287</v>
      </c>
      <c r="O56" s="54">
        <v>45135</v>
      </c>
      <c r="P56" s="54">
        <v>45184</v>
      </c>
      <c r="Q56" s="51" t="s">
        <v>46</v>
      </c>
      <c r="R56" s="52">
        <v>10850</v>
      </c>
      <c r="S56" s="52">
        <v>0</v>
      </c>
      <c r="T56" s="52">
        <v>10850</v>
      </c>
      <c r="U56" s="54">
        <v>45194</v>
      </c>
      <c r="V56" s="52">
        <v>12212.07</v>
      </c>
      <c r="W56" s="52">
        <v>132500959.5</v>
      </c>
      <c r="X56" s="51"/>
      <c r="Y56" s="52">
        <v>132500959.5</v>
      </c>
      <c r="Z56" s="50" t="s">
        <v>290</v>
      </c>
    </row>
    <row r="57" spans="1:26" s="4" customFormat="1" ht="36" x14ac:dyDescent="0.3">
      <c r="A57" s="50">
        <v>53</v>
      </c>
      <c r="B57" s="51" t="s">
        <v>200</v>
      </c>
      <c r="C57" s="51" t="s">
        <v>116</v>
      </c>
      <c r="D57" s="51" t="s">
        <v>258</v>
      </c>
      <c r="E57" s="51" t="s">
        <v>202</v>
      </c>
      <c r="F57" s="51" t="s">
        <v>244</v>
      </c>
      <c r="G57" s="53">
        <v>86665.239999999918</v>
      </c>
      <c r="H57" s="51" t="s">
        <v>40</v>
      </c>
      <c r="I57" s="50">
        <v>67.623000000000005</v>
      </c>
      <c r="J57" s="52">
        <v>7890</v>
      </c>
      <c r="K57" s="52" t="s">
        <v>45</v>
      </c>
      <c r="L57" s="51" t="s">
        <v>133</v>
      </c>
      <c r="M57" s="51" t="s">
        <v>286</v>
      </c>
      <c r="N57" s="51" t="s">
        <v>287</v>
      </c>
      <c r="O57" s="54">
        <v>45135</v>
      </c>
      <c r="P57" s="54">
        <v>45184</v>
      </c>
      <c r="Q57" s="51" t="s">
        <v>46</v>
      </c>
      <c r="R57" s="52">
        <v>10850</v>
      </c>
      <c r="S57" s="52">
        <v>0</v>
      </c>
      <c r="T57" s="52">
        <v>10850</v>
      </c>
      <c r="U57" s="54">
        <v>45194</v>
      </c>
      <c r="V57" s="52">
        <v>12212.07</v>
      </c>
      <c r="W57" s="52">
        <v>132500959.5</v>
      </c>
      <c r="X57" s="51"/>
      <c r="Y57" s="52">
        <v>132500959.5</v>
      </c>
      <c r="Z57" s="50" t="s">
        <v>290</v>
      </c>
    </row>
    <row r="58" spans="1:26" s="4" customFormat="1" ht="36" x14ac:dyDescent="0.3">
      <c r="A58" s="50">
        <v>54</v>
      </c>
      <c r="B58" s="51" t="s">
        <v>200</v>
      </c>
      <c r="C58" s="51" t="s">
        <v>116</v>
      </c>
      <c r="D58" s="51" t="s">
        <v>259</v>
      </c>
      <c r="E58" s="51" t="s">
        <v>202</v>
      </c>
      <c r="F58" s="51" t="s">
        <v>244</v>
      </c>
      <c r="G58" s="53">
        <v>266046.28000000009</v>
      </c>
      <c r="H58" s="51" t="s">
        <v>40</v>
      </c>
      <c r="I58" s="50">
        <v>67.644000000000005</v>
      </c>
      <c r="J58" s="52">
        <v>20521</v>
      </c>
      <c r="K58" s="52" t="s">
        <v>45</v>
      </c>
      <c r="L58" s="51" t="s">
        <v>133</v>
      </c>
      <c r="M58" s="51" t="s">
        <v>286</v>
      </c>
      <c r="N58" s="51" t="s">
        <v>287</v>
      </c>
      <c r="O58" s="54">
        <v>45135</v>
      </c>
      <c r="P58" s="54">
        <v>45184</v>
      </c>
      <c r="Q58" s="51" t="s">
        <v>46</v>
      </c>
      <c r="R58" s="52">
        <v>10850</v>
      </c>
      <c r="S58" s="52">
        <v>0</v>
      </c>
      <c r="T58" s="52">
        <v>10850</v>
      </c>
      <c r="U58" s="54">
        <v>45194</v>
      </c>
      <c r="V58" s="52">
        <v>12212.07</v>
      </c>
      <c r="W58" s="52">
        <v>132500959.5</v>
      </c>
      <c r="X58" s="51"/>
      <c r="Y58" s="52">
        <v>132500959.5</v>
      </c>
      <c r="Z58" s="50" t="s">
        <v>290</v>
      </c>
    </row>
    <row r="59" spans="1:26" s="4" customFormat="1" ht="36" x14ac:dyDescent="0.3">
      <c r="A59" s="50">
        <v>55</v>
      </c>
      <c r="B59" s="51" t="s">
        <v>200</v>
      </c>
      <c r="C59" s="51" t="s">
        <v>116</v>
      </c>
      <c r="D59" s="51" t="s">
        <v>260</v>
      </c>
      <c r="E59" s="51" t="s">
        <v>202</v>
      </c>
      <c r="F59" s="51" t="s">
        <v>244</v>
      </c>
      <c r="G59" s="53">
        <v>23766.66</v>
      </c>
      <c r="H59" s="51" t="s">
        <v>40</v>
      </c>
      <c r="I59" s="50">
        <v>65.084999999999994</v>
      </c>
      <c r="J59" s="52">
        <v>4225</v>
      </c>
      <c r="K59" s="52" t="s">
        <v>45</v>
      </c>
      <c r="L59" s="51" t="s">
        <v>133</v>
      </c>
      <c r="M59" s="51" t="s">
        <v>286</v>
      </c>
      <c r="N59" s="51" t="s">
        <v>287</v>
      </c>
      <c r="O59" s="54">
        <v>45135</v>
      </c>
      <c r="P59" s="54">
        <v>45184</v>
      </c>
      <c r="Q59" s="51" t="s">
        <v>46</v>
      </c>
      <c r="R59" s="52">
        <v>10850</v>
      </c>
      <c r="S59" s="52">
        <v>0</v>
      </c>
      <c r="T59" s="52">
        <v>10850</v>
      </c>
      <c r="U59" s="54">
        <v>45194</v>
      </c>
      <c r="V59" s="52">
        <v>12212.07</v>
      </c>
      <c r="W59" s="52">
        <v>132500959.5</v>
      </c>
      <c r="X59" s="51"/>
      <c r="Y59" s="52">
        <v>132500959.5</v>
      </c>
      <c r="Z59" s="50" t="s">
        <v>290</v>
      </c>
    </row>
    <row r="60" spans="1:26" s="4" customFormat="1" ht="36" x14ac:dyDescent="0.3">
      <c r="A60" s="50">
        <v>56</v>
      </c>
      <c r="B60" s="51" t="s">
        <v>200</v>
      </c>
      <c r="C60" s="51" t="s">
        <v>116</v>
      </c>
      <c r="D60" s="51" t="s">
        <v>261</v>
      </c>
      <c r="E60" s="51" t="s">
        <v>202</v>
      </c>
      <c r="F60" s="51" t="s">
        <v>244</v>
      </c>
      <c r="G60" s="53">
        <v>169019.3100000007</v>
      </c>
      <c r="H60" s="51" t="s">
        <v>40</v>
      </c>
      <c r="I60" s="50">
        <v>68.507999999999996</v>
      </c>
      <c r="J60" s="52">
        <v>16075</v>
      </c>
      <c r="K60" s="52" t="s">
        <v>45</v>
      </c>
      <c r="L60" s="51" t="s">
        <v>133</v>
      </c>
      <c r="M60" s="51" t="s">
        <v>286</v>
      </c>
      <c r="N60" s="51" t="s">
        <v>287</v>
      </c>
      <c r="O60" s="54">
        <v>45135</v>
      </c>
      <c r="P60" s="54">
        <v>45184</v>
      </c>
      <c r="Q60" s="51" t="s">
        <v>46</v>
      </c>
      <c r="R60" s="52">
        <v>10850</v>
      </c>
      <c r="S60" s="52">
        <v>0</v>
      </c>
      <c r="T60" s="52">
        <v>10850</v>
      </c>
      <c r="U60" s="54">
        <v>45194</v>
      </c>
      <c r="V60" s="52">
        <v>12212.07</v>
      </c>
      <c r="W60" s="52">
        <v>132500959.5</v>
      </c>
      <c r="X60" s="51"/>
      <c r="Y60" s="52">
        <v>132500959.5</v>
      </c>
      <c r="Z60" s="50" t="s">
        <v>290</v>
      </c>
    </row>
    <row r="61" spans="1:26" s="4" customFormat="1" ht="36" x14ac:dyDescent="0.3">
      <c r="A61" s="50">
        <v>57</v>
      </c>
      <c r="B61" s="51" t="s">
        <v>200</v>
      </c>
      <c r="C61" s="51" t="s">
        <v>116</v>
      </c>
      <c r="D61" s="51" t="s">
        <v>262</v>
      </c>
      <c r="E61" s="51" t="s">
        <v>202</v>
      </c>
      <c r="F61" s="51" t="s">
        <v>244</v>
      </c>
      <c r="G61" s="53">
        <v>236104.11999999997</v>
      </c>
      <c r="H61" s="51" t="s">
        <v>40</v>
      </c>
      <c r="I61" s="50">
        <v>67.117999999999995</v>
      </c>
      <c r="J61" s="52">
        <v>20169</v>
      </c>
      <c r="K61" s="52" t="s">
        <v>45</v>
      </c>
      <c r="L61" s="51" t="s">
        <v>133</v>
      </c>
      <c r="M61" s="51" t="s">
        <v>286</v>
      </c>
      <c r="N61" s="51" t="s">
        <v>287</v>
      </c>
      <c r="O61" s="54">
        <v>45135</v>
      </c>
      <c r="P61" s="54">
        <v>45184</v>
      </c>
      <c r="Q61" s="51" t="s">
        <v>46</v>
      </c>
      <c r="R61" s="52">
        <v>10850</v>
      </c>
      <c r="S61" s="52">
        <v>0</v>
      </c>
      <c r="T61" s="52">
        <v>10850</v>
      </c>
      <c r="U61" s="54">
        <v>45194</v>
      </c>
      <c r="V61" s="52">
        <v>12212.07</v>
      </c>
      <c r="W61" s="52">
        <v>132500959.5</v>
      </c>
      <c r="X61" s="51"/>
      <c r="Y61" s="52">
        <v>132500959.5</v>
      </c>
      <c r="Z61" s="50" t="s">
        <v>290</v>
      </c>
    </row>
    <row r="62" spans="1:26" s="4" customFormat="1" ht="36" x14ac:dyDescent="0.3">
      <c r="A62" s="50">
        <v>58</v>
      </c>
      <c r="B62" s="51" t="s">
        <v>200</v>
      </c>
      <c r="C62" s="51" t="s">
        <v>116</v>
      </c>
      <c r="D62" s="51" t="s">
        <v>263</v>
      </c>
      <c r="E62" s="51" t="s">
        <v>264</v>
      </c>
      <c r="F62" s="51" t="s">
        <v>265</v>
      </c>
      <c r="G62" s="53">
        <v>233282.10000000006</v>
      </c>
      <c r="H62" s="51" t="s">
        <v>40</v>
      </c>
      <c r="I62" s="50">
        <v>67.424999999999997</v>
      </c>
      <c r="J62" s="52">
        <v>19994</v>
      </c>
      <c r="K62" s="52" t="s">
        <v>45</v>
      </c>
      <c r="L62" s="51" t="s">
        <v>133</v>
      </c>
      <c r="M62" s="51" t="s">
        <v>288</v>
      </c>
      <c r="N62" s="51" t="s">
        <v>289</v>
      </c>
      <c r="O62" s="54">
        <v>45160</v>
      </c>
      <c r="P62" s="54">
        <v>45183</v>
      </c>
      <c r="Q62" s="51" t="s">
        <v>46</v>
      </c>
      <c r="R62" s="52">
        <v>10850</v>
      </c>
      <c r="S62" s="52">
        <v>0</v>
      </c>
      <c r="T62" s="52">
        <v>10850</v>
      </c>
      <c r="U62" s="54">
        <v>45194</v>
      </c>
      <c r="V62" s="52">
        <v>12212.07</v>
      </c>
      <c r="W62" s="52">
        <v>132500959.5</v>
      </c>
      <c r="X62" s="51"/>
      <c r="Y62" s="52">
        <v>132500959.5</v>
      </c>
      <c r="Z62" s="50" t="s">
        <v>290</v>
      </c>
    </row>
    <row r="63" spans="1:26" s="4" customFormat="1" ht="36" x14ac:dyDescent="0.3">
      <c r="A63" s="50">
        <v>59</v>
      </c>
      <c r="B63" s="51" t="s">
        <v>200</v>
      </c>
      <c r="C63" s="51" t="s">
        <v>116</v>
      </c>
      <c r="D63" s="51" t="s">
        <v>266</v>
      </c>
      <c r="E63" s="51" t="s">
        <v>264</v>
      </c>
      <c r="F63" s="51" t="s">
        <v>265</v>
      </c>
      <c r="G63" s="53">
        <v>204388.0799999999</v>
      </c>
      <c r="H63" s="51" t="s">
        <v>40</v>
      </c>
      <c r="I63" s="50">
        <v>68.545000000000002</v>
      </c>
      <c r="J63" s="52">
        <v>19761</v>
      </c>
      <c r="K63" s="52" t="s">
        <v>45</v>
      </c>
      <c r="L63" s="51" t="s">
        <v>133</v>
      </c>
      <c r="M63" s="51" t="s">
        <v>288</v>
      </c>
      <c r="N63" s="51" t="s">
        <v>289</v>
      </c>
      <c r="O63" s="54">
        <v>45160</v>
      </c>
      <c r="P63" s="54">
        <v>45183</v>
      </c>
      <c r="Q63" s="51" t="s">
        <v>46</v>
      </c>
      <c r="R63" s="52">
        <v>10850</v>
      </c>
      <c r="S63" s="52">
        <v>0</v>
      </c>
      <c r="T63" s="52">
        <v>10850</v>
      </c>
      <c r="U63" s="54">
        <v>45194</v>
      </c>
      <c r="V63" s="52">
        <v>12212.07</v>
      </c>
      <c r="W63" s="52">
        <v>132500959.5</v>
      </c>
      <c r="X63" s="51"/>
      <c r="Y63" s="52">
        <v>132500959.5</v>
      </c>
      <c r="Z63" s="50" t="s">
        <v>290</v>
      </c>
    </row>
    <row r="64" spans="1:26" s="4" customFormat="1" ht="36" x14ac:dyDescent="0.3">
      <c r="A64" s="50">
        <v>60</v>
      </c>
      <c r="B64" s="51" t="s">
        <v>200</v>
      </c>
      <c r="C64" s="51" t="s">
        <v>116</v>
      </c>
      <c r="D64" s="51" t="s">
        <v>267</v>
      </c>
      <c r="E64" s="51" t="s">
        <v>264</v>
      </c>
      <c r="F64" s="51" t="s">
        <v>265</v>
      </c>
      <c r="G64" s="53">
        <v>136992.89999999997</v>
      </c>
      <c r="H64" s="51" t="s">
        <v>40</v>
      </c>
      <c r="I64" s="50">
        <v>66.950999999999993</v>
      </c>
      <c r="J64" s="52">
        <v>16748</v>
      </c>
      <c r="K64" s="52" t="s">
        <v>45</v>
      </c>
      <c r="L64" s="51" t="s">
        <v>133</v>
      </c>
      <c r="M64" s="51" t="s">
        <v>288</v>
      </c>
      <c r="N64" s="51" t="s">
        <v>289</v>
      </c>
      <c r="O64" s="54">
        <v>45160</v>
      </c>
      <c r="P64" s="54">
        <v>45183</v>
      </c>
      <c r="Q64" s="51" t="s">
        <v>46</v>
      </c>
      <c r="R64" s="52">
        <v>10850</v>
      </c>
      <c r="S64" s="52">
        <v>0</v>
      </c>
      <c r="T64" s="52">
        <v>10850</v>
      </c>
      <c r="U64" s="54">
        <v>45194</v>
      </c>
      <c r="V64" s="52">
        <v>12212.07</v>
      </c>
      <c r="W64" s="52">
        <v>132500959.5</v>
      </c>
      <c r="X64" s="51"/>
      <c r="Y64" s="52">
        <v>132500959.5</v>
      </c>
      <c r="Z64" s="50" t="s">
        <v>290</v>
      </c>
    </row>
    <row r="65" spans="1:26" s="4" customFormat="1" ht="36" x14ac:dyDescent="0.3">
      <c r="A65" s="50">
        <v>61</v>
      </c>
      <c r="B65" s="51" t="s">
        <v>200</v>
      </c>
      <c r="C65" s="51" t="s">
        <v>116</v>
      </c>
      <c r="D65" s="51" t="s">
        <v>268</v>
      </c>
      <c r="E65" s="51" t="s">
        <v>264</v>
      </c>
      <c r="F65" s="51" t="s">
        <v>265</v>
      </c>
      <c r="G65" s="53">
        <v>184567.45999999996</v>
      </c>
      <c r="H65" s="51" t="s">
        <v>40</v>
      </c>
      <c r="I65" s="50">
        <v>67.77</v>
      </c>
      <c r="J65" s="52">
        <v>15892</v>
      </c>
      <c r="K65" s="52" t="s">
        <v>45</v>
      </c>
      <c r="L65" s="51" t="s">
        <v>133</v>
      </c>
      <c r="M65" s="51" t="s">
        <v>288</v>
      </c>
      <c r="N65" s="51" t="s">
        <v>289</v>
      </c>
      <c r="O65" s="54">
        <v>45160</v>
      </c>
      <c r="P65" s="54">
        <v>45183</v>
      </c>
      <c r="Q65" s="51" t="s">
        <v>46</v>
      </c>
      <c r="R65" s="52">
        <v>10850</v>
      </c>
      <c r="S65" s="52">
        <v>0</v>
      </c>
      <c r="T65" s="52">
        <v>10850</v>
      </c>
      <c r="U65" s="54">
        <v>45194</v>
      </c>
      <c r="V65" s="52">
        <v>12212.07</v>
      </c>
      <c r="W65" s="52">
        <v>132500959.5</v>
      </c>
      <c r="X65" s="51"/>
      <c r="Y65" s="52">
        <v>132500959.5</v>
      </c>
      <c r="Z65" s="50" t="s">
        <v>290</v>
      </c>
    </row>
    <row r="66" spans="1:26" s="4" customFormat="1" ht="36" x14ac:dyDescent="0.3">
      <c r="A66" s="50">
        <v>62</v>
      </c>
      <c r="B66" s="51" t="s">
        <v>200</v>
      </c>
      <c r="C66" s="51" t="s">
        <v>116</v>
      </c>
      <c r="D66" s="51" t="s">
        <v>269</v>
      </c>
      <c r="E66" s="51" t="s">
        <v>264</v>
      </c>
      <c r="F66" s="51" t="s">
        <v>265</v>
      </c>
      <c r="G66" s="53">
        <v>228157.57999999996</v>
      </c>
      <c r="H66" s="51" t="s">
        <v>40</v>
      </c>
      <c r="I66" s="50">
        <v>68.183999999999997</v>
      </c>
      <c r="J66" s="52">
        <v>19390</v>
      </c>
      <c r="K66" s="52" t="s">
        <v>45</v>
      </c>
      <c r="L66" s="51" t="s">
        <v>133</v>
      </c>
      <c r="M66" s="51" t="s">
        <v>288</v>
      </c>
      <c r="N66" s="51" t="s">
        <v>289</v>
      </c>
      <c r="O66" s="54">
        <v>45160</v>
      </c>
      <c r="P66" s="54">
        <v>45183</v>
      </c>
      <c r="Q66" s="51" t="s">
        <v>46</v>
      </c>
      <c r="R66" s="52">
        <v>10850</v>
      </c>
      <c r="S66" s="52">
        <v>0</v>
      </c>
      <c r="T66" s="52">
        <v>10850</v>
      </c>
      <c r="U66" s="54">
        <v>45194</v>
      </c>
      <c r="V66" s="52">
        <v>12212.07</v>
      </c>
      <c r="W66" s="52">
        <v>132500959.5</v>
      </c>
      <c r="X66" s="51"/>
      <c r="Y66" s="52">
        <v>132500959.5</v>
      </c>
      <c r="Z66" s="50" t="s">
        <v>290</v>
      </c>
    </row>
    <row r="67" spans="1:26" s="4" customFormat="1" ht="36" x14ac:dyDescent="0.3">
      <c r="A67" s="50">
        <v>63</v>
      </c>
      <c r="B67" s="51" t="s">
        <v>200</v>
      </c>
      <c r="C67" s="51" t="s">
        <v>116</v>
      </c>
      <c r="D67" s="51" t="s">
        <v>270</v>
      </c>
      <c r="E67" s="51" t="s">
        <v>264</v>
      </c>
      <c r="F67" s="51" t="s">
        <v>265</v>
      </c>
      <c r="G67" s="53">
        <v>239892.11999999988</v>
      </c>
      <c r="H67" s="51" t="s">
        <v>40</v>
      </c>
      <c r="I67" s="50">
        <v>67.039000000000001</v>
      </c>
      <c r="J67" s="52">
        <v>19586</v>
      </c>
      <c r="K67" s="52" t="s">
        <v>45</v>
      </c>
      <c r="L67" s="51" t="s">
        <v>133</v>
      </c>
      <c r="M67" s="51" t="s">
        <v>288</v>
      </c>
      <c r="N67" s="51" t="s">
        <v>289</v>
      </c>
      <c r="O67" s="54">
        <v>45160</v>
      </c>
      <c r="P67" s="54">
        <v>45183</v>
      </c>
      <c r="Q67" s="51" t="s">
        <v>46</v>
      </c>
      <c r="R67" s="52">
        <v>10850</v>
      </c>
      <c r="S67" s="52">
        <v>0</v>
      </c>
      <c r="T67" s="52">
        <v>10850</v>
      </c>
      <c r="U67" s="54">
        <v>45194</v>
      </c>
      <c r="V67" s="52">
        <v>12212.07</v>
      </c>
      <c r="W67" s="52">
        <v>132500959.5</v>
      </c>
      <c r="X67" s="51"/>
      <c r="Y67" s="52">
        <v>132500959.5</v>
      </c>
      <c r="Z67" s="50" t="s">
        <v>290</v>
      </c>
    </row>
    <row r="68" spans="1:26" s="4" customFormat="1" ht="36" x14ac:dyDescent="0.3">
      <c r="A68" s="50">
        <v>64</v>
      </c>
      <c r="B68" s="51" t="s">
        <v>200</v>
      </c>
      <c r="C68" s="51" t="s">
        <v>116</v>
      </c>
      <c r="D68" s="51" t="s">
        <v>271</v>
      </c>
      <c r="E68" s="51" t="s">
        <v>264</v>
      </c>
      <c r="F68" s="51" t="s">
        <v>265</v>
      </c>
      <c r="G68" s="53">
        <v>228203.60000000024</v>
      </c>
      <c r="H68" s="51" t="s">
        <v>40</v>
      </c>
      <c r="I68" s="50">
        <v>68.234999999999999</v>
      </c>
      <c r="J68" s="52">
        <v>19132</v>
      </c>
      <c r="K68" s="52" t="s">
        <v>45</v>
      </c>
      <c r="L68" s="51" t="s">
        <v>133</v>
      </c>
      <c r="M68" s="51" t="s">
        <v>288</v>
      </c>
      <c r="N68" s="51" t="s">
        <v>289</v>
      </c>
      <c r="O68" s="54">
        <v>45160</v>
      </c>
      <c r="P68" s="54">
        <v>45183</v>
      </c>
      <c r="Q68" s="51" t="s">
        <v>46</v>
      </c>
      <c r="R68" s="52">
        <v>10850</v>
      </c>
      <c r="S68" s="52">
        <v>0</v>
      </c>
      <c r="T68" s="52">
        <v>10850</v>
      </c>
      <c r="U68" s="54">
        <v>45194</v>
      </c>
      <c r="V68" s="52">
        <v>12212.07</v>
      </c>
      <c r="W68" s="52">
        <v>132500959.5</v>
      </c>
      <c r="X68" s="51"/>
      <c r="Y68" s="52">
        <v>132500959.5</v>
      </c>
      <c r="Z68" s="50" t="s">
        <v>290</v>
      </c>
    </row>
    <row r="69" spans="1:26" s="4" customFormat="1" ht="36" x14ac:dyDescent="0.3">
      <c r="A69" s="50">
        <v>65</v>
      </c>
      <c r="B69" s="51" t="s">
        <v>200</v>
      </c>
      <c r="C69" s="51" t="s">
        <v>116</v>
      </c>
      <c r="D69" s="51" t="s">
        <v>272</v>
      </c>
      <c r="E69" s="51" t="s">
        <v>264</v>
      </c>
      <c r="F69" s="51" t="s">
        <v>265</v>
      </c>
      <c r="G69" s="53">
        <v>225508.46000000025</v>
      </c>
      <c r="H69" s="51" t="s">
        <v>40</v>
      </c>
      <c r="I69" s="50">
        <v>68.234999999999999</v>
      </c>
      <c r="J69" s="52">
        <v>18991</v>
      </c>
      <c r="K69" s="52" t="s">
        <v>45</v>
      </c>
      <c r="L69" s="51" t="s">
        <v>133</v>
      </c>
      <c r="M69" s="51" t="s">
        <v>288</v>
      </c>
      <c r="N69" s="51" t="s">
        <v>289</v>
      </c>
      <c r="O69" s="54">
        <v>45160</v>
      </c>
      <c r="P69" s="54">
        <v>45183</v>
      </c>
      <c r="Q69" s="51" t="s">
        <v>46</v>
      </c>
      <c r="R69" s="52">
        <v>10850</v>
      </c>
      <c r="S69" s="52">
        <v>0</v>
      </c>
      <c r="T69" s="52">
        <v>10850</v>
      </c>
      <c r="U69" s="54">
        <v>45194</v>
      </c>
      <c r="V69" s="52">
        <v>12212.07</v>
      </c>
      <c r="W69" s="52">
        <v>132500959.5</v>
      </c>
      <c r="X69" s="51"/>
      <c r="Y69" s="52">
        <v>132500959.5</v>
      </c>
      <c r="Z69" s="50" t="s">
        <v>290</v>
      </c>
    </row>
    <row r="70" spans="1:26" s="4" customFormat="1" ht="36" x14ac:dyDescent="0.3">
      <c r="A70" s="50">
        <v>66</v>
      </c>
      <c r="B70" s="51" t="s">
        <v>200</v>
      </c>
      <c r="C70" s="51" t="s">
        <v>116</v>
      </c>
      <c r="D70" s="51" t="s">
        <v>273</v>
      </c>
      <c r="E70" s="51" t="s">
        <v>264</v>
      </c>
      <c r="F70" s="51" t="s">
        <v>265</v>
      </c>
      <c r="G70" s="53">
        <v>181651.28000000055</v>
      </c>
      <c r="H70" s="51" t="s">
        <v>40</v>
      </c>
      <c r="I70" s="50">
        <v>68.055000000000007</v>
      </c>
      <c r="J70" s="52">
        <v>16944</v>
      </c>
      <c r="K70" s="52" t="s">
        <v>45</v>
      </c>
      <c r="L70" s="51" t="s">
        <v>133</v>
      </c>
      <c r="M70" s="51" t="s">
        <v>288</v>
      </c>
      <c r="N70" s="51" t="s">
        <v>289</v>
      </c>
      <c r="O70" s="54">
        <v>45160</v>
      </c>
      <c r="P70" s="54">
        <v>45183</v>
      </c>
      <c r="Q70" s="51" t="s">
        <v>46</v>
      </c>
      <c r="R70" s="52">
        <v>10850</v>
      </c>
      <c r="S70" s="52">
        <v>0</v>
      </c>
      <c r="T70" s="52">
        <v>10850</v>
      </c>
      <c r="U70" s="54">
        <v>45194</v>
      </c>
      <c r="V70" s="52">
        <v>12212.07</v>
      </c>
      <c r="W70" s="52">
        <v>132500959.5</v>
      </c>
      <c r="X70" s="51"/>
      <c r="Y70" s="52">
        <v>132500959.5</v>
      </c>
      <c r="Z70" s="50" t="s">
        <v>290</v>
      </c>
    </row>
    <row r="71" spans="1:26" s="4" customFormat="1" ht="36" x14ac:dyDescent="0.3">
      <c r="A71" s="50">
        <v>67</v>
      </c>
      <c r="B71" s="51" t="s">
        <v>200</v>
      </c>
      <c r="C71" s="51" t="s">
        <v>116</v>
      </c>
      <c r="D71" s="51" t="s">
        <v>274</v>
      </c>
      <c r="E71" s="51" t="s">
        <v>264</v>
      </c>
      <c r="F71" s="51" t="s">
        <v>265</v>
      </c>
      <c r="G71" s="53">
        <v>333435.34000000695</v>
      </c>
      <c r="H71" s="51" t="s">
        <v>40</v>
      </c>
      <c r="I71" s="50">
        <v>66.206000000000003</v>
      </c>
      <c r="J71" s="52">
        <v>11602</v>
      </c>
      <c r="K71" s="52" t="s">
        <v>45</v>
      </c>
      <c r="L71" s="51" t="s">
        <v>133</v>
      </c>
      <c r="M71" s="51" t="s">
        <v>288</v>
      </c>
      <c r="N71" s="51" t="s">
        <v>289</v>
      </c>
      <c r="O71" s="54">
        <v>45160</v>
      </c>
      <c r="P71" s="54">
        <v>45183</v>
      </c>
      <c r="Q71" s="51" t="s">
        <v>46</v>
      </c>
      <c r="R71" s="52">
        <v>10850</v>
      </c>
      <c r="S71" s="52">
        <v>0</v>
      </c>
      <c r="T71" s="52">
        <v>10850</v>
      </c>
      <c r="U71" s="54">
        <v>45194</v>
      </c>
      <c r="V71" s="52">
        <v>12212.07</v>
      </c>
      <c r="W71" s="52">
        <v>132500959.5</v>
      </c>
      <c r="X71" s="51"/>
      <c r="Y71" s="52">
        <v>132500959.5</v>
      </c>
      <c r="Z71" s="50" t="s">
        <v>290</v>
      </c>
    </row>
    <row r="72" spans="1:26" ht="36" x14ac:dyDescent="0.3">
      <c r="A72" s="50">
        <v>68</v>
      </c>
      <c r="B72" s="51" t="s">
        <v>200</v>
      </c>
      <c r="C72" s="51" t="s">
        <v>116</v>
      </c>
      <c r="D72" s="51" t="s">
        <v>275</v>
      </c>
      <c r="E72" s="51" t="s">
        <v>264</v>
      </c>
      <c r="F72" s="51" t="s">
        <v>265</v>
      </c>
      <c r="G72" s="53">
        <v>263168.96000000014</v>
      </c>
      <c r="H72" s="51" t="s">
        <v>40</v>
      </c>
      <c r="I72" s="50">
        <v>65.62</v>
      </c>
      <c r="J72" s="52">
        <v>20794</v>
      </c>
      <c r="K72" s="52" t="s">
        <v>45</v>
      </c>
      <c r="L72" s="51" t="s">
        <v>133</v>
      </c>
      <c r="M72" s="51" t="s">
        <v>288</v>
      </c>
      <c r="N72" s="51" t="s">
        <v>289</v>
      </c>
      <c r="O72" s="54">
        <v>45160</v>
      </c>
      <c r="P72" s="54">
        <v>45183</v>
      </c>
      <c r="Q72" s="51" t="s">
        <v>46</v>
      </c>
      <c r="R72" s="52">
        <v>10850</v>
      </c>
      <c r="S72" s="52">
        <v>0</v>
      </c>
      <c r="T72" s="52">
        <v>10850</v>
      </c>
      <c r="U72" s="54">
        <v>45194</v>
      </c>
      <c r="V72" s="52">
        <v>12212.07</v>
      </c>
      <c r="W72" s="52">
        <v>132500959.5</v>
      </c>
      <c r="X72" s="51"/>
      <c r="Y72" s="52">
        <v>132500959.5</v>
      </c>
      <c r="Z72" s="50" t="s">
        <v>290</v>
      </c>
    </row>
    <row r="73" spans="1:26" ht="36" x14ac:dyDescent="0.3">
      <c r="A73" s="50">
        <v>69</v>
      </c>
      <c r="B73" s="51" t="s">
        <v>200</v>
      </c>
      <c r="C73" s="51" t="s">
        <v>116</v>
      </c>
      <c r="D73" s="51" t="s">
        <v>276</v>
      </c>
      <c r="E73" s="51" t="s">
        <v>264</v>
      </c>
      <c r="F73" s="51" t="s">
        <v>265</v>
      </c>
      <c r="G73" s="53">
        <v>233762.43999999994</v>
      </c>
      <c r="H73" s="51" t="s">
        <v>40</v>
      </c>
      <c r="I73" s="50">
        <v>68.272999999999996</v>
      </c>
      <c r="J73" s="52">
        <v>20427</v>
      </c>
      <c r="K73" s="52" t="s">
        <v>45</v>
      </c>
      <c r="L73" s="51" t="s">
        <v>133</v>
      </c>
      <c r="M73" s="51" t="s">
        <v>288</v>
      </c>
      <c r="N73" s="51" t="s">
        <v>289</v>
      </c>
      <c r="O73" s="54">
        <v>45160</v>
      </c>
      <c r="P73" s="54">
        <v>45183</v>
      </c>
      <c r="Q73" s="51" t="s">
        <v>46</v>
      </c>
      <c r="R73" s="52">
        <v>10850</v>
      </c>
      <c r="S73" s="52">
        <v>0</v>
      </c>
      <c r="T73" s="52">
        <v>10850</v>
      </c>
      <c r="U73" s="54">
        <v>45194</v>
      </c>
      <c r="V73" s="52">
        <v>12212.07</v>
      </c>
      <c r="W73" s="52">
        <v>132500959.5</v>
      </c>
      <c r="X73" s="51"/>
      <c r="Y73" s="52">
        <v>132500959.5</v>
      </c>
      <c r="Z73" s="50" t="s">
        <v>290</v>
      </c>
    </row>
    <row r="74" spans="1:26" ht="36" x14ac:dyDescent="0.3">
      <c r="A74" s="50">
        <v>70</v>
      </c>
      <c r="B74" s="51" t="s">
        <v>200</v>
      </c>
      <c r="C74" s="51" t="s">
        <v>116</v>
      </c>
      <c r="D74" s="51" t="s">
        <v>277</v>
      </c>
      <c r="E74" s="51" t="s">
        <v>264</v>
      </c>
      <c r="F74" s="51" t="s">
        <v>265</v>
      </c>
      <c r="G74" s="53">
        <v>256199.56000000014</v>
      </c>
      <c r="H74" s="51" t="s">
        <v>40</v>
      </c>
      <c r="I74" s="50">
        <v>64.093999999999994</v>
      </c>
      <c r="J74" s="52">
        <v>18483</v>
      </c>
      <c r="K74" s="52" t="s">
        <v>45</v>
      </c>
      <c r="L74" s="51" t="s">
        <v>133</v>
      </c>
      <c r="M74" s="51" t="s">
        <v>288</v>
      </c>
      <c r="N74" s="51" t="s">
        <v>289</v>
      </c>
      <c r="O74" s="54">
        <v>45160</v>
      </c>
      <c r="P74" s="54">
        <v>45183</v>
      </c>
      <c r="Q74" s="51" t="s">
        <v>46</v>
      </c>
      <c r="R74" s="52">
        <v>10850</v>
      </c>
      <c r="S74" s="52">
        <v>0</v>
      </c>
      <c r="T74" s="52">
        <v>10850</v>
      </c>
      <c r="U74" s="54">
        <v>45194</v>
      </c>
      <c r="V74" s="52">
        <v>12212.07</v>
      </c>
      <c r="W74" s="52">
        <v>132500959.5</v>
      </c>
      <c r="X74" s="51"/>
      <c r="Y74" s="52">
        <v>132500959.5</v>
      </c>
      <c r="Z74" s="50" t="s">
        <v>290</v>
      </c>
    </row>
    <row r="75" spans="1:26" ht="36" x14ac:dyDescent="0.3">
      <c r="A75" s="50">
        <v>71</v>
      </c>
      <c r="B75" s="51" t="s">
        <v>200</v>
      </c>
      <c r="C75" s="51" t="s">
        <v>116</v>
      </c>
      <c r="D75" s="51" t="s">
        <v>278</v>
      </c>
      <c r="E75" s="51" t="s">
        <v>264</v>
      </c>
      <c r="F75" s="51" t="s">
        <v>265</v>
      </c>
      <c r="G75" s="53">
        <v>545416.75999999954</v>
      </c>
      <c r="H75" s="51" t="s">
        <v>40</v>
      </c>
      <c r="I75" s="50">
        <v>67.515000000000001</v>
      </c>
      <c r="J75" s="52">
        <v>20721</v>
      </c>
      <c r="K75" s="52" t="s">
        <v>45</v>
      </c>
      <c r="L75" s="51" t="s">
        <v>133</v>
      </c>
      <c r="M75" s="51" t="s">
        <v>288</v>
      </c>
      <c r="N75" s="51" t="s">
        <v>289</v>
      </c>
      <c r="O75" s="54">
        <v>45160</v>
      </c>
      <c r="P75" s="54">
        <v>45183</v>
      </c>
      <c r="Q75" s="51" t="s">
        <v>46</v>
      </c>
      <c r="R75" s="52">
        <v>10850</v>
      </c>
      <c r="S75" s="52">
        <v>0</v>
      </c>
      <c r="T75" s="52">
        <v>10850</v>
      </c>
      <c r="U75" s="54">
        <v>45194</v>
      </c>
      <c r="V75" s="52">
        <v>12212.07</v>
      </c>
      <c r="W75" s="52">
        <v>132500959.5</v>
      </c>
      <c r="X75" s="51"/>
      <c r="Y75" s="52">
        <v>132500959.5</v>
      </c>
      <c r="Z75" s="50" t="s">
        <v>290</v>
      </c>
    </row>
    <row r="76" spans="1:26" ht="36" x14ac:dyDescent="0.3">
      <c r="A76" s="50">
        <v>72</v>
      </c>
      <c r="B76" s="51" t="s">
        <v>200</v>
      </c>
      <c r="C76" s="51" t="s">
        <v>116</v>
      </c>
      <c r="D76" s="51" t="s">
        <v>279</v>
      </c>
      <c r="E76" s="51" t="s">
        <v>264</v>
      </c>
      <c r="F76" s="51" t="s">
        <v>265</v>
      </c>
      <c r="G76" s="53">
        <v>62164.080000000271</v>
      </c>
      <c r="H76" s="51" t="s">
        <v>40</v>
      </c>
      <c r="I76" s="50">
        <v>68.685000000000002</v>
      </c>
      <c r="J76" s="52">
        <v>14221</v>
      </c>
      <c r="K76" s="52" t="s">
        <v>45</v>
      </c>
      <c r="L76" s="51" t="s">
        <v>133</v>
      </c>
      <c r="M76" s="51" t="s">
        <v>288</v>
      </c>
      <c r="N76" s="51" t="s">
        <v>289</v>
      </c>
      <c r="O76" s="54">
        <v>45160</v>
      </c>
      <c r="P76" s="54">
        <v>45183</v>
      </c>
      <c r="Q76" s="51" t="s">
        <v>46</v>
      </c>
      <c r="R76" s="52">
        <v>10850</v>
      </c>
      <c r="S76" s="52">
        <v>0</v>
      </c>
      <c r="T76" s="52">
        <v>10850</v>
      </c>
      <c r="U76" s="54">
        <v>45194</v>
      </c>
      <c r="V76" s="52">
        <v>12212.07</v>
      </c>
      <c r="W76" s="52">
        <v>132500959.5</v>
      </c>
      <c r="X76" s="51"/>
      <c r="Y76" s="52">
        <v>132500959.5</v>
      </c>
      <c r="Z76" s="50" t="s">
        <v>290</v>
      </c>
    </row>
    <row r="77" spans="1:26" ht="36" x14ac:dyDescent="0.3">
      <c r="A77" s="50">
        <v>73</v>
      </c>
      <c r="B77" s="51" t="s">
        <v>200</v>
      </c>
      <c r="C77" s="51" t="s">
        <v>116</v>
      </c>
      <c r="D77" s="51" t="s">
        <v>280</v>
      </c>
      <c r="E77" s="51" t="s">
        <v>264</v>
      </c>
      <c r="F77" s="51" t="s">
        <v>265</v>
      </c>
      <c r="G77" s="53">
        <v>103046.95999999985</v>
      </c>
      <c r="H77" s="51" t="s">
        <v>40</v>
      </c>
      <c r="I77" s="50">
        <v>66.488</v>
      </c>
      <c r="J77" s="52">
        <v>12758</v>
      </c>
      <c r="K77" s="52" t="s">
        <v>45</v>
      </c>
      <c r="L77" s="51" t="s">
        <v>133</v>
      </c>
      <c r="M77" s="51" t="s">
        <v>288</v>
      </c>
      <c r="N77" s="51" t="s">
        <v>289</v>
      </c>
      <c r="O77" s="54">
        <v>45160</v>
      </c>
      <c r="P77" s="54">
        <v>45183</v>
      </c>
      <c r="Q77" s="51" t="s">
        <v>46</v>
      </c>
      <c r="R77" s="52">
        <v>10850</v>
      </c>
      <c r="S77" s="52">
        <v>0</v>
      </c>
      <c r="T77" s="52">
        <v>10850</v>
      </c>
      <c r="U77" s="54">
        <v>45194</v>
      </c>
      <c r="V77" s="52">
        <v>12212.07</v>
      </c>
      <c r="W77" s="52">
        <v>132500959.5</v>
      </c>
      <c r="X77" s="51"/>
      <c r="Y77" s="52">
        <v>132500959.5</v>
      </c>
      <c r="Z77" s="50" t="s">
        <v>290</v>
      </c>
    </row>
    <row r="78" spans="1:26" ht="36" x14ac:dyDescent="0.3">
      <c r="A78" s="50">
        <v>74</v>
      </c>
      <c r="B78" s="51" t="s">
        <v>200</v>
      </c>
      <c r="C78" s="51" t="s">
        <v>116</v>
      </c>
      <c r="D78" s="51" t="s">
        <v>281</v>
      </c>
      <c r="E78" s="51" t="s">
        <v>264</v>
      </c>
      <c r="F78" s="51" t="s">
        <v>265</v>
      </c>
      <c r="G78" s="53">
        <v>222950.07999999981</v>
      </c>
      <c r="H78" s="51" t="s">
        <v>40</v>
      </c>
      <c r="I78" s="50">
        <v>68.221000000000004</v>
      </c>
      <c r="J78" s="52">
        <v>15577</v>
      </c>
      <c r="K78" s="52" t="s">
        <v>45</v>
      </c>
      <c r="L78" s="51" t="s">
        <v>133</v>
      </c>
      <c r="M78" s="51" t="s">
        <v>288</v>
      </c>
      <c r="N78" s="51" t="s">
        <v>289</v>
      </c>
      <c r="O78" s="54">
        <v>45160</v>
      </c>
      <c r="P78" s="54">
        <v>45183</v>
      </c>
      <c r="Q78" s="51" t="s">
        <v>46</v>
      </c>
      <c r="R78" s="52">
        <v>10850</v>
      </c>
      <c r="S78" s="52">
        <v>0</v>
      </c>
      <c r="T78" s="52">
        <v>10850</v>
      </c>
      <c r="U78" s="54">
        <v>45194</v>
      </c>
      <c r="V78" s="52">
        <v>12212.07</v>
      </c>
      <c r="W78" s="52">
        <v>132500959.5</v>
      </c>
      <c r="X78" s="51"/>
      <c r="Y78" s="52">
        <v>132500959.5</v>
      </c>
      <c r="Z78" s="50" t="s">
        <v>290</v>
      </c>
    </row>
    <row r="79" spans="1:26" ht="36" x14ac:dyDescent="0.3">
      <c r="A79" s="50">
        <v>75</v>
      </c>
      <c r="B79" s="51" t="s">
        <v>200</v>
      </c>
      <c r="C79" s="51" t="s">
        <v>116</v>
      </c>
      <c r="D79" s="51" t="s">
        <v>282</v>
      </c>
      <c r="E79" s="51" t="s">
        <v>264</v>
      </c>
      <c r="F79" s="51" t="s">
        <v>265</v>
      </c>
      <c r="G79" s="53">
        <v>318390.9999999993</v>
      </c>
      <c r="H79" s="51" t="s">
        <v>40</v>
      </c>
      <c r="I79" s="50">
        <v>68.347999999999999</v>
      </c>
      <c r="J79" s="52">
        <v>19772</v>
      </c>
      <c r="K79" s="52" t="s">
        <v>45</v>
      </c>
      <c r="L79" s="51" t="s">
        <v>133</v>
      </c>
      <c r="M79" s="51" t="s">
        <v>288</v>
      </c>
      <c r="N79" s="51" t="s">
        <v>289</v>
      </c>
      <c r="O79" s="54">
        <v>45160</v>
      </c>
      <c r="P79" s="54">
        <v>45183</v>
      </c>
      <c r="Q79" s="51" t="s">
        <v>46</v>
      </c>
      <c r="R79" s="52">
        <v>10850</v>
      </c>
      <c r="S79" s="52">
        <v>0</v>
      </c>
      <c r="T79" s="52">
        <v>10850</v>
      </c>
      <c r="U79" s="54">
        <v>45194</v>
      </c>
      <c r="V79" s="52">
        <v>12212.07</v>
      </c>
      <c r="W79" s="52">
        <v>132500959.5</v>
      </c>
      <c r="X79" s="51"/>
      <c r="Y79" s="52">
        <v>132500959.5</v>
      </c>
      <c r="Z79" s="50" t="s">
        <v>290</v>
      </c>
    </row>
    <row r="80" spans="1:26" ht="36" x14ac:dyDescent="0.3">
      <c r="A80" s="50">
        <v>76</v>
      </c>
      <c r="B80" s="51" t="s">
        <v>200</v>
      </c>
      <c r="C80" s="51" t="s">
        <v>116</v>
      </c>
      <c r="D80" s="51" t="s">
        <v>283</v>
      </c>
      <c r="E80" s="51" t="s">
        <v>264</v>
      </c>
      <c r="F80" s="51" t="s">
        <v>265</v>
      </c>
      <c r="G80" s="53">
        <v>57800.180000000371</v>
      </c>
      <c r="H80" s="51" t="s">
        <v>40</v>
      </c>
      <c r="I80" s="50">
        <v>67.986000000000004</v>
      </c>
      <c r="J80" s="52">
        <v>15971</v>
      </c>
      <c r="K80" s="52" t="s">
        <v>45</v>
      </c>
      <c r="L80" s="51" t="s">
        <v>133</v>
      </c>
      <c r="M80" s="51" t="s">
        <v>288</v>
      </c>
      <c r="N80" s="51" t="s">
        <v>289</v>
      </c>
      <c r="O80" s="54">
        <v>45160</v>
      </c>
      <c r="P80" s="54">
        <v>45183</v>
      </c>
      <c r="Q80" s="51" t="s">
        <v>46</v>
      </c>
      <c r="R80" s="52">
        <v>10850</v>
      </c>
      <c r="S80" s="52">
        <v>0</v>
      </c>
      <c r="T80" s="52">
        <v>10850</v>
      </c>
      <c r="U80" s="54">
        <v>45194</v>
      </c>
      <c r="V80" s="52">
        <v>12212.07</v>
      </c>
      <c r="W80" s="52">
        <v>132500959.5</v>
      </c>
      <c r="X80" s="51"/>
      <c r="Y80" s="52">
        <v>132500959.5</v>
      </c>
      <c r="Z80" s="50" t="s">
        <v>290</v>
      </c>
    </row>
    <row r="81" spans="1:26" ht="36" x14ac:dyDescent="0.3">
      <c r="A81" s="50">
        <v>77</v>
      </c>
      <c r="B81" s="51" t="s">
        <v>200</v>
      </c>
      <c r="C81" s="51" t="s">
        <v>116</v>
      </c>
      <c r="D81" s="51" t="s">
        <v>284</v>
      </c>
      <c r="E81" s="51" t="s">
        <v>264</v>
      </c>
      <c r="F81" s="51" t="s">
        <v>265</v>
      </c>
      <c r="G81" s="53">
        <v>110380.56000000035</v>
      </c>
      <c r="H81" s="51" t="s">
        <v>40</v>
      </c>
      <c r="I81" s="50">
        <v>67.331000000000003</v>
      </c>
      <c r="J81" s="52">
        <v>14711</v>
      </c>
      <c r="K81" s="52" t="s">
        <v>45</v>
      </c>
      <c r="L81" s="51" t="s">
        <v>133</v>
      </c>
      <c r="M81" s="51" t="s">
        <v>288</v>
      </c>
      <c r="N81" s="51" t="s">
        <v>289</v>
      </c>
      <c r="O81" s="54">
        <v>45160</v>
      </c>
      <c r="P81" s="54">
        <v>45183</v>
      </c>
      <c r="Q81" s="51" t="s">
        <v>46</v>
      </c>
      <c r="R81" s="52">
        <v>10850</v>
      </c>
      <c r="S81" s="52">
        <v>0</v>
      </c>
      <c r="T81" s="52">
        <v>10850</v>
      </c>
      <c r="U81" s="54">
        <v>45194</v>
      </c>
      <c r="V81" s="52">
        <v>12212.07</v>
      </c>
      <c r="W81" s="52">
        <v>132500959.5</v>
      </c>
      <c r="X81" s="51"/>
      <c r="Y81" s="52">
        <v>132500959.5</v>
      </c>
      <c r="Z81" s="50" t="s">
        <v>290</v>
      </c>
    </row>
    <row r="82" spans="1:26" ht="36" x14ac:dyDescent="0.3">
      <c r="A82" s="50">
        <v>78</v>
      </c>
      <c r="B82" s="51" t="s">
        <v>200</v>
      </c>
      <c r="C82" s="51" t="s">
        <v>116</v>
      </c>
      <c r="D82" s="51" t="s">
        <v>285</v>
      </c>
      <c r="E82" s="51" t="s">
        <v>264</v>
      </c>
      <c r="F82" s="51" t="s">
        <v>265</v>
      </c>
      <c r="G82" s="53">
        <v>123718.60999999929</v>
      </c>
      <c r="H82" s="51" t="s">
        <v>40</v>
      </c>
      <c r="I82" s="50">
        <v>67.453999999999994</v>
      </c>
      <c r="J82" s="52">
        <v>18447</v>
      </c>
      <c r="K82" s="52" t="s">
        <v>45</v>
      </c>
      <c r="L82" s="51" t="s">
        <v>133</v>
      </c>
      <c r="M82" s="51" t="s">
        <v>288</v>
      </c>
      <c r="N82" s="51" t="s">
        <v>289</v>
      </c>
      <c r="O82" s="54">
        <v>45160</v>
      </c>
      <c r="P82" s="54">
        <v>45183</v>
      </c>
      <c r="Q82" s="51" t="s">
        <v>46</v>
      </c>
      <c r="R82" s="52">
        <v>10850</v>
      </c>
      <c r="S82" s="52">
        <v>0</v>
      </c>
      <c r="T82" s="52">
        <v>10850</v>
      </c>
      <c r="U82" s="54">
        <v>45194</v>
      </c>
      <c r="V82" s="52">
        <v>12212.07</v>
      </c>
      <c r="W82" s="52">
        <v>132500959.5</v>
      </c>
      <c r="X82" s="51"/>
      <c r="Y82" s="52">
        <v>132500959.5</v>
      </c>
      <c r="Z82" s="50" t="s">
        <v>290</v>
      </c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8671875" defaultRowHeight="14.4" x14ac:dyDescent="0.3"/>
  <cols>
    <col min="1" max="1" width="21.6640625" style="28" customWidth="1"/>
    <col min="2" max="2" width="23.6640625" style="28" customWidth="1"/>
    <col min="3" max="16384" width="8.88671875" style="28"/>
  </cols>
  <sheetData>
    <row r="1" spans="1:2" ht="24" customHeight="1" x14ac:dyDescent="0.3">
      <c r="A1" s="29" t="s">
        <v>47</v>
      </c>
      <c r="B1" s="30" t="str" cm="1">
        <f t="array" aca="1" ref="B1" ca="1">CELL("имяфайла")</f>
        <v>C:\Users\z.radjabmukhamedov\Desktop\[акт CNT-CKRF083-1 GM.xlsx]Лист1</v>
      </c>
    </row>
    <row r="2" spans="1:2" ht="24" customHeight="1" x14ac:dyDescent="0.3">
      <c r="A2" s="29" t="s">
        <v>75</v>
      </c>
      <c r="B2" s="31" t="str">
        <f ca="1">LEFT(B1,SEARCH("[",B1,1)-1)&amp;B3</f>
        <v>C:\Users\z.radjabmukhamedov\Desktop\CNT -FS230001670.xls</v>
      </c>
    </row>
    <row r="3" spans="1:2" ht="24" customHeight="1" x14ac:dyDescent="0.3">
      <c r="A3" s="29" t="s">
        <v>74</v>
      </c>
      <c r="B3" s="32" t="s">
        <v>115</v>
      </c>
    </row>
    <row r="4" spans="1:2" ht="31.95" customHeight="1" x14ac:dyDescent="0.3">
      <c r="A4" s="42" t="s">
        <v>104</v>
      </c>
      <c r="B4" s="43" t="str">
        <f ca="1">LEFT(B1,SEARCH("[",B1,1)-1)&amp;"Справочник курсов.xlsx"</f>
        <v>C:\Users\z.radjabmukhamedov\Desktop\Справочник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1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48</v>
      </c>
      <c r="B1" s="18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76</v>
      </c>
      <c r="H1" s="18" t="s">
        <v>54</v>
      </c>
      <c r="I1" s="18" t="s">
        <v>55</v>
      </c>
      <c r="J1" s="18" t="s">
        <v>56</v>
      </c>
      <c r="K1" s="18" t="s">
        <v>57</v>
      </c>
      <c r="L1" s="18" t="s">
        <v>58</v>
      </c>
      <c r="M1" s="18" t="s">
        <v>59</v>
      </c>
      <c r="N1" s="18" t="s">
        <v>60</v>
      </c>
      <c r="O1" s="18" t="s">
        <v>61</v>
      </c>
      <c r="P1" s="18" t="s">
        <v>62</v>
      </c>
      <c r="Q1" s="18" t="s">
        <v>63</v>
      </c>
      <c r="R1" s="18" t="s">
        <v>64</v>
      </c>
      <c r="S1" s="18" t="s">
        <v>65</v>
      </c>
      <c r="T1" s="18" t="s">
        <v>66</v>
      </c>
      <c r="U1" s="18" t="s">
        <v>67</v>
      </c>
      <c r="V1" s="18" t="s">
        <v>68</v>
      </c>
    </row>
    <row r="2" spans="1:22" ht="14.4" x14ac:dyDescent="0.3">
      <c r="A2" s="10" t="s">
        <v>44</v>
      </c>
      <c r="B2" s="10" t="s">
        <v>116</v>
      </c>
      <c r="C2" s="10" t="s">
        <v>117</v>
      </c>
      <c r="D2" s="10" t="s">
        <v>118</v>
      </c>
      <c r="E2" s="10" t="s">
        <v>119</v>
      </c>
      <c r="F2" s="10" t="s">
        <v>120</v>
      </c>
      <c r="G2" s="7" t="s">
        <v>121</v>
      </c>
      <c r="H2" s="10" t="s">
        <v>122</v>
      </c>
      <c r="I2" s="10" t="s">
        <v>45</v>
      </c>
      <c r="J2" s="10" t="s">
        <v>123</v>
      </c>
      <c r="K2" s="10" t="s">
        <v>124</v>
      </c>
      <c r="L2" s="47">
        <v>44979</v>
      </c>
      <c r="M2" s="47">
        <v>45033</v>
      </c>
      <c r="N2" s="19">
        <v>67.082999999999998</v>
      </c>
      <c r="O2" s="19">
        <v>6071</v>
      </c>
      <c r="P2" s="19">
        <v>11600</v>
      </c>
      <c r="Q2" s="19"/>
      <c r="R2" s="19">
        <v>11600</v>
      </c>
      <c r="S2" s="10" t="s">
        <v>46</v>
      </c>
      <c r="T2" s="19">
        <v>19024.2</v>
      </c>
      <c r="U2" s="10" t="s">
        <v>125</v>
      </c>
      <c r="V2" s="9">
        <v>1</v>
      </c>
    </row>
    <row r="3" spans="1:22" ht="14.4" x14ac:dyDescent="0.3">
      <c r="A3" s="10" t="s">
        <v>44</v>
      </c>
      <c r="B3" s="10" t="s">
        <v>116</v>
      </c>
      <c r="C3" s="10" t="s">
        <v>117</v>
      </c>
      <c r="D3" s="10" t="s">
        <v>126</v>
      </c>
      <c r="E3" s="10" t="s">
        <v>119</v>
      </c>
      <c r="F3" s="10" t="s">
        <v>120</v>
      </c>
      <c r="G3" s="7" t="s">
        <v>121</v>
      </c>
      <c r="H3" s="10" t="s">
        <v>122</v>
      </c>
      <c r="I3" s="10" t="s">
        <v>45</v>
      </c>
      <c r="J3" s="10" t="s">
        <v>123</v>
      </c>
      <c r="K3" s="10" t="s">
        <v>124</v>
      </c>
      <c r="L3" s="47">
        <v>44979</v>
      </c>
      <c r="M3" s="47">
        <v>45034</v>
      </c>
      <c r="N3" s="19">
        <v>67.387</v>
      </c>
      <c r="O3" s="19">
        <v>9416</v>
      </c>
      <c r="P3" s="19">
        <v>11600</v>
      </c>
      <c r="Q3" s="19"/>
      <c r="R3" s="19">
        <v>11600</v>
      </c>
      <c r="S3" s="10" t="s">
        <v>46</v>
      </c>
      <c r="T3" s="19">
        <v>28742.400000000001</v>
      </c>
      <c r="U3" s="10" t="s">
        <v>125</v>
      </c>
      <c r="V3" s="9">
        <v>2</v>
      </c>
    </row>
    <row r="4" spans="1:22" ht="14.4" x14ac:dyDescent="0.3">
      <c r="A4" s="10" t="s">
        <v>44</v>
      </c>
      <c r="B4" s="10" t="s">
        <v>116</v>
      </c>
      <c r="C4" s="10" t="s">
        <v>117</v>
      </c>
      <c r="D4" s="10" t="s">
        <v>127</v>
      </c>
      <c r="E4" s="10" t="s">
        <v>119</v>
      </c>
      <c r="F4" s="10" t="s">
        <v>120</v>
      </c>
      <c r="G4" s="7" t="s">
        <v>121</v>
      </c>
      <c r="H4" s="10" t="s">
        <v>122</v>
      </c>
      <c r="I4" s="10" t="s">
        <v>45</v>
      </c>
      <c r="J4" s="10" t="s">
        <v>123</v>
      </c>
      <c r="K4" s="10" t="s">
        <v>124</v>
      </c>
      <c r="L4" s="47">
        <v>44979</v>
      </c>
      <c r="M4" s="47">
        <v>45034</v>
      </c>
      <c r="N4" s="19">
        <v>67.558999999999997</v>
      </c>
      <c r="O4" s="19">
        <v>5156</v>
      </c>
      <c r="P4" s="19">
        <v>11600</v>
      </c>
      <c r="Q4" s="19"/>
      <c r="R4" s="19">
        <v>11600</v>
      </c>
      <c r="S4" s="10" t="s">
        <v>46</v>
      </c>
      <c r="T4" s="19">
        <v>13594.04</v>
      </c>
      <c r="U4" s="10" t="s">
        <v>125</v>
      </c>
      <c r="V4" s="9">
        <v>3</v>
      </c>
    </row>
    <row r="5" spans="1:22" ht="14.4" x14ac:dyDescent="0.3">
      <c r="A5" s="10" t="s">
        <v>44</v>
      </c>
      <c r="B5" s="10" t="s">
        <v>116</v>
      </c>
      <c r="C5" s="10" t="s">
        <v>117</v>
      </c>
      <c r="D5" s="10" t="s">
        <v>128</v>
      </c>
      <c r="E5" s="10" t="s">
        <v>119</v>
      </c>
      <c r="F5" s="10" t="s">
        <v>120</v>
      </c>
      <c r="G5" s="7" t="s">
        <v>121</v>
      </c>
      <c r="H5" s="10" t="s">
        <v>122</v>
      </c>
      <c r="I5" s="10" t="s">
        <v>45</v>
      </c>
      <c r="J5" s="10" t="s">
        <v>123</v>
      </c>
      <c r="K5" s="10" t="s">
        <v>124</v>
      </c>
      <c r="L5" s="47">
        <v>44979</v>
      </c>
      <c r="M5" s="47">
        <v>45034</v>
      </c>
      <c r="N5" s="19">
        <v>67.286000000000001</v>
      </c>
      <c r="O5" s="19">
        <v>7144</v>
      </c>
      <c r="P5" s="19">
        <v>11600</v>
      </c>
      <c r="Q5" s="19"/>
      <c r="R5" s="19">
        <v>11600</v>
      </c>
      <c r="S5" s="10" t="s">
        <v>46</v>
      </c>
      <c r="T5" s="19">
        <v>20636.599999999999</v>
      </c>
      <c r="U5" s="10" t="s">
        <v>125</v>
      </c>
      <c r="V5" s="9">
        <v>4</v>
      </c>
    </row>
    <row r="6" spans="1:22" ht="14.4" x14ac:dyDescent="0.3">
      <c r="A6" s="10" t="s">
        <v>44</v>
      </c>
      <c r="B6" s="10" t="s">
        <v>116</v>
      </c>
      <c r="C6" s="10" t="s">
        <v>117</v>
      </c>
      <c r="D6" s="10" t="s">
        <v>129</v>
      </c>
      <c r="E6" s="10" t="s">
        <v>119</v>
      </c>
      <c r="F6" s="10" t="s">
        <v>120</v>
      </c>
      <c r="G6" s="7" t="s">
        <v>121</v>
      </c>
      <c r="H6" s="10" t="s">
        <v>122</v>
      </c>
      <c r="I6" s="10" t="s">
        <v>45</v>
      </c>
      <c r="J6" s="10" t="s">
        <v>123</v>
      </c>
      <c r="K6" s="10" t="s">
        <v>124</v>
      </c>
      <c r="L6" s="47">
        <v>44979</v>
      </c>
      <c r="M6" s="47">
        <v>45034</v>
      </c>
      <c r="N6" s="19">
        <v>67.387</v>
      </c>
      <c r="O6" s="19">
        <v>8806</v>
      </c>
      <c r="P6" s="19">
        <v>11600</v>
      </c>
      <c r="Q6" s="19"/>
      <c r="R6" s="19">
        <v>11600</v>
      </c>
      <c r="S6" s="10" t="s">
        <v>46</v>
      </c>
      <c r="T6" s="19">
        <v>24809.31</v>
      </c>
      <c r="U6" s="10" t="s">
        <v>125</v>
      </c>
      <c r="V6" s="9">
        <v>5</v>
      </c>
    </row>
    <row r="7" spans="1:22" ht="14.4" x14ac:dyDescent="0.3">
      <c r="A7" s="10" t="s">
        <v>44</v>
      </c>
      <c r="B7" s="10" t="s">
        <v>116</v>
      </c>
      <c r="C7" s="10" t="s">
        <v>117</v>
      </c>
      <c r="D7" s="10" t="s">
        <v>130</v>
      </c>
      <c r="E7" s="10" t="s">
        <v>119</v>
      </c>
      <c r="F7" s="10" t="s">
        <v>120</v>
      </c>
      <c r="G7" s="7" t="s">
        <v>121</v>
      </c>
      <c r="H7" s="10" t="s">
        <v>122</v>
      </c>
      <c r="I7" s="10" t="s">
        <v>45</v>
      </c>
      <c r="J7" s="10" t="s">
        <v>123</v>
      </c>
      <c r="K7" s="10" t="s">
        <v>124</v>
      </c>
      <c r="L7" s="47">
        <v>44979</v>
      </c>
      <c r="M7" s="47">
        <v>45034</v>
      </c>
      <c r="N7" s="19">
        <v>67.558999999999997</v>
      </c>
      <c r="O7" s="19">
        <v>6894</v>
      </c>
      <c r="P7" s="19">
        <v>11600</v>
      </c>
      <c r="Q7" s="19"/>
      <c r="R7" s="19">
        <v>11600</v>
      </c>
      <c r="S7" s="10" t="s">
        <v>46</v>
      </c>
      <c r="T7" s="19">
        <v>19105.599999999999</v>
      </c>
      <c r="U7" s="10" t="s">
        <v>125</v>
      </c>
      <c r="V7" s="9">
        <v>6</v>
      </c>
    </row>
    <row r="8" spans="1:22" ht="14.4" x14ac:dyDescent="0.3">
      <c r="A8" s="10" t="s">
        <v>44</v>
      </c>
      <c r="B8" s="10" t="s">
        <v>116</v>
      </c>
      <c r="C8" s="10" t="s">
        <v>117</v>
      </c>
      <c r="D8" s="10" t="s">
        <v>131</v>
      </c>
      <c r="E8" s="10" t="s">
        <v>119</v>
      </c>
      <c r="F8" s="10" t="s">
        <v>132</v>
      </c>
      <c r="G8" s="7" t="s">
        <v>133</v>
      </c>
      <c r="H8" s="10" t="s">
        <v>122</v>
      </c>
      <c r="I8" s="10" t="s">
        <v>45</v>
      </c>
      <c r="J8" s="10" t="s">
        <v>134</v>
      </c>
      <c r="K8" s="10" t="s">
        <v>135</v>
      </c>
      <c r="L8" s="47">
        <v>44979</v>
      </c>
      <c r="M8" s="47">
        <v>45034</v>
      </c>
      <c r="N8" s="19">
        <v>66.631</v>
      </c>
      <c r="O8" s="19">
        <v>10491</v>
      </c>
      <c r="P8" s="19">
        <v>10850</v>
      </c>
      <c r="Q8" s="19"/>
      <c r="R8" s="19">
        <v>10850</v>
      </c>
      <c r="S8" s="10" t="s">
        <v>46</v>
      </c>
      <c r="T8" s="19">
        <v>63337.279999999999</v>
      </c>
      <c r="U8" s="10" t="s">
        <v>125</v>
      </c>
      <c r="V8" s="9">
        <v>7</v>
      </c>
    </row>
    <row r="9" spans="1:22" ht="14.4" x14ac:dyDescent="0.3">
      <c r="A9" s="10" t="s">
        <v>44</v>
      </c>
      <c r="B9" s="10" t="s">
        <v>116</v>
      </c>
      <c r="C9" s="10" t="s">
        <v>117</v>
      </c>
      <c r="D9" s="10" t="s">
        <v>136</v>
      </c>
      <c r="E9" s="10" t="s">
        <v>119</v>
      </c>
      <c r="F9" s="10" t="s">
        <v>120</v>
      </c>
      <c r="G9" s="7" t="s">
        <v>121</v>
      </c>
      <c r="H9" s="10" t="s">
        <v>122</v>
      </c>
      <c r="I9" s="10" t="s">
        <v>45</v>
      </c>
      <c r="J9" s="10" t="s">
        <v>123</v>
      </c>
      <c r="K9" s="10" t="s">
        <v>124</v>
      </c>
      <c r="L9" s="47">
        <v>44979</v>
      </c>
      <c r="M9" s="47">
        <v>45034</v>
      </c>
      <c r="N9" s="19">
        <v>67.597999999999999</v>
      </c>
      <c r="O9" s="19">
        <v>6571</v>
      </c>
      <c r="P9" s="19">
        <v>11600</v>
      </c>
      <c r="Q9" s="19"/>
      <c r="R9" s="19">
        <v>11600</v>
      </c>
      <c r="S9" s="10" t="s">
        <v>46</v>
      </c>
      <c r="T9" s="19">
        <v>20346.84</v>
      </c>
      <c r="U9" s="10" t="s">
        <v>125</v>
      </c>
      <c r="V9" s="9">
        <v>8</v>
      </c>
    </row>
    <row r="10" spans="1:22" ht="14.4" x14ac:dyDescent="0.3">
      <c r="A10" s="10" t="s">
        <v>44</v>
      </c>
      <c r="B10" s="10" t="s">
        <v>116</v>
      </c>
      <c r="C10" s="10" t="s">
        <v>117</v>
      </c>
      <c r="D10" s="10" t="s">
        <v>137</v>
      </c>
      <c r="E10" s="10" t="s">
        <v>119</v>
      </c>
      <c r="F10" s="10" t="s">
        <v>138</v>
      </c>
      <c r="G10" s="7" t="s">
        <v>139</v>
      </c>
      <c r="H10" s="10" t="s">
        <v>122</v>
      </c>
      <c r="I10" s="10" t="s">
        <v>45</v>
      </c>
      <c r="J10" s="10" t="s">
        <v>140</v>
      </c>
      <c r="K10" s="10" t="s">
        <v>141</v>
      </c>
      <c r="L10" s="47">
        <v>44979</v>
      </c>
      <c r="M10" s="47">
        <v>45034</v>
      </c>
      <c r="N10" s="19">
        <v>67.082999999999998</v>
      </c>
      <c r="O10" s="19">
        <v>6768</v>
      </c>
      <c r="P10" s="19">
        <v>10550</v>
      </c>
      <c r="Q10" s="19"/>
      <c r="R10" s="19">
        <v>10550</v>
      </c>
      <c r="S10" s="10" t="s">
        <v>46</v>
      </c>
      <c r="T10" s="19">
        <v>51105.56</v>
      </c>
      <c r="U10" s="10" t="s">
        <v>125</v>
      </c>
      <c r="V10" s="9">
        <v>9</v>
      </c>
    </row>
    <row r="11" spans="1:22" ht="14.4" x14ac:dyDescent="0.3">
      <c r="A11" s="10" t="s">
        <v>44</v>
      </c>
      <c r="B11" s="10" t="s">
        <v>116</v>
      </c>
      <c r="C11" s="10" t="s">
        <v>117</v>
      </c>
      <c r="D11" s="10" t="s">
        <v>142</v>
      </c>
      <c r="E11" s="10" t="s">
        <v>119</v>
      </c>
      <c r="F11" s="10" t="s">
        <v>120</v>
      </c>
      <c r="G11" s="7" t="s">
        <v>121</v>
      </c>
      <c r="H11" s="10" t="s">
        <v>122</v>
      </c>
      <c r="I11" s="10" t="s">
        <v>45</v>
      </c>
      <c r="J11" s="10" t="s">
        <v>123</v>
      </c>
      <c r="K11" s="10" t="s">
        <v>124</v>
      </c>
      <c r="L11" s="47">
        <v>44979</v>
      </c>
      <c r="M11" s="47">
        <v>45034</v>
      </c>
      <c r="N11" s="19">
        <v>67.674999999999997</v>
      </c>
      <c r="O11" s="19">
        <v>6935</v>
      </c>
      <c r="P11" s="19">
        <v>11600</v>
      </c>
      <c r="Q11" s="19"/>
      <c r="R11" s="19">
        <v>11600</v>
      </c>
      <c r="S11" s="10" t="s">
        <v>46</v>
      </c>
      <c r="T11" s="19">
        <v>21717</v>
      </c>
      <c r="U11" s="10" t="s">
        <v>125</v>
      </c>
      <c r="V11" s="9">
        <v>10</v>
      </c>
    </row>
    <row r="12" spans="1:22" ht="14.4" x14ac:dyDescent="0.3">
      <c r="A12" s="10" t="s">
        <v>44</v>
      </c>
      <c r="B12" s="10" t="s">
        <v>116</v>
      </c>
      <c r="C12" s="10" t="s">
        <v>117</v>
      </c>
      <c r="D12" s="10" t="s">
        <v>143</v>
      </c>
      <c r="E12" s="10" t="s">
        <v>119</v>
      </c>
      <c r="F12" s="10" t="s">
        <v>144</v>
      </c>
      <c r="G12" s="7" t="s">
        <v>133</v>
      </c>
      <c r="H12" s="10" t="s">
        <v>122</v>
      </c>
      <c r="I12" s="10" t="s">
        <v>45</v>
      </c>
      <c r="J12" s="10" t="s">
        <v>145</v>
      </c>
      <c r="K12" s="10" t="s">
        <v>146</v>
      </c>
      <c r="L12" s="47">
        <v>44979</v>
      </c>
      <c r="M12" s="47">
        <v>45034</v>
      </c>
      <c r="N12" s="19">
        <v>67.066000000000003</v>
      </c>
      <c r="O12" s="19">
        <v>14603</v>
      </c>
      <c r="P12" s="19">
        <v>10850</v>
      </c>
      <c r="Q12" s="19"/>
      <c r="R12" s="19">
        <v>10850</v>
      </c>
      <c r="S12" s="10" t="s">
        <v>46</v>
      </c>
      <c r="T12" s="19">
        <v>103771.42</v>
      </c>
      <c r="U12" s="10" t="s">
        <v>125</v>
      </c>
      <c r="V12" s="9">
        <v>11</v>
      </c>
    </row>
    <row r="13" spans="1:22" ht="14.4" x14ac:dyDescent="0.3">
      <c r="A13" s="10" t="s">
        <v>44</v>
      </c>
      <c r="B13" s="10" t="s">
        <v>116</v>
      </c>
      <c r="C13" s="10" t="s">
        <v>117</v>
      </c>
      <c r="D13" s="10" t="s">
        <v>147</v>
      </c>
      <c r="E13" s="10" t="s">
        <v>119</v>
      </c>
      <c r="F13" s="10" t="s">
        <v>120</v>
      </c>
      <c r="G13" s="7" t="s">
        <v>121</v>
      </c>
      <c r="H13" s="10" t="s">
        <v>122</v>
      </c>
      <c r="I13" s="10" t="s">
        <v>45</v>
      </c>
      <c r="J13" s="10" t="s">
        <v>123</v>
      </c>
      <c r="K13" s="10" t="s">
        <v>124</v>
      </c>
      <c r="L13" s="47">
        <v>44979</v>
      </c>
      <c r="M13" s="47">
        <v>45034</v>
      </c>
      <c r="N13" s="19">
        <v>67.558999999999997</v>
      </c>
      <c r="O13" s="19">
        <v>4947</v>
      </c>
      <c r="P13" s="19">
        <v>11600</v>
      </c>
      <c r="Q13" s="19"/>
      <c r="R13" s="19">
        <v>11600</v>
      </c>
      <c r="S13" s="10" t="s">
        <v>46</v>
      </c>
      <c r="T13" s="19">
        <v>12396.96</v>
      </c>
      <c r="U13" s="10" t="s">
        <v>125</v>
      </c>
      <c r="V13" s="9">
        <v>12</v>
      </c>
    </row>
    <row r="14" spans="1:22" ht="14.4" x14ac:dyDescent="0.3">
      <c r="A14" s="10" t="s">
        <v>44</v>
      </c>
      <c r="B14" s="10" t="s">
        <v>116</v>
      </c>
      <c r="C14" s="10" t="s">
        <v>117</v>
      </c>
      <c r="D14" s="10" t="s">
        <v>148</v>
      </c>
      <c r="E14" s="10" t="s">
        <v>119</v>
      </c>
      <c r="F14" s="10" t="s">
        <v>120</v>
      </c>
      <c r="G14" s="7" t="s">
        <v>121</v>
      </c>
      <c r="H14" s="10" t="s">
        <v>122</v>
      </c>
      <c r="I14" s="10" t="s">
        <v>45</v>
      </c>
      <c r="J14" s="10" t="s">
        <v>123</v>
      </c>
      <c r="K14" s="10" t="s">
        <v>124</v>
      </c>
      <c r="L14" s="47">
        <v>44979</v>
      </c>
      <c r="M14" s="47">
        <v>45034</v>
      </c>
      <c r="N14" s="19">
        <v>67.453999999999994</v>
      </c>
      <c r="O14" s="19">
        <v>9508</v>
      </c>
      <c r="P14" s="19">
        <v>11600</v>
      </c>
      <c r="Q14" s="19"/>
      <c r="R14" s="19">
        <v>11600</v>
      </c>
      <c r="S14" s="10" t="s">
        <v>46</v>
      </c>
      <c r="T14" s="19">
        <v>30467.73</v>
      </c>
      <c r="U14" s="10" t="s">
        <v>125</v>
      </c>
      <c r="V14" s="9">
        <v>13</v>
      </c>
    </row>
    <row r="15" spans="1:22" ht="14.4" x14ac:dyDescent="0.3">
      <c r="A15" s="10" t="s">
        <v>44</v>
      </c>
      <c r="B15" s="10" t="s">
        <v>116</v>
      </c>
      <c r="C15" s="10" t="s">
        <v>117</v>
      </c>
      <c r="D15" s="10" t="s">
        <v>149</v>
      </c>
      <c r="E15" s="10" t="s">
        <v>119</v>
      </c>
      <c r="F15" s="10" t="s">
        <v>120</v>
      </c>
      <c r="G15" s="7" t="s">
        <v>121</v>
      </c>
      <c r="H15" s="10" t="s">
        <v>122</v>
      </c>
      <c r="I15" s="10" t="s">
        <v>45</v>
      </c>
      <c r="J15" s="10" t="s">
        <v>123</v>
      </c>
      <c r="K15" s="10" t="s">
        <v>124</v>
      </c>
      <c r="L15" s="47">
        <v>44979</v>
      </c>
      <c r="M15" s="47">
        <v>45034</v>
      </c>
      <c r="N15" s="19">
        <v>67.387</v>
      </c>
      <c r="O15" s="19">
        <v>9493</v>
      </c>
      <c r="P15" s="19">
        <v>11600</v>
      </c>
      <c r="Q15" s="19"/>
      <c r="R15" s="19">
        <v>11600</v>
      </c>
      <c r="S15" s="10" t="s">
        <v>46</v>
      </c>
      <c r="T15" s="19">
        <v>26655.24</v>
      </c>
      <c r="U15" s="10" t="s">
        <v>125</v>
      </c>
      <c r="V15" s="9">
        <v>14</v>
      </c>
    </row>
    <row r="16" spans="1:22" ht="14.4" x14ac:dyDescent="0.3">
      <c r="A16" s="10" t="s">
        <v>44</v>
      </c>
      <c r="B16" s="10" t="s">
        <v>116</v>
      </c>
      <c r="C16" s="10" t="s">
        <v>117</v>
      </c>
      <c r="D16" s="10" t="s">
        <v>150</v>
      </c>
      <c r="E16" s="10" t="s">
        <v>119</v>
      </c>
      <c r="F16" s="10" t="s">
        <v>151</v>
      </c>
      <c r="G16" s="7" t="s">
        <v>121</v>
      </c>
      <c r="H16" s="10" t="s">
        <v>122</v>
      </c>
      <c r="I16" s="10" t="s">
        <v>45</v>
      </c>
      <c r="J16" s="10" t="s">
        <v>152</v>
      </c>
      <c r="K16" s="10" t="s">
        <v>153</v>
      </c>
      <c r="L16" s="47">
        <v>44971</v>
      </c>
      <c r="M16" s="47">
        <v>45034</v>
      </c>
      <c r="N16" s="19">
        <v>67.83</v>
      </c>
      <c r="O16" s="19">
        <v>7834</v>
      </c>
      <c r="P16" s="19">
        <v>11600</v>
      </c>
      <c r="Q16" s="19"/>
      <c r="R16" s="19">
        <v>11600</v>
      </c>
      <c r="S16" s="10" t="s">
        <v>46</v>
      </c>
      <c r="T16" s="19">
        <v>24850.28</v>
      </c>
      <c r="U16" s="10" t="s">
        <v>125</v>
      </c>
      <c r="V16" s="9">
        <v>15</v>
      </c>
    </row>
    <row r="17" spans="1:22" ht="14.4" x14ac:dyDescent="0.3">
      <c r="A17" s="10" t="s">
        <v>44</v>
      </c>
      <c r="B17" s="10" t="s">
        <v>116</v>
      </c>
      <c r="C17" s="10" t="s">
        <v>117</v>
      </c>
      <c r="D17" s="10" t="s">
        <v>154</v>
      </c>
      <c r="E17" s="10" t="s">
        <v>119</v>
      </c>
      <c r="F17" s="10" t="s">
        <v>151</v>
      </c>
      <c r="G17" s="7" t="s">
        <v>121</v>
      </c>
      <c r="H17" s="10" t="s">
        <v>122</v>
      </c>
      <c r="I17" s="10" t="s">
        <v>45</v>
      </c>
      <c r="J17" s="10" t="s">
        <v>152</v>
      </c>
      <c r="K17" s="10" t="s">
        <v>153</v>
      </c>
      <c r="L17" s="47">
        <v>44971</v>
      </c>
      <c r="M17" s="47">
        <v>45034</v>
      </c>
      <c r="N17" s="19">
        <v>67.83</v>
      </c>
      <c r="O17" s="19">
        <v>8200</v>
      </c>
      <c r="P17" s="19">
        <v>11600</v>
      </c>
      <c r="Q17" s="19"/>
      <c r="R17" s="19">
        <v>11600</v>
      </c>
      <c r="S17" s="10" t="s">
        <v>46</v>
      </c>
      <c r="T17" s="19">
        <v>25709.32</v>
      </c>
      <c r="U17" s="10" t="s">
        <v>125</v>
      </c>
      <c r="V17" s="9">
        <v>16</v>
      </c>
    </row>
    <row r="18" spans="1:22" ht="14.4" x14ac:dyDescent="0.3">
      <c r="A18" s="10" t="s">
        <v>44</v>
      </c>
      <c r="B18" s="10" t="s">
        <v>116</v>
      </c>
      <c r="C18" s="10" t="s">
        <v>117</v>
      </c>
      <c r="D18" s="10" t="s">
        <v>155</v>
      </c>
      <c r="E18" s="10" t="s">
        <v>119</v>
      </c>
      <c r="F18" s="10" t="s">
        <v>120</v>
      </c>
      <c r="G18" s="7" t="s">
        <v>121</v>
      </c>
      <c r="H18" s="10" t="s">
        <v>122</v>
      </c>
      <c r="I18" s="10" t="s">
        <v>45</v>
      </c>
      <c r="J18" s="10" t="s">
        <v>123</v>
      </c>
      <c r="K18" s="10" t="s">
        <v>124</v>
      </c>
      <c r="L18" s="47">
        <v>44979</v>
      </c>
      <c r="M18" s="47">
        <v>45034</v>
      </c>
      <c r="N18" s="19">
        <v>67.319999999999993</v>
      </c>
      <c r="O18" s="19">
        <v>6014</v>
      </c>
      <c r="P18" s="19">
        <v>11600</v>
      </c>
      <c r="Q18" s="19"/>
      <c r="R18" s="19">
        <v>11600</v>
      </c>
      <c r="S18" s="10" t="s">
        <v>46</v>
      </c>
      <c r="T18" s="19">
        <v>17694.12</v>
      </c>
      <c r="U18" s="10" t="s">
        <v>125</v>
      </c>
      <c r="V18" s="9">
        <v>17</v>
      </c>
    </row>
    <row r="19" spans="1:22" ht="14.4" x14ac:dyDescent="0.3">
      <c r="A19" s="10" t="s">
        <v>44</v>
      </c>
      <c r="B19" s="10" t="s">
        <v>116</v>
      </c>
      <c r="C19" s="10" t="s">
        <v>117</v>
      </c>
      <c r="D19" s="10" t="s">
        <v>156</v>
      </c>
      <c r="E19" s="10" t="s">
        <v>119</v>
      </c>
      <c r="F19" s="10" t="s">
        <v>138</v>
      </c>
      <c r="G19" s="7" t="s">
        <v>139</v>
      </c>
      <c r="H19" s="10" t="s">
        <v>122</v>
      </c>
      <c r="I19" s="10" t="s">
        <v>45</v>
      </c>
      <c r="J19" s="10" t="s">
        <v>140</v>
      </c>
      <c r="K19" s="10" t="s">
        <v>141</v>
      </c>
      <c r="L19" s="47">
        <v>44979</v>
      </c>
      <c r="M19" s="47">
        <v>45034</v>
      </c>
      <c r="N19" s="19">
        <v>66.784000000000006</v>
      </c>
      <c r="O19" s="19">
        <v>4869</v>
      </c>
      <c r="P19" s="19">
        <v>10550</v>
      </c>
      <c r="Q19" s="19"/>
      <c r="R19" s="19">
        <v>10550</v>
      </c>
      <c r="S19" s="10" t="s">
        <v>46</v>
      </c>
      <c r="T19" s="19">
        <v>45360</v>
      </c>
      <c r="U19" s="10" t="s">
        <v>125</v>
      </c>
      <c r="V19" s="9">
        <v>18</v>
      </c>
    </row>
    <row r="20" spans="1:22" ht="14.4" x14ac:dyDescent="0.3">
      <c r="A20" s="10" t="s">
        <v>44</v>
      </c>
      <c r="B20" s="10" t="s">
        <v>116</v>
      </c>
      <c r="C20" s="10" t="s">
        <v>117</v>
      </c>
      <c r="D20" s="10" t="s">
        <v>157</v>
      </c>
      <c r="E20" s="10" t="s">
        <v>119</v>
      </c>
      <c r="F20" s="10" t="s">
        <v>132</v>
      </c>
      <c r="G20" s="7" t="s">
        <v>133</v>
      </c>
      <c r="H20" s="10" t="s">
        <v>122</v>
      </c>
      <c r="I20" s="10" t="s">
        <v>45</v>
      </c>
      <c r="J20" s="10" t="s">
        <v>134</v>
      </c>
      <c r="K20" s="10" t="s">
        <v>135</v>
      </c>
      <c r="L20" s="47">
        <v>44979</v>
      </c>
      <c r="M20" s="47">
        <v>45034</v>
      </c>
      <c r="N20" s="19">
        <v>64.456000000000003</v>
      </c>
      <c r="O20" s="19">
        <v>7110</v>
      </c>
      <c r="P20" s="19">
        <v>10850</v>
      </c>
      <c r="Q20" s="19"/>
      <c r="R20" s="19">
        <v>10850</v>
      </c>
      <c r="S20" s="10" t="s">
        <v>46</v>
      </c>
      <c r="T20" s="19">
        <v>52939.28</v>
      </c>
      <c r="U20" s="10" t="s">
        <v>125</v>
      </c>
      <c r="V20" s="9">
        <v>19</v>
      </c>
    </row>
    <row r="21" spans="1:22" ht="14.4" x14ac:dyDescent="0.3">
      <c r="A21" s="10" t="s">
        <v>44</v>
      </c>
      <c r="B21" s="10" t="s">
        <v>116</v>
      </c>
      <c r="C21" s="10" t="s">
        <v>117</v>
      </c>
      <c r="D21" s="10" t="s">
        <v>158</v>
      </c>
      <c r="E21" s="10" t="s">
        <v>119</v>
      </c>
      <c r="F21" s="10" t="s">
        <v>120</v>
      </c>
      <c r="G21" s="7" t="s">
        <v>121</v>
      </c>
      <c r="H21" s="10" t="s">
        <v>122</v>
      </c>
      <c r="I21" s="10" t="s">
        <v>45</v>
      </c>
      <c r="J21" s="10" t="s">
        <v>123</v>
      </c>
      <c r="K21" s="10" t="s">
        <v>124</v>
      </c>
      <c r="L21" s="47">
        <v>44979</v>
      </c>
      <c r="M21" s="47">
        <v>45034</v>
      </c>
      <c r="N21" s="19">
        <v>67.319999999999993</v>
      </c>
      <c r="O21" s="19">
        <v>5890</v>
      </c>
      <c r="P21" s="19">
        <v>11600</v>
      </c>
      <c r="Q21" s="19"/>
      <c r="R21" s="19">
        <v>11600</v>
      </c>
      <c r="S21" s="10" t="s">
        <v>46</v>
      </c>
      <c r="T21" s="19">
        <v>17480.04</v>
      </c>
      <c r="U21" s="10" t="s">
        <v>125</v>
      </c>
      <c r="V21" s="9">
        <v>20</v>
      </c>
    </row>
    <row r="22" spans="1:22" ht="14.4" x14ac:dyDescent="0.3">
      <c r="A22" s="10" t="s">
        <v>44</v>
      </c>
      <c r="B22" s="10" t="s">
        <v>116</v>
      </c>
      <c r="C22" s="10" t="s">
        <v>117</v>
      </c>
      <c r="D22" s="10" t="s">
        <v>159</v>
      </c>
      <c r="E22" s="10" t="s">
        <v>119</v>
      </c>
      <c r="F22" s="10" t="s">
        <v>138</v>
      </c>
      <c r="G22" s="7" t="s">
        <v>139</v>
      </c>
      <c r="H22" s="10" t="s">
        <v>122</v>
      </c>
      <c r="I22" s="10" t="s">
        <v>45</v>
      </c>
      <c r="J22" s="10" t="s">
        <v>140</v>
      </c>
      <c r="K22" s="10" t="s">
        <v>141</v>
      </c>
      <c r="L22" s="47">
        <v>44979</v>
      </c>
      <c r="M22" s="47">
        <v>45034</v>
      </c>
      <c r="N22" s="19">
        <v>66.656000000000006</v>
      </c>
      <c r="O22" s="19">
        <v>5381</v>
      </c>
      <c r="P22" s="19">
        <v>10550</v>
      </c>
      <c r="Q22" s="19"/>
      <c r="R22" s="19">
        <v>10550</v>
      </c>
      <c r="S22" s="10" t="s">
        <v>46</v>
      </c>
      <c r="T22" s="19">
        <v>53268.2</v>
      </c>
      <c r="U22" s="10" t="s">
        <v>125</v>
      </c>
      <c r="V22" s="9">
        <v>21</v>
      </c>
    </row>
    <row r="23" spans="1:22" ht="14.4" x14ac:dyDescent="0.3">
      <c r="A23" s="10" t="s">
        <v>44</v>
      </c>
      <c r="B23" s="10" t="s">
        <v>116</v>
      </c>
      <c r="C23" s="10" t="s">
        <v>117</v>
      </c>
      <c r="D23" s="10" t="s">
        <v>160</v>
      </c>
      <c r="E23" s="10" t="s">
        <v>119</v>
      </c>
      <c r="F23" s="10" t="s">
        <v>132</v>
      </c>
      <c r="G23" s="7" t="s">
        <v>133</v>
      </c>
      <c r="H23" s="10" t="s">
        <v>122</v>
      </c>
      <c r="I23" s="10" t="s">
        <v>45</v>
      </c>
      <c r="J23" s="10" t="s">
        <v>134</v>
      </c>
      <c r="K23" s="10" t="s">
        <v>135</v>
      </c>
      <c r="L23" s="47">
        <v>44979</v>
      </c>
      <c r="M23" s="47">
        <v>45034</v>
      </c>
      <c r="N23" s="19">
        <v>67.691000000000003</v>
      </c>
      <c r="O23" s="19">
        <v>18208</v>
      </c>
      <c r="P23" s="19">
        <v>10850</v>
      </c>
      <c r="Q23" s="19"/>
      <c r="R23" s="19">
        <v>10850</v>
      </c>
      <c r="S23" s="10" t="s">
        <v>46</v>
      </c>
      <c r="T23" s="19">
        <v>118100.32</v>
      </c>
      <c r="U23" s="10" t="s">
        <v>125</v>
      </c>
      <c r="V23" s="9">
        <v>22</v>
      </c>
    </row>
    <row r="24" spans="1:22" ht="14.4" x14ac:dyDescent="0.3">
      <c r="A24" s="10" t="s">
        <v>44</v>
      </c>
      <c r="B24" s="10" t="s">
        <v>116</v>
      </c>
      <c r="C24" s="10" t="s">
        <v>117</v>
      </c>
      <c r="D24" s="10" t="s">
        <v>161</v>
      </c>
      <c r="E24" s="10" t="s">
        <v>119</v>
      </c>
      <c r="F24" s="10" t="s">
        <v>132</v>
      </c>
      <c r="G24" s="7" t="s">
        <v>133</v>
      </c>
      <c r="H24" s="10" t="s">
        <v>122</v>
      </c>
      <c r="I24" s="10" t="s">
        <v>45</v>
      </c>
      <c r="J24" s="10" t="s">
        <v>134</v>
      </c>
      <c r="K24" s="10" t="s">
        <v>135</v>
      </c>
      <c r="L24" s="47">
        <v>44979</v>
      </c>
      <c r="M24" s="47">
        <v>45034</v>
      </c>
      <c r="N24" s="19">
        <v>67.253</v>
      </c>
      <c r="O24" s="19">
        <v>16672</v>
      </c>
      <c r="P24" s="19">
        <v>10850</v>
      </c>
      <c r="Q24" s="19"/>
      <c r="R24" s="19">
        <v>10850</v>
      </c>
      <c r="S24" s="10" t="s">
        <v>46</v>
      </c>
      <c r="T24" s="19">
        <v>59273.72</v>
      </c>
      <c r="U24" s="10" t="s">
        <v>125</v>
      </c>
      <c r="V24" s="9">
        <v>23</v>
      </c>
    </row>
    <row r="25" spans="1:22" ht="14.4" x14ac:dyDescent="0.3">
      <c r="A25" s="10" t="s">
        <v>44</v>
      </c>
      <c r="B25" s="10" t="s">
        <v>116</v>
      </c>
      <c r="C25" s="10" t="s">
        <v>117</v>
      </c>
      <c r="D25" s="10" t="s">
        <v>162</v>
      </c>
      <c r="E25" s="10" t="s">
        <v>119</v>
      </c>
      <c r="F25" s="10" t="s">
        <v>120</v>
      </c>
      <c r="G25" s="7" t="s">
        <v>121</v>
      </c>
      <c r="H25" s="10" t="s">
        <v>122</v>
      </c>
      <c r="I25" s="10" t="s">
        <v>45</v>
      </c>
      <c r="J25" s="10" t="s">
        <v>123</v>
      </c>
      <c r="K25" s="10" t="s">
        <v>124</v>
      </c>
      <c r="L25" s="47">
        <v>44979</v>
      </c>
      <c r="M25" s="47">
        <v>45034</v>
      </c>
      <c r="N25" s="19">
        <v>67.637</v>
      </c>
      <c r="O25" s="19">
        <v>7142</v>
      </c>
      <c r="P25" s="19">
        <v>11600</v>
      </c>
      <c r="Q25" s="19"/>
      <c r="R25" s="19">
        <v>11600</v>
      </c>
      <c r="S25" s="10" t="s">
        <v>46</v>
      </c>
      <c r="T25" s="19">
        <v>20059.12</v>
      </c>
      <c r="U25" s="10" t="s">
        <v>125</v>
      </c>
      <c r="V25" s="9">
        <v>24</v>
      </c>
    </row>
    <row r="26" spans="1:22" ht="14.4" x14ac:dyDescent="0.3">
      <c r="A26" s="10" t="s">
        <v>44</v>
      </c>
      <c r="B26" s="10" t="s">
        <v>116</v>
      </c>
      <c r="C26" s="10" t="s">
        <v>117</v>
      </c>
      <c r="D26" s="10" t="s">
        <v>163</v>
      </c>
      <c r="E26" s="10" t="s">
        <v>119</v>
      </c>
      <c r="F26" s="10" t="s">
        <v>120</v>
      </c>
      <c r="G26" s="7" t="s">
        <v>121</v>
      </c>
      <c r="H26" s="10" t="s">
        <v>122</v>
      </c>
      <c r="I26" s="10" t="s">
        <v>45</v>
      </c>
      <c r="J26" s="10" t="s">
        <v>123</v>
      </c>
      <c r="K26" s="10" t="s">
        <v>124</v>
      </c>
      <c r="L26" s="47">
        <v>44979</v>
      </c>
      <c r="M26" s="47">
        <v>45034</v>
      </c>
      <c r="N26" s="19">
        <v>67.488</v>
      </c>
      <c r="O26" s="19">
        <v>6163</v>
      </c>
      <c r="P26" s="19">
        <v>11600</v>
      </c>
      <c r="Q26" s="19"/>
      <c r="R26" s="19">
        <v>11600</v>
      </c>
      <c r="S26" s="10" t="s">
        <v>46</v>
      </c>
      <c r="T26" s="19">
        <v>19490.98</v>
      </c>
      <c r="U26" s="10" t="s">
        <v>125</v>
      </c>
      <c r="V26" s="9">
        <v>25</v>
      </c>
    </row>
    <row r="27" spans="1:22" ht="14.4" x14ac:dyDescent="0.3">
      <c r="A27" s="10" t="s">
        <v>44</v>
      </c>
      <c r="B27" s="10" t="s">
        <v>116</v>
      </c>
      <c r="C27" s="10" t="s">
        <v>117</v>
      </c>
      <c r="D27" s="10" t="s">
        <v>164</v>
      </c>
      <c r="E27" s="10" t="s">
        <v>119</v>
      </c>
      <c r="F27" s="10" t="s">
        <v>151</v>
      </c>
      <c r="G27" s="7" t="s">
        <v>121</v>
      </c>
      <c r="H27" s="10" t="s">
        <v>122</v>
      </c>
      <c r="I27" s="10" t="s">
        <v>45</v>
      </c>
      <c r="J27" s="10" t="s">
        <v>152</v>
      </c>
      <c r="K27" s="10" t="s">
        <v>153</v>
      </c>
      <c r="L27" s="47">
        <v>44971</v>
      </c>
      <c r="M27" s="47">
        <v>45034</v>
      </c>
      <c r="N27" s="19">
        <v>67.83</v>
      </c>
      <c r="O27" s="19">
        <v>7854</v>
      </c>
      <c r="P27" s="19">
        <v>11600</v>
      </c>
      <c r="Q27" s="19"/>
      <c r="R27" s="19">
        <v>11600</v>
      </c>
      <c r="S27" s="10" t="s">
        <v>46</v>
      </c>
      <c r="T27" s="19">
        <v>24850.28</v>
      </c>
      <c r="U27" s="10" t="s">
        <v>125</v>
      </c>
      <c r="V27" s="9">
        <v>26</v>
      </c>
    </row>
    <row r="28" spans="1:22" ht="14.4" x14ac:dyDescent="0.3">
      <c r="A28" s="10" t="s">
        <v>44</v>
      </c>
      <c r="B28" s="10" t="s">
        <v>116</v>
      </c>
      <c r="C28" s="10" t="s">
        <v>117</v>
      </c>
      <c r="D28" s="10" t="s">
        <v>165</v>
      </c>
      <c r="E28" s="10" t="s">
        <v>119</v>
      </c>
      <c r="F28" s="10" t="s">
        <v>151</v>
      </c>
      <c r="G28" s="7" t="s">
        <v>121</v>
      </c>
      <c r="H28" s="10" t="s">
        <v>122</v>
      </c>
      <c r="I28" s="10" t="s">
        <v>45</v>
      </c>
      <c r="J28" s="10" t="s">
        <v>152</v>
      </c>
      <c r="K28" s="10" t="s">
        <v>153</v>
      </c>
      <c r="L28" s="47">
        <v>44971</v>
      </c>
      <c r="M28" s="47">
        <v>45034</v>
      </c>
      <c r="N28" s="19">
        <v>67.83</v>
      </c>
      <c r="O28" s="19">
        <v>7994</v>
      </c>
      <c r="P28" s="19">
        <v>11600</v>
      </c>
      <c r="Q28" s="19"/>
      <c r="R28" s="19">
        <v>11600</v>
      </c>
      <c r="S28" s="10" t="s">
        <v>46</v>
      </c>
      <c r="T28" s="19">
        <v>25218.44</v>
      </c>
      <c r="U28" s="10" t="s">
        <v>125</v>
      </c>
      <c r="V28" s="9">
        <v>27</v>
      </c>
    </row>
    <row r="29" spans="1:22" ht="14.4" x14ac:dyDescent="0.3">
      <c r="A29" s="10" t="s">
        <v>44</v>
      </c>
      <c r="B29" s="10" t="s">
        <v>116</v>
      </c>
      <c r="C29" s="10" t="s">
        <v>117</v>
      </c>
      <c r="D29" s="10" t="s">
        <v>166</v>
      </c>
      <c r="E29" s="10" t="s">
        <v>119</v>
      </c>
      <c r="F29" s="10" t="s">
        <v>144</v>
      </c>
      <c r="G29" s="7" t="s">
        <v>133</v>
      </c>
      <c r="H29" s="10" t="s">
        <v>122</v>
      </c>
      <c r="I29" s="10" t="s">
        <v>45</v>
      </c>
      <c r="J29" s="10" t="s">
        <v>145</v>
      </c>
      <c r="K29" s="10" t="s">
        <v>146</v>
      </c>
      <c r="L29" s="47">
        <v>44979</v>
      </c>
      <c r="M29" s="47">
        <v>45034</v>
      </c>
      <c r="N29" s="19">
        <v>67.488</v>
      </c>
      <c r="O29" s="19">
        <v>8952</v>
      </c>
      <c r="P29" s="19">
        <v>10850</v>
      </c>
      <c r="Q29" s="19"/>
      <c r="R29" s="19">
        <v>10850</v>
      </c>
      <c r="S29" s="10" t="s">
        <v>46</v>
      </c>
      <c r="T29" s="19">
        <v>98565.43</v>
      </c>
      <c r="U29" s="10" t="s">
        <v>125</v>
      </c>
      <c r="V29" s="9">
        <v>28</v>
      </c>
    </row>
    <row r="30" spans="1:22" ht="14.4" x14ac:dyDescent="0.3">
      <c r="A30" s="10" t="s">
        <v>44</v>
      </c>
      <c r="B30" s="10" t="s">
        <v>116</v>
      </c>
      <c r="C30" s="10" t="s">
        <v>117</v>
      </c>
      <c r="D30" s="10" t="s">
        <v>167</v>
      </c>
      <c r="E30" s="10" t="s">
        <v>119</v>
      </c>
      <c r="F30" s="10" t="s">
        <v>168</v>
      </c>
      <c r="G30" s="7" t="s">
        <v>139</v>
      </c>
      <c r="H30" s="10" t="s">
        <v>122</v>
      </c>
      <c r="I30" s="10" t="s">
        <v>45</v>
      </c>
      <c r="J30" s="10" t="s">
        <v>169</v>
      </c>
      <c r="K30" s="10" t="s">
        <v>170</v>
      </c>
      <c r="L30" s="47">
        <v>44979</v>
      </c>
      <c r="M30" s="47">
        <v>45034</v>
      </c>
      <c r="N30" s="19">
        <v>44.722999999999999</v>
      </c>
      <c r="O30" s="19">
        <v>20542</v>
      </c>
      <c r="P30" s="19">
        <v>10550</v>
      </c>
      <c r="Q30" s="19"/>
      <c r="R30" s="19">
        <v>10441.49</v>
      </c>
      <c r="S30" s="10" t="s">
        <v>46</v>
      </c>
      <c r="T30" s="19">
        <v>130614</v>
      </c>
      <c r="U30" s="10" t="s">
        <v>125</v>
      </c>
      <c r="V30" s="9">
        <v>29</v>
      </c>
    </row>
    <row r="31" spans="1:22" ht="14.4" x14ac:dyDescent="0.3">
      <c r="A31" s="10" t="s">
        <v>44</v>
      </c>
      <c r="B31" s="10" t="s">
        <v>116</v>
      </c>
      <c r="C31" s="10" t="s">
        <v>117</v>
      </c>
      <c r="D31" s="10" t="s">
        <v>171</v>
      </c>
      <c r="E31" s="10" t="s">
        <v>119</v>
      </c>
      <c r="F31" s="10" t="s">
        <v>120</v>
      </c>
      <c r="G31" s="7" t="s">
        <v>121</v>
      </c>
      <c r="H31" s="10" t="s">
        <v>122</v>
      </c>
      <c r="I31" s="10" t="s">
        <v>45</v>
      </c>
      <c r="J31" s="10" t="s">
        <v>123</v>
      </c>
      <c r="K31" s="10" t="s">
        <v>124</v>
      </c>
      <c r="L31" s="47">
        <v>44979</v>
      </c>
      <c r="M31" s="47">
        <v>45034</v>
      </c>
      <c r="N31" s="19">
        <v>67.488</v>
      </c>
      <c r="O31" s="19">
        <v>6979</v>
      </c>
      <c r="P31" s="19">
        <v>11600</v>
      </c>
      <c r="Q31" s="19"/>
      <c r="R31" s="19">
        <v>11600</v>
      </c>
      <c r="S31" s="10" t="s">
        <v>46</v>
      </c>
      <c r="T31" s="19">
        <v>20184.2</v>
      </c>
      <c r="U31" s="10" t="s">
        <v>125</v>
      </c>
      <c r="V31" s="9">
        <v>30</v>
      </c>
    </row>
    <row r="32" spans="1:22" ht="14.4" x14ac:dyDescent="0.3">
      <c r="A32" s="10" t="s">
        <v>44</v>
      </c>
      <c r="B32" s="10" t="s">
        <v>116</v>
      </c>
      <c r="C32" s="10" t="s">
        <v>117</v>
      </c>
      <c r="D32" s="10" t="s">
        <v>172</v>
      </c>
      <c r="E32" s="10" t="s">
        <v>119</v>
      </c>
      <c r="F32" s="10" t="s">
        <v>138</v>
      </c>
      <c r="G32" s="7" t="s">
        <v>139</v>
      </c>
      <c r="H32" s="10" t="s">
        <v>122</v>
      </c>
      <c r="I32" s="10" t="s">
        <v>45</v>
      </c>
      <c r="J32" s="10" t="s">
        <v>140</v>
      </c>
      <c r="K32" s="10" t="s">
        <v>141</v>
      </c>
      <c r="L32" s="47">
        <v>44979</v>
      </c>
      <c r="M32" s="47">
        <v>45034</v>
      </c>
      <c r="N32" s="19">
        <v>65.197000000000003</v>
      </c>
      <c r="O32" s="19">
        <v>10553</v>
      </c>
      <c r="P32" s="19">
        <v>10550</v>
      </c>
      <c r="Q32" s="19"/>
      <c r="R32" s="19">
        <v>10550</v>
      </c>
      <c r="S32" s="10" t="s">
        <v>46</v>
      </c>
      <c r="T32" s="19">
        <v>89139.78</v>
      </c>
      <c r="U32" s="10" t="s">
        <v>125</v>
      </c>
      <c r="V32" s="9">
        <v>31</v>
      </c>
    </row>
    <row r="33" spans="1:22" ht="14.4" x14ac:dyDescent="0.3">
      <c r="A33" s="10" t="s">
        <v>44</v>
      </c>
      <c r="B33" s="10" t="s">
        <v>116</v>
      </c>
      <c r="C33" s="10" t="s">
        <v>117</v>
      </c>
      <c r="D33" s="10" t="s">
        <v>173</v>
      </c>
      <c r="E33" s="10" t="s">
        <v>119</v>
      </c>
      <c r="F33" s="10" t="s">
        <v>132</v>
      </c>
      <c r="G33" s="7" t="s">
        <v>133</v>
      </c>
      <c r="H33" s="10" t="s">
        <v>122</v>
      </c>
      <c r="I33" s="10" t="s">
        <v>45</v>
      </c>
      <c r="J33" s="10" t="s">
        <v>134</v>
      </c>
      <c r="K33" s="10" t="s">
        <v>135</v>
      </c>
      <c r="L33" s="47">
        <v>44979</v>
      </c>
      <c r="M33" s="47">
        <v>45034</v>
      </c>
      <c r="N33" s="19">
        <v>68.234999999999999</v>
      </c>
      <c r="O33" s="19">
        <v>18727</v>
      </c>
      <c r="P33" s="19">
        <v>10850</v>
      </c>
      <c r="Q33" s="19"/>
      <c r="R33" s="19">
        <v>10850</v>
      </c>
      <c r="S33" s="10" t="s">
        <v>46</v>
      </c>
      <c r="T33" s="19">
        <v>234349.26</v>
      </c>
      <c r="U33" s="10" t="s">
        <v>125</v>
      </c>
      <c r="V33" s="9">
        <v>32</v>
      </c>
    </row>
    <row r="34" spans="1:22" ht="14.4" x14ac:dyDescent="0.3">
      <c r="A34" s="10" t="s">
        <v>44</v>
      </c>
      <c r="B34" s="10" t="s">
        <v>116</v>
      </c>
      <c r="C34" s="10" t="s">
        <v>117</v>
      </c>
      <c r="D34" s="10" t="s">
        <v>174</v>
      </c>
      <c r="E34" s="10" t="s">
        <v>119</v>
      </c>
      <c r="F34" s="10" t="s">
        <v>132</v>
      </c>
      <c r="G34" s="7" t="s">
        <v>133</v>
      </c>
      <c r="H34" s="10" t="s">
        <v>122</v>
      </c>
      <c r="I34" s="10" t="s">
        <v>45</v>
      </c>
      <c r="J34" s="10" t="s">
        <v>134</v>
      </c>
      <c r="K34" s="10" t="s">
        <v>135</v>
      </c>
      <c r="L34" s="47">
        <v>44979</v>
      </c>
      <c r="M34" s="47">
        <v>45034</v>
      </c>
      <c r="N34" s="19">
        <v>67.353999999999999</v>
      </c>
      <c r="O34" s="19">
        <v>15164</v>
      </c>
      <c r="P34" s="19">
        <v>10850</v>
      </c>
      <c r="Q34" s="19"/>
      <c r="R34" s="19">
        <v>10850</v>
      </c>
      <c r="S34" s="10" t="s">
        <v>46</v>
      </c>
      <c r="T34" s="19">
        <v>72398.86</v>
      </c>
      <c r="U34" s="10" t="s">
        <v>125</v>
      </c>
      <c r="V34" s="9">
        <v>33</v>
      </c>
    </row>
    <row r="35" spans="1:22" ht="14.4" x14ac:dyDescent="0.3">
      <c r="A35" s="10" t="s">
        <v>44</v>
      </c>
      <c r="B35" s="10" t="s">
        <v>116</v>
      </c>
      <c r="C35" s="10" t="s">
        <v>117</v>
      </c>
      <c r="D35" s="10" t="s">
        <v>175</v>
      </c>
      <c r="E35" s="10" t="s">
        <v>119</v>
      </c>
      <c r="F35" s="10" t="s">
        <v>176</v>
      </c>
      <c r="G35" s="7" t="s">
        <v>139</v>
      </c>
      <c r="H35" s="10" t="s">
        <v>122</v>
      </c>
      <c r="I35" s="10" t="s">
        <v>45</v>
      </c>
      <c r="J35" s="10" t="s">
        <v>177</v>
      </c>
      <c r="K35" s="10" t="s">
        <v>178</v>
      </c>
      <c r="L35" s="47">
        <v>44971</v>
      </c>
      <c r="M35" s="47">
        <v>45034</v>
      </c>
      <c r="N35" s="19">
        <v>66.25</v>
      </c>
      <c r="O35" s="19">
        <v>5370</v>
      </c>
      <c r="P35" s="19">
        <v>10550</v>
      </c>
      <c r="Q35" s="19"/>
      <c r="R35" s="19">
        <v>10476.75</v>
      </c>
      <c r="S35" s="10" t="s">
        <v>46</v>
      </c>
      <c r="T35" s="19">
        <v>56812.639999999999</v>
      </c>
      <c r="U35" s="10" t="s">
        <v>125</v>
      </c>
      <c r="V35" s="9">
        <v>34</v>
      </c>
    </row>
    <row r="36" spans="1:22" ht="14.4" x14ac:dyDescent="0.3">
      <c r="A36" s="10" t="s">
        <v>44</v>
      </c>
      <c r="B36" s="10" t="s">
        <v>116</v>
      </c>
      <c r="C36" s="10" t="s">
        <v>117</v>
      </c>
      <c r="D36" s="10" t="s">
        <v>179</v>
      </c>
      <c r="E36" s="10" t="s">
        <v>119</v>
      </c>
      <c r="F36" s="10" t="s">
        <v>180</v>
      </c>
      <c r="G36" s="7" t="s">
        <v>139</v>
      </c>
      <c r="H36" s="10" t="s">
        <v>122</v>
      </c>
      <c r="I36" s="10" t="s">
        <v>45</v>
      </c>
      <c r="J36" s="10" t="s">
        <v>181</v>
      </c>
      <c r="K36" s="10" t="s">
        <v>182</v>
      </c>
      <c r="L36" s="47">
        <v>44973</v>
      </c>
      <c r="M36" s="47">
        <v>45034</v>
      </c>
      <c r="N36" s="19">
        <v>66.070999999999998</v>
      </c>
      <c r="O36" s="19">
        <v>10103</v>
      </c>
      <c r="P36" s="19">
        <v>11400</v>
      </c>
      <c r="Q36" s="19"/>
      <c r="R36" s="19">
        <v>11400</v>
      </c>
      <c r="S36" s="10" t="s">
        <v>46</v>
      </c>
      <c r="T36" s="19">
        <v>136795.68</v>
      </c>
      <c r="U36" s="10" t="s">
        <v>125</v>
      </c>
      <c r="V36" s="9">
        <v>35</v>
      </c>
    </row>
    <row r="37" spans="1:22" ht="14.4" x14ac:dyDescent="0.3">
      <c r="A37" s="10" t="s">
        <v>44</v>
      </c>
      <c r="B37" s="10" t="s">
        <v>116</v>
      </c>
      <c r="C37" s="10" t="s">
        <v>117</v>
      </c>
      <c r="D37" s="10" t="s">
        <v>183</v>
      </c>
      <c r="E37" s="10" t="s">
        <v>119</v>
      </c>
      <c r="F37" s="10" t="s">
        <v>120</v>
      </c>
      <c r="G37" s="7" t="s">
        <v>121</v>
      </c>
      <c r="H37" s="10" t="s">
        <v>122</v>
      </c>
      <c r="I37" s="10" t="s">
        <v>45</v>
      </c>
      <c r="J37" s="10" t="s">
        <v>123</v>
      </c>
      <c r="K37" s="10" t="s">
        <v>124</v>
      </c>
      <c r="L37" s="47">
        <v>44979</v>
      </c>
      <c r="M37" s="47">
        <v>45034</v>
      </c>
      <c r="N37" s="19">
        <v>67.488</v>
      </c>
      <c r="O37" s="19">
        <v>8891</v>
      </c>
      <c r="P37" s="19">
        <v>11600</v>
      </c>
      <c r="Q37" s="19"/>
      <c r="R37" s="19">
        <v>11600</v>
      </c>
      <c r="S37" s="10" t="s">
        <v>46</v>
      </c>
      <c r="T37" s="19">
        <v>28381.68</v>
      </c>
      <c r="U37" s="10" t="s">
        <v>125</v>
      </c>
      <c r="V37" s="9">
        <v>36</v>
      </c>
    </row>
    <row r="38" spans="1:22" ht="14.4" x14ac:dyDescent="0.3">
      <c r="A38" s="10" t="s">
        <v>44</v>
      </c>
      <c r="B38" s="10" t="s">
        <v>116</v>
      </c>
      <c r="C38" s="10" t="s">
        <v>117</v>
      </c>
      <c r="D38" s="10" t="s">
        <v>184</v>
      </c>
      <c r="E38" s="10" t="s">
        <v>119</v>
      </c>
      <c r="F38" s="10" t="s">
        <v>138</v>
      </c>
      <c r="G38" s="7" t="s">
        <v>139</v>
      </c>
      <c r="H38" s="10" t="s">
        <v>122</v>
      </c>
      <c r="I38" s="10" t="s">
        <v>45</v>
      </c>
      <c r="J38" s="10" t="s">
        <v>140</v>
      </c>
      <c r="K38" s="10" t="s">
        <v>141</v>
      </c>
      <c r="L38" s="47">
        <v>44979</v>
      </c>
      <c r="M38" s="47">
        <v>45034</v>
      </c>
      <c r="N38" s="19">
        <v>66.816999999999993</v>
      </c>
      <c r="O38" s="19">
        <v>5939</v>
      </c>
      <c r="P38" s="19">
        <v>10550</v>
      </c>
      <c r="Q38" s="19"/>
      <c r="R38" s="19">
        <v>10550</v>
      </c>
      <c r="S38" s="10" t="s">
        <v>46</v>
      </c>
      <c r="T38" s="19">
        <v>25517.279999999999</v>
      </c>
      <c r="U38" s="10" t="s">
        <v>125</v>
      </c>
      <c r="V38" s="9">
        <v>37</v>
      </c>
    </row>
    <row r="39" spans="1:22" ht="14.4" x14ac:dyDescent="0.3">
      <c r="A39" s="10" t="s">
        <v>44</v>
      </c>
      <c r="B39" s="10" t="s">
        <v>116</v>
      </c>
      <c r="C39" s="10" t="s">
        <v>117</v>
      </c>
      <c r="D39" s="10" t="s">
        <v>185</v>
      </c>
      <c r="E39" s="10" t="s">
        <v>119</v>
      </c>
      <c r="F39" s="10" t="s">
        <v>132</v>
      </c>
      <c r="G39" s="7" t="s">
        <v>133</v>
      </c>
      <c r="H39" s="10" t="s">
        <v>122</v>
      </c>
      <c r="I39" s="10" t="s">
        <v>45</v>
      </c>
      <c r="J39" s="10" t="s">
        <v>134</v>
      </c>
      <c r="K39" s="10" t="s">
        <v>135</v>
      </c>
      <c r="L39" s="47">
        <v>44979</v>
      </c>
      <c r="M39" s="47">
        <v>45034</v>
      </c>
      <c r="N39" s="19">
        <v>68.234999999999999</v>
      </c>
      <c r="O39" s="19">
        <v>19025</v>
      </c>
      <c r="P39" s="19">
        <v>10850</v>
      </c>
      <c r="Q39" s="19"/>
      <c r="R39" s="19">
        <v>10850</v>
      </c>
      <c r="S39" s="10" t="s">
        <v>46</v>
      </c>
      <c r="T39" s="19">
        <v>225508.32</v>
      </c>
      <c r="U39" s="10" t="s">
        <v>125</v>
      </c>
      <c r="V39" s="9">
        <v>38</v>
      </c>
    </row>
    <row r="40" spans="1:22" ht="14.4" x14ac:dyDescent="0.3">
      <c r="A40" s="10" t="s">
        <v>44</v>
      </c>
      <c r="B40" s="10" t="s">
        <v>116</v>
      </c>
      <c r="C40" s="10" t="s">
        <v>117</v>
      </c>
      <c r="D40" s="10" t="s">
        <v>186</v>
      </c>
      <c r="E40" s="10" t="s">
        <v>119</v>
      </c>
      <c r="F40" s="10" t="s">
        <v>144</v>
      </c>
      <c r="G40" s="7" t="s">
        <v>133</v>
      </c>
      <c r="H40" s="10" t="s">
        <v>122</v>
      </c>
      <c r="I40" s="10" t="s">
        <v>45</v>
      </c>
      <c r="J40" s="10" t="s">
        <v>145</v>
      </c>
      <c r="K40" s="10" t="s">
        <v>146</v>
      </c>
      <c r="L40" s="47">
        <v>44979</v>
      </c>
      <c r="M40" s="47">
        <v>45034</v>
      </c>
      <c r="N40" s="19">
        <v>65.813999999999993</v>
      </c>
      <c r="O40" s="19">
        <v>18122</v>
      </c>
      <c r="P40" s="19">
        <v>10850</v>
      </c>
      <c r="Q40" s="19"/>
      <c r="R40" s="19">
        <v>10850</v>
      </c>
      <c r="S40" s="10" t="s">
        <v>46</v>
      </c>
      <c r="T40" s="19">
        <v>244404</v>
      </c>
      <c r="U40" s="10" t="s">
        <v>125</v>
      </c>
      <c r="V40" s="9">
        <v>39</v>
      </c>
    </row>
    <row r="41" spans="1:22" ht="14.4" x14ac:dyDescent="0.3">
      <c r="A41" s="10" t="s">
        <v>44</v>
      </c>
      <c r="B41" s="10" t="s">
        <v>116</v>
      </c>
      <c r="C41" s="10" t="s">
        <v>117</v>
      </c>
      <c r="D41" s="10" t="s">
        <v>187</v>
      </c>
      <c r="E41" s="10" t="s">
        <v>119</v>
      </c>
      <c r="F41" s="10" t="s">
        <v>144</v>
      </c>
      <c r="G41" s="7" t="s">
        <v>133</v>
      </c>
      <c r="H41" s="10" t="s">
        <v>122</v>
      </c>
      <c r="I41" s="10" t="s">
        <v>45</v>
      </c>
      <c r="J41" s="10" t="s">
        <v>145</v>
      </c>
      <c r="K41" s="10" t="s">
        <v>146</v>
      </c>
      <c r="L41" s="47">
        <v>44979</v>
      </c>
      <c r="M41" s="47">
        <v>45034</v>
      </c>
      <c r="N41" s="19">
        <v>67.488</v>
      </c>
      <c r="O41" s="19">
        <v>14174</v>
      </c>
      <c r="P41" s="19">
        <v>10850</v>
      </c>
      <c r="Q41" s="19"/>
      <c r="R41" s="19">
        <v>10850</v>
      </c>
      <c r="S41" s="10" t="s">
        <v>46</v>
      </c>
      <c r="T41" s="19">
        <v>96163.11</v>
      </c>
      <c r="U41" s="10" t="s">
        <v>125</v>
      </c>
      <c r="V41" s="9">
        <v>40</v>
      </c>
    </row>
    <row r="42" spans="1:22" ht="14.4" x14ac:dyDescent="0.3">
      <c r="A42" s="10" t="s">
        <v>44</v>
      </c>
      <c r="B42" s="10" t="s">
        <v>116</v>
      </c>
      <c r="C42" s="10" t="s">
        <v>117</v>
      </c>
      <c r="D42" s="10" t="s">
        <v>188</v>
      </c>
      <c r="E42" s="10" t="s">
        <v>119</v>
      </c>
      <c r="F42" s="10" t="s">
        <v>144</v>
      </c>
      <c r="G42" s="7" t="s">
        <v>133</v>
      </c>
      <c r="H42" s="10" t="s">
        <v>122</v>
      </c>
      <c r="I42" s="10" t="s">
        <v>45</v>
      </c>
      <c r="J42" s="10" t="s">
        <v>145</v>
      </c>
      <c r="K42" s="10" t="s">
        <v>146</v>
      </c>
      <c r="L42" s="47">
        <v>44979</v>
      </c>
      <c r="M42" s="47">
        <v>45034</v>
      </c>
      <c r="N42" s="19">
        <v>66.963999999999999</v>
      </c>
      <c r="O42" s="19">
        <v>19137</v>
      </c>
      <c r="P42" s="19">
        <v>10850</v>
      </c>
      <c r="Q42" s="19"/>
      <c r="R42" s="19">
        <v>10850</v>
      </c>
      <c r="S42" s="10" t="s">
        <v>46</v>
      </c>
      <c r="T42" s="19">
        <v>238368</v>
      </c>
      <c r="U42" s="10" t="s">
        <v>125</v>
      </c>
      <c r="V42" s="9">
        <v>41</v>
      </c>
    </row>
    <row r="43" spans="1:22" ht="14.4" x14ac:dyDescent="0.3">
      <c r="A43" s="10" t="s">
        <v>44</v>
      </c>
      <c r="B43" s="10" t="s">
        <v>116</v>
      </c>
      <c r="C43" s="10" t="s">
        <v>117</v>
      </c>
      <c r="D43" s="10" t="s">
        <v>189</v>
      </c>
      <c r="E43" s="10" t="s">
        <v>119</v>
      </c>
      <c r="F43" s="10" t="s">
        <v>120</v>
      </c>
      <c r="G43" s="7" t="s">
        <v>121</v>
      </c>
      <c r="H43" s="10" t="s">
        <v>122</v>
      </c>
      <c r="I43" s="10" t="s">
        <v>45</v>
      </c>
      <c r="J43" s="10" t="s">
        <v>123</v>
      </c>
      <c r="K43" s="10" t="s">
        <v>124</v>
      </c>
      <c r="L43" s="47">
        <v>44979</v>
      </c>
      <c r="M43" s="47">
        <v>45034</v>
      </c>
      <c r="N43" s="19">
        <v>67.597999999999999</v>
      </c>
      <c r="O43" s="19">
        <v>4780</v>
      </c>
      <c r="P43" s="19">
        <v>11600</v>
      </c>
      <c r="Q43" s="19"/>
      <c r="R43" s="19">
        <v>11600</v>
      </c>
      <c r="S43" s="10" t="s">
        <v>46</v>
      </c>
      <c r="T43" s="19">
        <v>13020.36</v>
      </c>
      <c r="U43" s="10" t="s">
        <v>125</v>
      </c>
      <c r="V43" s="9">
        <v>42</v>
      </c>
    </row>
    <row r="44" spans="1:22" ht="14.4" x14ac:dyDescent="0.3">
      <c r="A44" s="10" t="s">
        <v>44</v>
      </c>
      <c r="B44" s="10" t="s">
        <v>116</v>
      </c>
      <c r="C44" s="10" t="s">
        <v>117</v>
      </c>
      <c r="D44" s="10" t="s">
        <v>190</v>
      </c>
      <c r="E44" s="10" t="s">
        <v>119</v>
      </c>
      <c r="F44" s="10" t="s">
        <v>120</v>
      </c>
      <c r="G44" s="7" t="s">
        <v>121</v>
      </c>
      <c r="H44" s="10" t="s">
        <v>122</v>
      </c>
      <c r="I44" s="10" t="s">
        <v>45</v>
      </c>
      <c r="J44" s="10" t="s">
        <v>123</v>
      </c>
      <c r="K44" s="10" t="s">
        <v>124</v>
      </c>
      <c r="L44" s="47">
        <v>44979</v>
      </c>
      <c r="M44" s="47">
        <v>45034</v>
      </c>
      <c r="N44" s="19">
        <v>67.421000000000006</v>
      </c>
      <c r="O44" s="19">
        <v>8366</v>
      </c>
      <c r="P44" s="19">
        <v>11600</v>
      </c>
      <c r="Q44" s="19"/>
      <c r="R44" s="19">
        <v>11600</v>
      </c>
      <c r="S44" s="10" t="s">
        <v>46</v>
      </c>
      <c r="T44" s="19">
        <v>26780.3</v>
      </c>
      <c r="U44" s="10" t="s">
        <v>125</v>
      </c>
      <c r="V44" s="9">
        <v>43</v>
      </c>
    </row>
    <row r="45" spans="1:22" ht="14.4" x14ac:dyDescent="0.3">
      <c r="A45" s="10" t="s">
        <v>44</v>
      </c>
      <c r="B45" s="10" t="s">
        <v>116</v>
      </c>
      <c r="C45" s="10" t="s">
        <v>117</v>
      </c>
      <c r="D45" s="10" t="s">
        <v>191</v>
      </c>
      <c r="E45" s="10" t="s">
        <v>119</v>
      </c>
      <c r="F45" s="10" t="s">
        <v>151</v>
      </c>
      <c r="G45" s="7" t="s">
        <v>121</v>
      </c>
      <c r="H45" s="10" t="s">
        <v>122</v>
      </c>
      <c r="I45" s="10" t="s">
        <v>45</v>
      </c>
      <c r="J45" s="10" t="s">
        <v>152</v>
      </c>
      <c r="K45" s="10" t="s">
        <v>153</v>
      </c>
      <c r="L45" s="47">
        <v>44971</v>
      </c>
      <c r="M45" s="47">
        <v>45034</v>
      </c>
      <c r="N45" s="19">
        <v>67.558999999999997</v>
      </c>
      <c r="O45" s="19">
        <v>3570</v>
      </c>
      <c r="P45" s="19">
        <v>11600</v>
      </c>
      <c r="Q45" s="19"/>
      <c r="R45" s="19">
        <v>11600</v>
      </c>
      <c r="S45" s="10" t="s">
        <v>46</v>
      </c>
      <c r="T45" s="19">
        <v>10053.120000000001</v>
      </c>
      <c r="U45" s="10" t="s">
        <v>125</v>
      </c>
      <c r="V45" s="9">
        <v>44</v>
      </c>
    </row>
    <row r="46" spans="1:22" ht="14.4" x14ac:dyDescent="0.3">
      <c r="A46" s="10" t="s">
        <v>44</v>
      </c>
      <c r="B46" s="10" t="s">
        <v>116</v>
      </c>
      <c r="C46" s="10" t="s">
        <v>117</v>
      </c>
      <c r="D46" s="10" t="s">
        <v>192</v>
      </c>
      <c r="E46" s="10" t="s">
        <v>119</v>
      </c>
      <c r="F46" s="10" t="s">
        <v>120</v>
      </c>
      <c r="G46" s="7" t="s">
        <v>121</v>
      </c>
      <c r="H46" s="10" t="s">
        <v>122</v>
      </c>
      <c r="I46" s="10" t="s">
        <v>45</v>
      </c>
      <c r="J46" s="10" t="s">
        <v>123</v>
      </c>
      <c r="K46" s="10" t="s">
        <v>124</v>
      </c>
      <c r="L46" s="47">
        <v>44979</v>
      </c>
      <c r="M46" s="47">
        <v>45034</v>
      </c>
      <c r="N46" s="19">
        <v>67.558999999999997</v>
      </c>
      <c r="O46" s="19">
        <v>3777</v>
      </c>
      <c r="P46" s="19">
        <v>11600</v>
      </c>
      <c r="Q46" s="19"/>
      <c r="R46" s="19">
        <v>11600</v>
      </c>
      <c r="S46" s="10" t="s">
        <v>46</v>
      </c>
      <c r="T46" s="19">
        <v>10977.12</v>
      </c>
      <c r="U46" s="10" t="s">
        <v>125</v>
      </c>
      <c r="V46" s="9">
        <v>45</v>
      </c>
    </row>
    <row r="47" spans="1:22" ht="14.4" x14ac:dyDescent="0.3">
      <c r="A47" s="10" t="s">
        <v>44</v>
      </c>
      <c r="B47" s="10" t="s">
        <v>116</v>
      </c>
      <c r="C47" s="10" t="s">
        <v>117</v>
      </c>
      <c r="D47" s="10" t="s">
        <v>193</v>
      </c>
      <c r="E47" s="10" t="s">
        <v>119</v>
      </c>
      <c r="F47" s="10" t="s">
        <v>138</v>
      </c>
      <c r="G47" s="7" t="s">
        <v>139</v>
      </c>
      <c r="H47" s="10" t="s">
        <v>122</v>
      </c>
      <c r="I47" s="10" t="s">
        <v>45</v>
      </c>
      <c r="J47" s="10" t="s">
        <v>140</v>
      </c>
      <c r="K47" s="10" t="s">
        <v>141</v>
      </c>
      <c r="L47" s="47">
        <v>44979</v>
      </c>
      <c r="M47" s="47">
        <v>45034</v>
      </c>
      <c r="N47" s="19">
        <v>64.552999999999997</v>
      </c>
      <c r="O47" s="19">
        <v>9554</v>
      </c>
      <c r="P47" s="19">
        <v>10550</v>
      </c>
      <c r="Q47" s="19"/>
      <c r="R47" s="19">
        <v>10550</v>
      </c>
      <c r="S47" s="10" t="s">
        <v>46</v>
      </c>
      <c r="T47" s="19">
        <v>47890.9</v>
      </c>
      <c r="U47" s="10" t="s">
        <v>125</v>
      </c>
      <c r="V47" s="9">
        <v>46</v>
      </c>
    </row>
    <row r="48" spans="1:22" ht="14.4" x14ac:dyDescent="0.3">
      <c r="A48" s="10" t="s">
        <v>44</v>
      </c>
      <c r="B48" s="10" t="s">
        <v>116</v>
      </c>
      <c r="C48" s="10" t="s">
        <v>117</v>
      </c>
      <c r="D48" s="10" t="s">
        <v>194</v>
      </c>
      <c r="E48" s="10" t="s">
        <v>119</v>
      </c>
      <c r="F48" s="10" t="s">
        <v>144</v>
      </c>
      <c r="G48" s="7" t="s">
        <v>133</v>
      </c>
      <c r="H48" s="10" t="s">
        <v>122</v>
      </c>
      <c r="I48" s="10" t="s">
        <v>45</v>
      </c>
      <c r="J48" s="10" t="s">
        <v>145</v>
      </c>
      <c r="K48" s="10" t="s">
        <v>146</v>
      </c>
      <c r="L48" s="47">
        <v>44979</v>
      </c>
      <c r="M48" s="47">
        <v>45034</v>
      </c>
      <c r="N48" s="19">
        <v>64.239000000000004</v>
      </c>
      <c r="O48" s="19">
        <v>6345</v>
      </c>
      <c r="P48" s="19">
        <v>10850</v>
      </c>
      <c r="Q48" s="19"/>
      <c r="R48" s="19">
        <v>10850</v>
      </c>
      <c r="S48" s="10" t="s">
        <v>46</v>
      </c>
      <c r="T48" s="19">
        <v>66406.02</v>
      </c>
      <c r="U48" s="10" t="s">
        <v>125</v>
      </c>
      <c r="V48" s="9">
        <v>47</v>
      </c>
    </row>
    <row r="49" spans="1:22" ht="14.4" x14ac:dyDescent="0.3">
      <c r="A49" s="10" t="s">
        <v>44</v>
      </c>
      <c r="B49" s="10" t="s">
        <v>116</v>
      </c>
      <c r="C49" s="10" t="s">
        <v>117</v>
      </c>
      <c r="D49" s="10" t="s">
        <v>195</v>
      </c>
      <c r="E49" s="10" t="s">
        <v>119</v>
      </c>
      <c r="F49" s="10" t="s">
        <v>120</v>
      </c>
      <c r="G49" s="7" t="s">
        <v>121</v>
      </c>
      <c r="H49" s="10" t="s">
        <v>122</v>
      </c>
      <c r="I49" s="10" t="s">
        <v>45</v>
      </c>
      <c r="J49" s="10" t="s">
        <v>123</v>
      </c>
      <c r="K49" s="10" t="s">
        <v>124</v>
      </c>
      <c r="L49" s="47">
        <v>44979</v>
      </c>
      <c r="M49" s="47">
        <v>45034</v>
      </c>
      <c r="N49" s="19">
        <v>67.597999999999999</v>
      </c>
      <c r="O49" s="19">
        <v>4933</v>
      </c>
      <c r="P49" s="19">
        <v>11600</v>
      </c>
      <c r="Q49" s="19"/>
      <c r="R49" s="19">
        <v>11600</v>
      </c>
      <c r="S49" s="10" t="s">
        <v>46</v>
      </c>
      <c r="T49" s="19">
        <v>13796.36</v>
      </c>
      <c r="U49" s="10" t="s">
        <v>125</v>
      </c>
      <c r="V49" s="9">
        <v>48</v>
      </c>
    </row>
    <row r="50" spans="1:22" ht="14.4" x14ac:dyDescent="0.3">
      <c r="A50" s="10" t="s">
        <v>44</v>
      </c>
      <c r="B50" s="10" t="s">
        <v>116</v>
      </c>
      <c r="C50" s="10" t="s">
        <v>117</v>
      </c>
      <c r="D50" s="10" t="s">
        <v>196</v>
      </c>
      <c r="E50" s="10" t="s">
        <v>119</v>
      </c>
      <c r="F50" s="10" t="s">
        <v>120</v>
      </c>
      <c r="G50" s="7" t="s">
        <v>121</v>
      </c>
      <c r="H50" s="10" t="s">
        <v>122</v>
      </c>
      <c r="I50" s="10" t="s">
        <v>45</v>
      </c>
      <c r="J50" s="10" t="s">
        <v>123</v>
      </c>
      <c r="K50" s="10" t="s">
        <v>124</v>
      </c>
      <c r="L50" s="47">
        <v>44979</v>
      </c>
      <c r="M50" s="47">
        <v>45034</v>
      </c>
      <c r="N50" s="19">
        <v>67.637</v>
      </c>
      <c r="O50" s="19">
        <v>5692</v>
      </c>
      <c r="P50" s="19">
        <v>11600</v>
      </c>
      <c r="Q50" s="19"/>
      <c r="R50" s="19">
        <v>11600</v>
      </c>
      <c r="S50" s="10" t="s">
        <v>46</v>
      </c>
      <c r="T50" s="19">
        <v>16600.32</v>
      </c>
      <c r="U50" s="10" t="s">
        <v>125</v>
      </c>
      <c r="V50" s="9">
        <v>49</v>
      </c>
    </row>
    <row r="51" spans="1:22" ht="14.4" x14ac:dyDescent="0.3">
      <c r="A51" s="10" t="s">
        <v>44</v>
      </c>
      <c r="B51" s="10" t="s">
        <v>116</v>
      </c>
      <c r="C51" s="10" t="s">
        <v>117</v>
      </c>
      <c r="D51" s="10" t="s">
        <v>197</v>
      </c>
      <c r="E51" s="10" t="s">
        <v>119</v>
      </c>
      <c r="F51" s="10" t="s">
        <v>138</v>
      </c>
      <c r="G51" s="7" t="s">
        <v>139</v>
      </c>
      <c r="H51" s="10" t="s">
        <v>122</v>
      </c>
      <c r="I51" s="10" t="s">
        <v>45</v>
      </c>
      <c r="J51" s="10" t="s">
        <v>140</v>
      </c>
      <c r="K51" s="10" t="s">
        <v>141</v>
      </c>
      <c r="L51" s="47">
        <v>44979</v>
      </c>
      <c r="M51" s="47">
        <v>45034</v>
      </c>
      <c r="N51" s="19">
        <v>65.796999999999997</v>
      </c>
      <c r="O51" s="19">
        <v>10932</v>
      </c>
      <c r="P51" s="19">
        <v>10550</v>
      </c>
      <c r="Q51" s="19"/>
      <c r="R51" s="19">
        <v>10550</v>
      </c>
      <c r="S51" s="10" t="s">
        <v>46</v>
      </c>
      <c r="T51" s="19">
        <v>94297.44</v>
      </c>
      <c r="U51" s="10" t="s">
        <v>125</v>
      </c>
      <c r="V51" s="9">
        <v>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26"/>
  <sheetViews>
    <sheetView workbookViewId="0">
      <selection activeCell="C12" sqref="C12"/>
    </sheetView>
  </sheetViews>
  <sheetFormatPr defaultRowHeight="14.4" x14ac:dyDescent="0.3"/>
  <cols>
    <col min="1" max="1" width="17.6640625" bestFit="1" customWidth="1"/>
    <col min="2" max="2" width="17.33203125" bestFit="1" customWidth="1"/>
    <col min="3" max="3" width="17.33203125" style="4" bestFit="1" customWidth="1"/>
    <col min="4" max="4" width="24" style="4" bestFit="1" customWidth="1"/>
    <col min="5" max="5" width="14.33203125" customWidth="1"/>
    <col min="6" max="6" width="24" bestFit="1" customWidth="1"/>
    <col min="7" max="7" width="13.44140625" customWidth="1"/>
  </cols>
  <sheetData>
    <row r="1" spans="1:5" s="23" customFormat="1" ht="56.4" x14ac:dyDescent="0.3">
      <c r="A1" s="23" t="s">
        <v>105</v>
      </c>
      <c r="B1" s="23" t="s">
        <v>69</v>
      </c>
      <c r="C1" s="23" t="s">
        <v>70</v>
      </c>
      <c r="D1" s="23" t="s">
        <v>114</v>
      </c>
      <c r="E1" s="23" t="s">
        <v>8</v>
      </c>
    </row>
    <row r="2" spans="1:5" ht="15.6" x14ac:dyDescent="0.3">
      <c r="A2" s="22">
        <f>MIN(Centrum[Date of arrival to Sary-Agach/ Дата прибытия на Сары-Агач])</f>
        <v>45033</v>
      </c>
      <c r="B2" s="22">
        <f>MAX(Centrum[Date of arrival to Sary-Agach/ Дата прибытия на Сары-Агач])</f>
        <v>45034</v>
      </c>
      <c r="C2" s="22">
        <f ca="1">IF(WORKDAY(A2,15)&gt;=TODAY(),TODAY(),WORKDAY(A2,15))</f>
        <v>45054</v>
      </c>
      <c r="D2" s="48">
        <v>45051</v>
      </c>
      <c r="E2" s="13" t="s">
        <v>40</v>
      </c>
    </row>
    <row r="4" spans="1:5" ht="36" customHeight="1" x14ac:dyDescent="0.3">
      <c r="A4" s="33" t="str">
        <f>IF(B26="","Обновите курсы валюты в Справочнике","")</f>
        <v/>
      </c>
    </row>
    <row r="5" spans="1:5" s="25" customFormat="1" x14ac:dyDescent="0.3">
      <c r="A5" s="25" t="s">
        <v>71</v>
      </c>
      <c r="B5" s="25" t="s">
        <v>72</v>
      </c>
      <c r="C5" s="25" t="s">
        <v>112</v>
      </c>
      <c r="D5" s="23" t="s">
        <v>73</v>
      </c>
    </row>
    <row r="6" spans="1:5" x14ac:dyDescent="0.3">
      <c r="A6" s="24" t="s">
        <v>77</v>
      </c>
      <c r="B6" s="8">
        <v>45034</v>
      </c>
      <c r="C6" s="49">
        <v>11455</v>
      </c>
    </row>
    <row r="7" spans="1:5" x14ac:dyDescent="0.3">
      <c r="A7" s="24" t="s">
        <v>107</v>
      </c>
      <c r="B7" s="8">
        <v>45035</v>
      </c>
      <c r="C7" s="49">
        <v>11435.99</v>
      </c>
    </row>
    <row r="8" spans="1:5" x14ac:dyDescent="0.3">
      <c r="A8" s="24" t="s">
        <v>108</v>
      </c>
      <c r="B8" s="8">
        <v>45036</v>
      </c>
      <c r="C8" s="49">
        <v>11416.17</v>
      </c>
    </row>
    <row r="9" spans="1:5" x14ac:dyDescent="0.3">
      <c r="A9" s="24" t="s">
        <v>109</v>
      </c>
      <c r="B9" s="8">
        <v>45037</v>
      </c>
      <c r="C9" s="49">
        <v>11416.17</v>
      </c>
    </row>
    <row r="10" spans="1:5" x14ac:dyDescent="0.3">
      <c r="A10" s="24" t="s">
        <v>110</v>
      </c>
      <c r="B10" s="8">
        <v>45038</v>
      </c>
      <c r="C10" s="49">
        <v>11416.17</v>
      </c>
    </row>
    <row r="11" spans="1:5" x14ac:dyDescent="0.3">
      <c r="A11" s="24" t="s">
        <v>111</v>
      </c>
      <c r="B11" s="8">
        <v>45039</v>
      </c>
      <c r="C11" s="49">
        <v>11416.17</v>
      </c>
    </row>
    <row r="12" spans="1:5" x14ac:dyDescent="0.3">
      <c r="A12" s="24" t="s">
        <v>106</v>
      </c>
      <c r="B12" s="8">
        <v>45040</v>
      </c>
      <c r="C12" s="49">
        <v>11416.17</v>
      </c>
    </row>
    <row r="13" spans="1:5" x14ac:dyDescent="0.3">
      <c r="A13" s="24" t="s">
        <v>77</v>
      </c>
      <c r="B13" s="8">
        <v>45041</v>
      </c>
      <c r="C13" s="49">
        <v>11424.87</v>
      </c>
    </row>
    <row r="14" spans="1:5" x14ac:dyDescent="0.3">
      <c r="A14" s="24" t="s">
        <v>107</v>
      </c>
      <c r="B14" s="8">
        <v>45042</v>
      </c>
      <c r="C14" s="49">
        <v>11402.01</v>
      </c>
    </row>
    <row r="15" spans="1:5" x14ac:dyDescent="0.3">
      <c r="A15" s="24" t="s">
        <v>108</v>
      </c>
      <c r="B15" s="8">
        <v>45043</v>
      </c>
      <c r="C15" s="49">
        <v>11377.11</v>
      </c>
    </row>
    <row r="16" spans="1:5" x14ac:dyDescent="0.3">
      <c r="A16" s="24" t="s">
        <v>109</v>
      </c>
      <c r="B16" s="8">
        <v>45044</v>
      </c>
      <c r="C16" s="49">
        <v>11390.24</v>
      </c>
    </row>
    <row r="17" spans="1:4" x14ac:dyDescent="0.3">
      <c r="A17" s="24" t="s">
        <v>110</v>
      </c>
      <c r="B17" s="8">
        <v>45045</v>
      </c>
      <c r="C17" s="49">
        <v>11390.24</v>
      </c>
    </row>
    <row r="18" spans="1:4" x14ac:dyDescent="0.3">
      <c r="A18" s="24" t="s">
        <v>111</v>
      </c>
      <c r="B18" s="8">
        <v>45046</v>
      </c>
      <c r="C18" s="49">
        <v>11390.24</v>
      </c>
    </row>
    <row r="19" spans="1:4" x14ac:dyDescent="0.3">
      <c r="A19" s="24" t="s">
        <v>106</v>
      </c>
      <c r="B19" s="8">
        <v>45047</v>
      </c>
      <c r="C19" s="49">
        <v>11408.01</v>
      </c>
    </row>
    <row r="20" spans="1:4" x14ac:dyDescent="0.3">
      <c r="A20" s="24" t="s">
        <v>77</v>
      </c>
      <c r="B20" s="8">
        <v>45048</v>
      </c>
      <c r="C20" s="49">
        <v>11420.01</v>
      </c>
    </row>
    <row r="21" spans="1:4" x14ac:dyDescent="0.3">
      <c r="A21" s="24" t="s">
        <v>107</v>
      </c>
      <c r="B21" s="8">
        <v>45049</v>
      </c>
      <c r="C21" s="49">
        <v>11438.01</v>
      </c>
    </row>
    <row r="22" spans="1:4" x14ac:dyDescent="0.3">
      <c r="A22" s="24" t="s">
        <v>108</v>
      </c>
      <c r="B22" s="8">
        <v>45050</v>
      </c>
      <c r="C22" s="49">
        <v>11459.46</v>
      </c>
      <c r="D22" s="4" t="s">
        <v>113</v>
      </c>
    </row>
    <row r="23" spans="1:4" x14ac:dyDescent="0.3">
      <c r="A23" s="24" t="s">
        <v>109</v>
      </c>
      <c r="B23" s="8">
        <v>45051</v>
      </c>
      <c r="C23" s="49">
        <v>11445.03</v>
      </c>
    </row>
    <row r="24" spans="1:4" x14ac:dyDescent="0.3">
      <c r="A24" s="24" t="s">
        <v>110</v>
      </c>
      <c r="B24" s="8">
        <v>45052</v>
      </c>
      <c r="C24" s="49">
        <v>11445.03</v>
      </c>
    </row>
    <row r="25" spans="1:4" x14ac:dyDescent="0.3">
      <c r="A25" s="24" t="s">
        <v>111</v>
      </c>
      <c r="B25" s="8">
        <v>45053</v>
      </c>
      <c r="C25" s="49">
        <v>11445.03</v>
      </c>
    </row>
    <row r="26" spans="1:4" x14ac:dyDescent="0.3">
      <c r="A26" s="24" t="s">
        <v>106</v>
      </c>
      <c r="B26" s="8">
        <v>45054</v>
      </c>
      <c r="C26" s="49">
        <v>11424.06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64">
        <v>488</v>
      </c>
      <c r="B1" s="64"/>
      <c r="C1" s="64"/>
      <c r="D1" s="65"/>
      <c r="E1" s="65"/>
      <c r="F1" s="65"/>
      <c r="G1" s="65"/>
      <c r="H1" s="66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8"/>
    </row>
    <row r="2" spans="1:26" x14ac:dyDescent="0.3">
      <c r="A2" s="20" t="s">
        <v>78</v>
      </c>
      <c r="B2" s="20" t="s">
        <v>79</v>
      </c>
      <c r="C2" s="20" t="s">
        <v>80</v>
      </c>
      <c r="D2" s="20" t="s">
        <v>81</v>
      </c>
      <c r="E2" s="20" t="s">
        <v>82</v>
      </c>
      <c r="F2" s="20" t="s">
        <v>83</v>
      </c>
      <c r="G2" s="20" t="s">
        <v>84</v>
      </c>
      <c r="H2" s="20" t="s">
        <v>85</v>
      </c>
      <c r="I2" s="20" t="s">
        <v>86</v>
      </c>
      <c r="J2" s="20" t="s">
        <v>87</v>
      </c>
      <c r="K2" s="20" t="s">
        <v>88</v>
      </c>
      <c r="L2" s="20" t="s">
        <v>89</v>
      </c>
      <c r="M2" s="20" t="s">
        <v>90</v>
      </c>
      <c r="N2" s="20" t="s">
        <v>91</v>
      </c>
      <c r="O2" s="20" t="s">
        <v>92</v>
      </c>
      <c r="P2" s="20" t="s">
        <v>93</v>
      </c>
      <c r="Q2" s="20" t="s">
        <v>94</v>
      </c>
      <c r="R2" s="20" t="s">
        <v>95</v>
      </c>
      <c r="S2" s="20" t="s">
        <v>96</v>
      </c>
      <c r="T2" s="20" t="s">
        <v>97</v>
      </c>
      <c r="U2" s="20" t="s">
        <v>98</v>
      </c>
      <c r="V2" s="20" t="s">
        <v>99</v>
      </c>
      <c r="W2" s="20" t="s">
        <v>100</v>
      </c>
      <c r="X2" s="20" t="s">
        <v>101</v>
      </c>
      <c r="Y2" s="20" t="s">
        <v>102</v>
      </c>
      <c r="Z2" s="20" t="s">
        <v>103</v>
      </c>
    </row>
    <row r="3" spans="1:26" ht="115.2" x14ac:dyDescent="0.3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560418.24</v>
      </c>
      <c r="U4" s="3"/>
      <c r="V4" s="26"/>
      <c r="W4" s="26"/>
      <c r="X4" s="5"/>
      <c r="Y4" s="6">
        <f>SUM(Y5:Y1048576)</f>
        <v>6414003569.3472004</v>
      </c>
      <c r="Z4" s="3" t="s">
        <v>198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KOREA</v>
      </c>
      <c r="D5" s="11" t="str">
        <f>_xlfn.XLOOKUP($A5,Centrum[Индекс],Centrum[Container num./ 
№ контейнера],"",0,1)</f>
        <v>CAIU4826970</v>
      </c>
      <c r="E5" s="11" t="str">
        <f>_xlfn.XLOOKUP($A5,Centrum[Индекс],Centrum[Supplier/
Поставщик],"",0,1)</f>
        <v>GM KOREA COMPANY</v>
      </c>
      <c r="F5" s="11" t="str">
        <f>_xlfn.XLOOKUP($A5,Centrum[Индекс],Centrum[Shippers invoice no/ 
Номер инвойса поставщика],"",1)</f>
        <v>TJAUZ37129A01</v>
      </c>
      <c r="G5" s="15">
        <f>_xlfn.XLOOKUP($A5,Centrum[Индекс],Centrum[Invoice value / Стоимость груза в к-ре по инвойсу],"",0,1)</f>
        <v>19024.2</v>
      </c>
      <c r="H5" s="14" t="s">
        <v>40</v>
      </c>
      <c r="I5" s="11">
        <f>_xlfn.XLOOKUP($A5,Centrum[Индекс],Centrum[CBM on the shipper/ 
CBM по поставщику],"",0,1)</f>
        <v>67.082999999999998</v>
      </c>
      <c r="J5" s="16">
        <f>_xlfn.XLOOKUP($A5,Centrum[Индекс],Centrum[Gross weight of cont// 
Гросс.вес по конт.],"",0,1)</f>
        <v>6071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KUNSAN (FOB/P-D)</v>
      </c>
      <c r="M5" s="11" t="str">
        <f>_xlfn.XLOOKUP($A5,Centrum[Индекс],Centrum[№ HBL date / 
№/ дата коносамента],"",0,1)</f>
        <v>FSIMPUAS229365</v>
      </c>
      <c r="N5" s="11" t="str">
        <f>_xlfn.XLOOKUP($A5,Centrum[Индекс],Centrum[№ MBL / 
№/ коносамента],"",0,1)</f>
        <v>FSCOPUVV386630</v>
      </c>
      <c r="O5" s="8">
        <f>(_xlfn.XLOOKUP($A5,Centrum[Индекс],Centrum[Date on board / Дата погрузки на судно],"",0,1))*1</f>
        <v>44979</v>
      </c>
      <c r="P5" s="8">
        <f>(_xlfn.XLOOKUP($A5,Centrum[Индекс],Centrum[Date of arrival to Sary-Agach/ Дата прибытия на Сары-Агач],"",0,1))*1</f>
        <v>45033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11600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11600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" s="16">
        <f>_xlfn.XLOOKUP(Шаблон_Формулы[[#This Row],[21]],Курс_USD[Дата],Курс_USD[Курс],,0,1)</f>
        <v>11445.03</v>
      </c>
      <c r="W5" s="16">
        <f>Шаблон_Формулы!$T5*Шаблон_Формулы!$V5</f>
        <v>132762348.00000001</v>
      </c>
      <c r="Y5" s="16">
        <f>Шаблон_Формулы!$W5+Шаблон_Формулы!$X5</f>
        <v>132762348.00000001</v>
      </c>
      <c r="Z5" s="14" t="str">
        <f>_xlfn.XLOOKUP($A5,Centrum[Индекс],Centrum[Transport co invoice no/ 
Номер инвойса ТК],"",0,1)</f>
        <v>CNT-FS230001670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KOREA</v>
      </c>
      <c r="D6" s="11" t="str">
        <f>_xlfn.XLOOKUP($A6,Centrum[Индекс],Centrum[Container num./ 
№ контейнера],"",0,1)</f>
        <v>CAIU7847534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TJAUZ37129A01</v>
      </c>
      <c r="G6" s="15">
        <f>_xlfn.XLOOKUP($A6,Centrum[Индекс],Centrum[Invoice value / Стоимость груза в к-ре по инвойсу],"",0,1)</f>
        <v>28742.400000000001</v>
      </c>
      <c r="H6" s="14" t="s">
        <v>40</v>
      </c>
      <c r="I6" s="11">
        <f>_xlfn.XLOOKUP($A6,Centrum[Индекс],Centrum[CBM on the shipper/ 
CBM по поставщику],"",0,1)</f>
        <v>67.387</v>
      </c>
      <c r="J6" s="16">
        <f>_xlfn.XLOOKUP($A6,Centrum[Индекс],Centrum[Gross weight of cont// 
Гросс.вес по конт.],"",0,1)</f>
        <v>9416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KUNSAN (FOB/P-D)</v>
      </c>
      <c r="M6" s="11" t="str">
        <f>_xlfn.XLOOKUP($A6,Centrum[Индекс],Centrum[№ HBL date / 
№/ дата коносамента],"",0,1)</f>
        <v>FSIMPUAS229365</v>
      </c>
      <c r="N6" s="11" t="str">
        <f>_xlfn.XLOOKUP($A6,Centrum[Индекс],Centrum[№ MBL / 
№/ коносамента],"",0,1)</f>
        <v>FSCOPUVV386630</v>
      </c>
      <c r="O6" s="8">
        <f>(_xlfn.XLOOKUP($A6,Centrum[Индекс],Centrum[Date on board / Дата погрузки на судно],"",0,1))*1</f>
        <v>44979</v>
      </c>
      <c r="P6" s="8">
        <f>(_xlfn.XLOOKUP($A6,Centrum[Индекс],Centrum[Date of arrival to Sary-Agach/ Дата прибытия на Сары-Агач],"",0,1))*1</f>
        <v>45034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11600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11600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" s="16">
        <f>_xlfn.XLOOKUP(Шаблон_Формулы[[#This Row],[21]],Курс_USD[Дата],Курс_USD[Курс],,0,1)</f>
        <v>11445.03</v>
      </c>
      <c r="W6" s="16">
        <f>Шаблон_Формулы!$T6*Шаблон_Формулы!$V6</f>
        <v>132762348.00000001</v>
      </c>
      <c r="Y6" s="16">
        <f>Шаблон_Формулы!$W6+Шаблон_Формулы!$X6</f>
        <v>132762348.00000001</v>
      </c>
      <c r="Z6" s="14" t="str">
        <f>_xlfn.XLOOKUP($A6,Centrum[Индекс],Centrum[Transport co invoice no/ 
Номер инвойса ТК],"",0,1)</f>
        <v>CNT-FS230001670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KOREA</v>
      </c>
      <c r="D7" s="11" t="str">
        <f>_xlfn.XLOOKUP($A7,Centrum[Индекс],Centrum[Container num./ 
№ контейнера],"",0,1)</f>
        <v>CAIU7848130</v>
      </c>
      <c r="E7" s="11" t="str">
        <f>_xlfn.XLOOKUP($A7,Centrum[Индекс],Centrum[Supplier/
Поставщик],"",0,1)</f>
        <v>GM KOREA COMPANY</v>
      </c>
      <c r="F7" s="11" t="str">
        <f>_xlfn.XLOOKUP($A7,Centrum[Индекс],Centrum[Shippers invoice no/ 
Номер инвойса поставщика],"",1)</f>
        <v>TJAUZ37129A01</v>
      </c>
      <c r="G7" s="15">
        <f>_xlfn.XLOOKUP($A7,Centrum[Индекс],Centrum[Invoice value / Стоимость груза в к-ре по инвойсу],"",0,1)</f>
        <v>13594.04</v>
      </c>
      <c r="H7" s="14" t="s">
        <v>40</v>
      </c>
      <c r="I7" s="11">
        <f>_xlfn.XLOOKUP($A7,Centrum[Индекс],Centrum[CBM on the shipper/ 
CBM по поставщику],"",0,1)</f>
        <v>67.558999999999997</v>
      </c>
      <c r="J7" s="16">
        <f>_xlfn.XLOOKUP($A7,Centrum[Индекс],Centrum[Gross weight of cont// 
Гросс.вес по конт.],"",0,1)</f>
        <v>5156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KUNSAN (FOB/P-D)</v>
      </c>
      <c r="M7" s="11" t="str">
        <f>_xlfn.XLOOKUP($A7,Centrum[Индекс],Centrum[№ HBL date / 
№/ дата коносамента],"",0,1)</f>
        <v>FSIMPUAS229365</v>
      </c>
      <c r="N7" s="11" t="str">
        <f>_xlfn.XLOOKUP($A7,Centrum[Индекс],Centrum[№ MBL / 
№/ коносамента],"",0,1)</f>
        <v>FSCOPUVV386630</v>
      </c>
      <c r="O7" s="8">
        <f>(_xlfn.XLOOKUP($A7,Centrum[Индекс],Centrum[Date on board / Дата погрузки на судно],"",0,1))*1</f>
        <v>44979</v>
      </c>
      <c r="P7" s="8">
        <f>(_xlfn.XLOOKUP($A7,Centrum[Индекс],Centrum[Date of arrival to Sary-Agach/ Дата прибытия на Сары-Агач],"",0,1))*1</f>
        <v>45034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11600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11600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" s="16">
        <f>_xlfn.XLOOKUP(Шаблон_Формулы[[#This Row],[21]],Курс_USD[Дата],Курс_USD[Курс],,0,1)</f>
        <v>11445.03</v>
      </c>
      <c r="W7" s="16">
        <f>Шаблон_Формулы!$T7*Шаблон_Формулы!$V7</f>
        <v>132762348.00000001</v>
      </c>
      <c r="Y7" s="16">
        <f>Шаблон_Формулы!$W7+Шаблон_Формулы!$X7</f>
        <v>132762348.00000001</v>
      </c>
      <c r="Z7" s="14" t="str">
        <f>_xlfn.XLOOKUP($A7,Centrum[Индекс],Centrum[Transport co invoice no/ 
Номер инвойса ТК],"",0,1)</f>
        <v>CNT-FS230001670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KOREA</v>
      </c>
      <c r="D8" s="11" t="str">
        <f>_xlfn.XLOOKUP($A8,Centrum[Индекс],Centrum[Container num./ 
№ контейнера],"",0,1)</f>
        <v>CAIU7893756</v>
      </c>
      <c r="E8" s="11" t="str">
        <f>_xlfn.XLOOKUP($A8,Centrum[Индекс],Centrum[Supplier/
Поставщик],"",0,1)</f>
        <v>GM KOREA COMPANY</v>
      </c>
      <c r="F8" s="11" t="str">
        <f>_xlfn.XLOOKUP($A8,Centrum[Индекс],Centrum[Shippers invoice no/ 
Номер инвойса поставщика],"",1)</f>
        <v>TJAUZ37129A01</v>
      </c>
      <c r="G8" s="15">
        <f>_xlfn.XLOOKUP($A8,Centrum[Индекс],Centrum[Invoice value / Стоимость груза в к-ре по инвойсу],"",0,1)</f>
        <v>20636.599999999999</v>
      </c>
      <c r="H8" s="14" t="s">
        <v>40</v>
      </c>
      <c r="I8" s="11">
        <f>_xlfn.XLOOKUP($A8,Centrum[Индекс],Centrum[CBM on the shipper/ 
CBM по поставщику],"",0,1)</f>
        <v>67.286000000000001</v>
      </c>
      <c r="J8" s="16">
        <f>_xlfn.XLOOKUP($A8,Centrum[Индекс],Centrum[Gross weight of cont// 
Гросс.вес по конт.],"",0,1)</f>
        <v>7144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KUNSAN (FOB/P-D)</v>
      </c>
      <c r="M8" s="11" t="str">
        <f>_xlfn.XLOOKUP($A8,Centrum[Индекс],Centrum[№ HBL date / 
№/ дата коносамента],"",0,1)</f>
        <v>FSIMPUAS229365</v>
      </c>
      <c r="N8" s="11" t="str">
        <f>_xlfn.XLOOKUP($A8,Centrum[Индекс],Centrum[№ MBL / 
№/ коносамента],"",0,1)</f>
        <v>FSCOPUVV386630</v>
      </c>
      <c r="O8" s="8">
        <f>(_xlfn.XLOOKUP($A8,Centrum[Индекс],Centrum[Date on board / Дата погрузки на судно],"",0,1))*1</f>
        <v>44979</v>
      </c>
      <c r="P8" s="8">
        <f>(_xlfn.XLOOKUP($A8,Centrum[Индекс],Centrum[Date of arrival to Sary-Agach/ Дата прибытия на Сары-Агач],"",0,1))*1</f>
        <v>45034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11600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11600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" s="16">
        <f>_xlfn.XLOOKUP(Шаблон_Формулы[[#This Row],[21]],Курс_USD[Дата],Курс_USD[Курс],,0,1)</f>
        <v>11445.03</v>
      </c>
      <c r="W8" s="16">
        <f>Шаблон_Формулы!$T8*Шаблон_Формулы!$V8</f>
        <v>132762348.00000001</v>
      </c>
      <c r="Y8" s="16">
        <f>Шаблон_Формулы!$W8+Шаблон_Формулы!$X8</f>
        <v>132762348.00000001</v>
      </c>
      <c r="Z8" s="14" t="str">
        <f>_xlfn.XLOOKUP($A8,Centrum[Индекс],Centrum[Transport co invoice no/ 
Номер инвойса ТК],"",0,1)</f>
        <v>CNT-FS230001670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KOREA</v>
      </c>
      <c r="D9" s="11" t="str">
        <f>_xlfn.XLOOKUP($A9,Centrum[Индекс],Centrum[Container num./ 
№ контейнера],"",0,1)</f>
        <v>CAIU7894006</v>
      </c>
      <c r="E9" s="11" t="str">
        <f>_xlfn.XLOOKUP($A9,Centrum[Индекс],Centrum[Supplier/
Поставщик],"",0,1)</f>
        <v>GM KOREA COMPANY</v>
      </c>
      <c r="F9" s="11" t="str">
        <f>_xlfn.XLOOKUP($A9,Centrum[Индекс],Centrum[Shippers invoice no/ 
Номер инвойса поставщика],"",1)</f>
        <v>TJAUZ37129A01</v>
      </c>
      <c r="G9" s="15">
        <f>_xlfn.XLOOKUP($A9,Centrum[Индекс],Centrum[Invoice value / Стоимость груза в к-ре по инвойсу],"",0,1)</f>
        <v>24809.31</v>
      </c>
      <c r="H9" s="14" t="s">
        <v>40</v>
      </c>
      <c r="I9" s="11">
        <f>_xlfn.XLOOKUP($A9,Centrum[Индекс],Centrum[CBM on the shipper/ 
CBM по поставщику],"",0,1)</f>
        <v>67.387</v>
      </c>
      <c r="J9" s="16">
        <f>_xlfn.XLOOKUP($A9,Centrum[Индекс],Centrum[Gross weight of cont// 
Гросс.вес по конт.],"",0,1)</f>
        <v>8806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KUNSAN (FOB/P-D)</v>
      </c>
      <c r="M9" s="11" t="str">
        <f>_xlfn.XLOOKUP($A9,Centrum[Индекс],Centrum[№ HBL date / 
№/ дата коносамента],"",0,1)</f>
        <v>FSIMPUAS229365</v>
      </c>
      <c r="N9" s="11" t="str">
        <f>_xlfn.XLOOKUP($A9,Centrum[Индекс],Centrum[№ MBL / 
№/ коносамента],"",0,1)</f>
        <v>FSCOPUVV386630</v>
      </c>
      <c r="O9" s="8">
        <f>(_xlfn.XLOOKUP($A9,Centrum[Индекс],Centrum[Date on board / Дата погрузки на судно],"",0,1))*1</f>
        <v>44979</v>
      </c>
      <c r="P9" s="8">
        <f>(_xlfn.XLOOKUP($A9,Centrum[Индекс],Centrum[Date of arrival to Sary-Agach/ Дата прибытия на Сары-Агач],"",0,1))*1</f>
        <v>45034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11600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11600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" s="16">
        <f>_xlfn.XLOOKUP(Шаблон_Формулы[[#This Row],[21]],Курс_USD[Дата],Курс_USD[Курс],,0,1)</f>
        <v>11445.03</v>
      </c>
      <c r="W9" s="16">
        <f>Шаблон_Формулы!$T9*Шаблон_Формулы!$V9</f>
        <v>132762348.00000001</v>
      </c>
      <c r="Y9" s="16">
        <f>Шаблон_Формулы!$W9+Шаблон_Формулы!$X9</f>
        <v>132762348.00000001</v>
      </c>
      <c r="Z9" s="14" t="str">
        <f>_xlfn.XLOOKUP($A9,Centrum[Индекс],Centrum[Transport co invoice no/ 
Номер инвойса ТК],"",0,1)</f>
        <v>CNT-FS230001670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KOREA</v>
      </c>
      <c r="D10" s="11" t="str">
        <f>_xlfn.XLOOKUP($A10,Centrum[Индекс],Centrum[Container num./ 
№ контейнера],"",0,1)</f>
        <v>CAIU7954511</v>
      </c>
      <c r="E10" s="11" t="str">
        <f>_xlfn.XLOOKUP($A10,Centrum[Индекс],Centrum[Supplier/
Поставщик],"",0,1)</f>
        <v>GM KOREA COMPANY</v>
      </c>
      <c r="F10" s="11" t="str">
        <f>_xlfn.XLOOKUP($A10,Centrum[Индекс],Centrum[Shippers invoice no/ 
Номер инвойса поставщика],"",1)</f>
        <v>TJAUZ37129A01</v>
      </c>
      <c r="G10" s="15">
        <f>_xlfn.XLOOKUP($A10,Centrum[Индекс],Centrum[Invoice value / Стоимость груза в к-ре по инвойсу],"",0,1)</f>
        <v>19105.599999999999</v>
      </c>
      <c r="H10" s="14" t="s">
        <v>40</v>
      </c>
      <c r="I10" s="11">
        <f>_xlfn.XLOOKUP($A10,Centrum[Индекс],Centrum[CBM on the shipper/ 
CBM по поставщику],"",0,1)</f>
        <v>67.558999999999997</v>
      </c>
      <c r="J10" s="16">
        <f>_xlfn.XLOOKUP($A10,Centrum[Индекс],Centrum[Gross weight of cont// 
Гросс.вес по конт.],"",0,1)</f>
        <v>6894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KUNSAN (FOB/P-D)</v>
      </c>
      <c r="M10" s="11" t="str">
        <f>_xlfn.XLOOKUP($A10,Centrum[Индекс],Centrum[№ HBL date / 
№/ дата коносамента],"",0,1)</f>
        <v>FSIMPUAS229365</v>
      </c>
      <c r="N10" s="11" t="str">
        <f>_xlfn.XLOOKUP($A10,Centrum[Индекс],Centrum[№ MBL / 
№/ коносамента],"",0,1)</f>
        <v>FSCOPUVV386630</v>
      </c>
      <c r="O10" s="8">
        <f>(_xlfn.XLOOKUP($A10,Centrum[Индекс],Centrum[Date on board / Дата погрузки на судно],"",0,1))*1</f>
        <v>44979</v>
      </c>
      <c r="P10" s="8">
        <f>(_xlfn.XLOOKUP($A10,Centrum[Индекс],Centrum[Date of arrival to Sary-Agach/ Дата прибытия на Сары-Агач],"",0,1))*1</f>
        <v>45034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11600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11600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" s="16">
        <f>_xlfn.XLOOKUP(Шаблон_Формулы[[#This Row],[21]],Курс_USD[Дата],Курс_USD[Курс],,0,1)</f>
        <v>11445.03</v>
      </c>
      <c r="W10" s="16">
        <f>Шаблон_Формулы!$T10*Шаблон_Формулы!$V10</f>
        <v>132762348.00000001</v>
      </c>
      <c r="Y10" s="16">
        <f>Шаблон_Формулы!$W10+Шаблон_Формулы!$X10</f>
        <v>132762348.00000001</v>
      </c>
      <c r="Z10" s="14" t="str">
        <f>_xlfn.XLOOKUP($A10,Centrum[Индекс],Centrum[Transport co invoice no/ 
Номер инвойса ТК],"",0,1)</f>
        <v>CNT-FS230001670</v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KOREA</v>
      </c>
      <c r="D11" s="11" t="str">
        <f>_xlfn.XLOOKUP($A11,Centrum[Индекс],Centrum[Container num./ 
№ контейнера],"",0,1)</f>
        <v>CAIU7961017</v>
      </c>
      <c r="E11" s="11" t="str">
        <f>_xlfn.XLOOKUP($A11,Centrum[Индекс],Centrum[Supplier/
Поставщик],"",0,1)</f>
        <v>GM KOREA COMPANY</v>
      </c>
      <c r="F11" s="11" t="str">
        <f>_xlfn.XLOOKUP($A11,Centrum[Индекс],Centrum[Shippers invoice no/ 
Номер инвойса поставщика],"",1)</f>
        <v>TJAUZ37130A01</v>
      </c>
      <c r="G11" s="15">
        <f>_xlfn.XLOOKUP($A11,Centrum[Индекс],Centrum[Invoice value / Стоимость груза в к-ре по инвойсу],"",0,1)</f>
        <v>63337.279999999999</v>
      </c>
      <c r="H11" s="14" t="s">
        <v>40</v>
      </c>
      <c r="I11" s="11">
        <f>_xlfn.XLOOKUP($A11,Centrum[Индекс],Centrum[CBM on the shipper/ 
CBM по поставщику],"",0,1)</f>
        <v>66.631</v>
      </c>
      <c r="J11" s="16">
        <f>_xlfn.XLOOKUP($A11,Centrum[Индекс],Centrum[Gross weight of cont// 
Гросс.вес по конт.],"",0,1)</f>
        <v>10491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INCHEON (FOB/P-D)</v>
      </c>
      <c r="M11" s="11" t="str">
        <f>_xlfn.XLOOKUP($A11,Centrum[Индекс],Centrum[№ HBL date / 
№/ дата коносамента],"",0,1)</f>
        <v>FSIMINAS229362</v>
      </c>
      <c r="N11" s="11" t="str">
        <f>_xlfn.XLOOKUP($A11,Centrum[Индекс],Centrum[№ MBL / 
№/ коносамента],"",0,1)</f>
        <v>FSCOPUVV386626</v>
      </c>
      <c r="O11" s="8">
        <f>(_xlfn.XLOOKUP($A11,Centrum[Индекс],Centrum[Date on board / Дата погрузки на судно],"",0,1))*1</f>
        <v>44979</v>
      </c>
      <c r="P11" s="8">
        <f>(_xlfn.XLOOKUP($A11,Centrum[Индекс],Centrum[Date of arrival to Sary-Agach/ Дата прибытия на Сары-Агач],"",0,1))*1</f>
        <v>45034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10850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10850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" s="16">
        <f>_xlfn.XLOOKUP(Шаблон_Формулы[[#This Row],[21]],Курс_USD[Дата],Курс_USD[Курс],,0,1)</f>
        <v>11445.03</v>
      </c>
      <c r="W11" s="16">
        <f>Шаблон_Формулы!$T11*Шаблон_Формулы!$V11</f>
        <v>124178575.5</v>
      </c>
      <c r="Y11" s="16">
        <f>Шаблон_Формулы!$W11+Шаблон_Формулы!$X11</f>
        <v>124178575.5</v>
      </c>
      <c r="Z11" s="14" t="str">
        <f>_xlfn.XLOOKUP($A11,Centrum[Индекс],Centrum[Transport co invoice no/ 
Номер инвойса ТК],"",0,1)</f>
        <v>CNT-FS230001670</v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KOREA</v>
      </c>
      <c r="D12" s="11" t="str">
        <f>_xlfn.XLOOKUP($A12,Centrum[Индекс],Centrum[Container num./ 
№ контейнера],"",0,1)</f>
        <v>CAIU8406512</v>
      </c>
      <c r="E12" s="11" t="str">
        <f>_xlfn.XLOOKUP($A12,Centrum[Индекс],Centrum[Supplier/
Поставщик],"",0,1)</f>
        <v>GM KOREA COMPANY</v>
      </c>
      <c r="F12" s="11" t="str">
        <f>_xlfn.XLOOKUP($A12,Centrum[Индекс],Centrum[Shippers invoice no/ 
Номер инвойса поставщика],"",1)</f>
        <v>TJAUZ37129A01</v>
      </c>
      <c r="G12" s="15">
        <f>_xlfn.XLOOKUP($A12,Centrum[Индекс],Centrum[Invoice value / Стоимость груза в к-ре по инвойсу],"",0,1)</f>
        <v>20346.84</v>
      </c>
      <c r="H12" s="14" t="s">
        <v>40</v>
      </c>
      <c r="I12" s="11">
        <f>_xlfn.XLOOKUP($A12,Centrum[Индекс],Centrum[CBM on the shipper/ 
CBM по поставщику],"",0,1)</f>
        <v>67.597999999999999</v>
      </c>
      <c r="J12" s="16">
        <f>_xlfn.XLOOKUP($A12,Centrum[Индекс],Centrum[Gross weight of cont// 
Гросс.вес по конт.],"",0,1)</f>
        <v>6571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KUNSAN (FOB/P-D)</v>
      </c>
      <c r="M12" s="11" t="str">
        <f>_xlfn.XLOOKUP($A12,Centrum[Индекс],Centrum[№ HBL date / 
№/ дата коносамента],"",0,1)</f>
        <v>FSIMPUAS229365</v>
      </c>
      <c r="N12" s="11" t="str">
        <f>_xlfn.XLOOKUP($A12,Centrum[Индекс],Centrum[№ MBL / 
№/ коносамента],"",0,1)</f>
        <v>FSCOPUVV386630</v>
      </c>
      <c r="O12" s="8">
        <f>(_xlfn.XLOOKUP($A12,Centrum[Индекс],Centrum[Date on board / Дата погрузки на судно],"",0,1))*1</f>
        <v>44979</v>
      </c>
      <c r="P12" s="8">
        <f>(_xlfn.XLOOKUP($A12,Centrum[Индекс],Centrum[Date of arrival to Sary-Agach/ Дата прибытия на Сары-Агач],"",0,1))*1</f>
        <v>45034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11600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11600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" s="16">
        <f>_xlfn.XLOOKUP(Шаблон_Формулы[[#This Row],[21]],Курс_USD[Дата],Курс_USD[Курс],,0,1)</f>
        <v>11445.03</v>
      </c>
      <c r="W12" s="16">
        <f>Шаблон_Формулы!$T12*Шаблон_Формулы!$V12</f>
        <v>132762348.00000001</v>
      </c>
      <c r="Y12" s="16">
        <f>Шаблон_Формулы!$W12+Шаблон_Формулы!$X12</f>
        <v>132762348.00000001</v>
      </c>
      <c r="Z12" s="14" t="str">
        <f>_xlfn.XLOOKUP($A12,Centrum[Индекс],Centrum[Transport co invoice no/ 
Номер инвойса ТК],"",0,1)</f>
        <v>CNT-FS230001670</v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>CENTRUM AVIATION FZCO</v>
      </c>
      <c r="C13" s="11" t="str">
        <f>_xlfn.XLOOKUP($A13,Centrum[Индекс],Centrum[Country /  Страна],"",0,1)</f>
        <v>KOREA</v>
      </c>
      <c r="D13" s="11" t="str">
        <f>_xlfn.XLOOKUP($A13,Centrum[Индекс],Centrum[Container num./ 
№ контейнера],"",0,1)</f>
        <v>CAIU8476696</v>
      </c>
      <c r="E13" s="11" t="str">
        <f>_xlfn.XLOOKUP($A13,Centrum[Индекс],Centrum[Supplier/
Поставщик],"",0,1)</f>
        <v>GM KOREA COMPANY</v>
      </c>
      <c r="F13" s="11" t="str">
        <f>_xlfn.XLOOKUP($A13,Centrum[Индекс],Centrum[Shippers invoice no/ 
Номер инвойса поставщика],"",1)</f>
        <v>TJAUZ37132C01</v>
      </c>
      <c r="G13" s="15">
        <f>_xlfn.XLOOKUP($A13,Centrum[Индекс],Centrum[Invoice value / Стоимость груза в к-ре по инвойсу],"",0,1)</f>
        <v>51105.56</v>
      </c>
      <c r="H13" s="14" t="s">
        <v>40</v>
      </c>
      <c r="I13" s="11">
        <f>_xlfn.XLOOKUP($A13,Centrum[Индекс],Centrum[CBM on the shipper/ 
CBM по поставщику],"",0,1)</f>
        <v>67.082999999999998</v>
      </c>
      <c r="J13" s="16">
        <f>_xlfn.XLOOKUP($A13,Centrum[Индекс],Centrum[Gross weight of cont// 
Гросс.вес по конт.],"",0,1)</f>
        <v>6768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(FOB/P-D)</v>
      </c>
      <c r="M13" s="11" t="str">
        <f>_xlfn.XLOOKUP($A13,Centrum[Индекс],Centrum[№ HBL date / 
№/ дата коносамента],"",0,1)</f>
        <v>FSIMPUAS229366</v>
      </c>
      <c r="N13" s="11" t="str">
        <f>_xlfn.XLOOKUP($A13,Centrum[Индекс],Centrum[№ MBL / 
№/ коносамента],"",0,1)</f>
        <v>FSCOPUVV386631</v>
      </c>
      <c r="O13" s="8">
        <f>(_xlfn.XLOOKUP($A13,Centrum[Индекс],Centrum[Date on board / Дата погрузки на судно],"",0,1))*1</f>
        <v>44979</v>
      </c>
      <c r="P13" s="8">
        <f>(_xlfn.XLOOKUP($A13,Centrum[Индекс],Centrum[Date of arrival to Sary-Agach/ Дата прибытия на Сары-Агач],"",0,1))*1</f>
        <v>45034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" s="16">
        <f>_xlfn.XLOOKUP(Шаблон_Формулы[[#This Row],[21]],Курс_USD[Дата],Курс_USD[Курс],,0,1)</f>
        <v>11445.03</v>
      </c>
      <c r="W13" s="16">
        <f>Шаблон_Формулы!$T13*Шаблон_Формулы!$V13</f>
        <v>120745066.5</v>
      </c>
      <c r="Y13" s="16">
        <f>Шаблон_Формулы!$W13+Шаблон_Формулы!$X13</f>
        <v>120745066.5</v>
      </c>
      <c r="Z13" s="14" t="str">
        <f>_xlfn.XLOOKUP($A13,Centrum[Индекс],Centrum[Transport co invoice no/ 
Номер инвойса ТК],"",0,1)</f>
        <v>CNT-FS230001670</v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>CENTRUM AVIATION FZCO</v>
      </c>
      <c r="C14" s="11" t="str">
        <f>_xlfn.XLOOKUP($A14,Centrum[Индекс],Centrum[Country /  Страна],"",0,1)</f>
        <v>KOREA</v>
      </c>
      <c r="D14" s="11" t="str">
        <f>_xlfn.XLOOKUP($A14,Centrum[Индекс],Centrum[Container num./ 
№ контейнера],"",0,1)</f>
        <v>CAIU8768229</v>
      </c>
      <c r="E14" s="11" t="str">
        <f>_xlfn.XLOOKUP($A14,Centrum[Индекс],Centrum[Supplier/
Поставщик],"",0,1)</f>
        <v>GM KOREA COMPANY</v>
      </c>
      <c r="F14" s="11" t="str">
        <f>_xlfn.XLOOKUP($A14,Centrum[Индекс],Centrum[Shippers invoice no/ 
Номер инвойса поставщика],"",1)</f>
        <v>TJAUZ37129A01</v>
      </c>
      <c r="G14" s="15">
        <f>_xlfn.XLOOKUP($A14,Centrum[Индекс],Centrum[Invoice value / Стоимость груза в к-ре по инвойсу],"",0,1)</f>
        <v>21717</v>
      </c>
      <c r="H14" s="14" t="s">
        <v>40</v>
      </c>
      <c r="I14" s="11">
        <f>_xlfn.XLOOKUP($A14,Centrum[Индекс],Centrum[CBM on the shipper/ 
CBM по поставщику],"",0,1)</f>
        <v>67.674999999999997</v>
      </c>
      <c r="J14" s="16">
        <f>_xlfn.XLOOKUP($A14,Centrum[Индекс],Centrum[Gross weight of cont// 
Гросс.вес по конт.],"",0,1)</f>
        <v>6935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KUNSAN (FOB/P-D)</v>
      </c>
      <c r="M14" s="11" t="str">
        <f>_xlfn.XLOOKUP($A14,Centrum[Индекс],Centrum[№ HBL date / 
№/ дата коносамента],"",0,1)</f>
        <v>FSIMPUAS229365</v>
      </c>
      <c r="N14" s="11" t="str">
        <f>_xlfn.XLOOKUP($A14,Centrum[Индекс],Centrum[№ MBL / 
№/ коносамента],"",0,1)</f>
        <v>FSCOPUVV386630</v>
      </c>
      <c r="O14" s="8">
        <f>(_xlfn.XLOOKUP($A14,Centrum[Индекс],Centrum[Date on board / Дата погрузки на судно],"",0,1))*1</f>
        <v>44979</v>
      </c>
      <c r="P14" s="8">
        <f>(_xlfn.XLOOKUP($A14,Centrum[Индекс],Centrum[Date of arrival to Sary-Agach/ Дата прибытия на Сары-Агач],"",0,1))*1</f>
        <v>45034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11600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11600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" s="16">
        <f>_xlfn.XLOOKUP(Шаблон_Формулы[[#This Row],[21]],Курс_USD[Дата],Курс_USD[Курс],,0,1)</f>
        <v>11445.03</v>
      </c>
      <c r="W14" s="16">
        <f>Шаблон_Формулы!$T14*Шаблон_Формулы!$V14</f>
        <v>132762348.00000001</v>
      </c>
      <c r="Y14" s="16">
        <f>Шаблон_Формулы!$W14+Шаблон_Формулы!$X14</f>
        <v>132762348.00000001</v>
      </c>
      <c r="Z14" s="14" t="str">
        <f>_xlfn.XLOOKUP($A14,Centrum[Индекс],Centrum[Transport co invoice no/ 
Номер инвойса ТК],"",0,1)</f>
        <v>CNT-FS230001670</v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>CENTRUM AVIATION FZCO</v>
      </c>
      <c r="C15" s="11" t="str">
        <f>_xlfn.XLOOKUP($A15,Centrum[Индекс],Centrum[Country /  Страна],"",0,1)</f>
        <v>KOREA</v>
      </c>
      <c r="D15" s="11" t="str">
        <f>_xlfn.XLOOKUP($A15,Centrum[Индекс],Centrum[Container num./ 
№ контейнера],"",0,1)</f>
        <v>CAIU8857711</v>
      </c>
      <c r="E15" s="11" t="str">
        <f>_xlfn.XLOOKUP($A15,Centrum[Индекс],Centrum[Supplier/
Поставщик],"",0,1)</f>
        <v>GM KOREA COMPANY</v>
      </c>
      <c r="F15" s="11" t="str">
        <f>_xlfn.XLOOKUP($A15,Centrum[Индекс],Centrum[Shippers invoice no/ 
Номер инвойса поставщика],"",1)</f>
        <v>TJAUZ37133A01</v>
      </c>
      <c r="G15" s="15">
        <f>_xlfn.XLOOKUP($A15,Centrum[Индекс],Centrum[Invoice value / Стоимость груза в к-ре по инвойсу],"",0,1)</f>
        <v>103771.42</v>
      </c>
      <c r="H15" s="14" t="s">
        <v>40</v>
      </c>
      <c r="I15" s="11">
        <f>_xlfn.XLOOKUP($A15,Centrum[Индекс],Centrum[CBM on the shipper/ 
CBM по поставщику],"",0,1)</f>
        <v>67.066000000000003</v>
      </c>
      <c r="J15" s="16">
        <f>_xlfn.XLOOKUP($A15,Centrum[Индекс],Centrum[Gross weight of cont// 
Гросс.вес по конт.],"",0,1)</f>
        <v>14603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INCHEON (FOB/P-D)</v>
      </c>
      <c r="M15" s="11" t="str">
        <f>_xlfn.XLOOKUP($A15,Centrum[Индекс],Centrum[№ HBL date / 
№/ дата коносамента],"",0,1)</f>
        <v>FSIMINAS229363</v>
      </c>
      <c r="N15" s="11" t="str">
        <f>_xlfn.XLOOKUP($A15,Centrum[Индекс],Centrum[№ MBL / 
№/ коносамента],"",0,1)</f>
        <v>FSCOPUVV386627</v>
      </c>
      <c r="O15" s="8">
        <f>(_xlfn.XLOOKUP($A15,Centrum[Индекс],Centrum[Date on board / Дата погрузки на судно],"",0,1))*1</f>
        <v>44979</v>
      </c>
      <c r="P15" s="8">
        <f>(_xlfn.XLOOKUP($A15,Centrum[Индекс],Centrum[Date of arrival to Sary-Agach/ Дата прибытия на Сары-Агач],"",0,1))*1</f>
        <v>45034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10850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10850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" s="16">
        <f>_xlfn.XLOOKUP(Шаблон_Формулы[[#This Row],[21]],Курс_USD[Дата],Курс_USD[Курс],,0,1)</f>
        <v>11445.03</v>
      </c>
      <c r="W15" s="16">
        <f>Шаблон_Формулы!$T15*Шаблон_Формулы!$V15</f>
        <v>124178575.5</v>
      </c>
      <c r="Y15" s="16">
        <f>Шаблон_Формулы!$W15+Шаблон_Формулы!$X15</f>
        <v>124178575.5</v>
      </c>
      <c r="Z15" s="14" t="str">
        <f>_xlfn.XLOOKUP($A15,Centrum[Индекс],Centrum[Transport co invoice no/ 
Номер инвойса ТК],"",0,1)</f>
        <v>CNT-FS230001670</v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>CENTRUM AVIATION FZCO</v>
      </c>
      <c r="C16" s="11" t="str">
        <f>_xlfn.XLOOKUP($A16,Centrum[Индекс],Centrum[Country /  Страна],"",0,1)</f>
        <v>KOREA</v>
      </c>
      <c r="D16" s="11" t="str">
        <f>_xlfn.XLOOKUP($A16,Centrum[Индекс],Centrum[Container num./ 
№ контейнера],"",0,1)</f>
        <v>CAIU8903484</v>
      </c>
      <c r="E16" s="11" t="str">
        <f>_xlfn.XLOOKUP($A16,Centrum[Индекс],Centrum[Supplier/
Поставщик],"",0,1)</f>
        <v>GM KOREA COMPANY</v>
      </c>
      <c r="F16" s="11" t="str">
        <f>_xlfn.XLOOKUP($A16,Centrum[Индекс],Centrum[Shippers invoice no/ 
Номер инвойса поставщика],"",1)</f>
        <v>TJAUZ37129A01</v>
      </c>
      <c r="G16" s="15">
        <f>_xlfn.XLOOKUP($A16,Centrum[Индекс],Centrum[Invoice value / Стоимость груза в к-ре по инвойсу],"",0,1)</f>
        <v>12396.96</v>
      </c>
      <c r="H16" s="14" t="s">
        <v>40</v>
      </c>
      <c r="I16" s="11">
        <f>_xlfn.XLOOKUP($A16,Centrum[Индекс],Centrum[CBM on the shipper/ 
CBM по поставщику],"",0,1)</f>
        <v>67.558999999999997</v>
      </c>
      <c r="J16" s="16">
        <f>_xlfn.XLOOKUP($A16,Centrum[Индекс],Centrum[Gross weight of cont// 
Гросс.вес по конт.],"",0,1)</f>
        <v>4947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KUNSAN (FOB/P-D)</v>
      </c>
      <c r="M16" s="11" t="str">
        <f>_xlfn.XLOOKUP($A16,Centrum[Индекс],Centrum[№ HBL date / 
№/ дата коносамента],"",0,1)</f>
        <v>FSIMPUAS229365</v>
      </c>
      <c r="N16" s="11" t="str">
        <f>_xlfn.XLOOKUP($A16,Centrum[Индекс],Centrum[№ MBL / 
№/ коносамента],"",0,1)</f>
        <v>FSCOPUVV386630</v>
      </c>
      <c r="O16" s="8">
        <f>(_xlfn.XLOOKUP($A16,Centrum[Индекс],Centrum[Date on board / Дата погрузки на судно],"",0,1))*1</f>
        <v>44979</v>
      </c>
      <c r="P16" s="8">
        <f>(_xlfn.XLOOKUP($A16,Centrum[Индекс],Centrum[Date of arrival to Sary-Agach/ Дата прибытия на Сары-Агач],"",0,1))*1</f>
        <v>45034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11600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11600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6" s="16">
        <f>_xlfn.XLOOKUP(Шаблон_Формулы[[#This Row],[21]],Курс_USD[Дата],Курс_USD[Курс],,0,1)</f>
        <v>11445.03</v>
      </c>
      <c r="W16" s="16">
        <f>Шаблон_Формулы!$T16*Шаблон_Формулы!$V16</f>
        <v>132762348.00000001</v>
      </c>
      <c r="Y16" s="16">
        <f>Шаблон_Формулы!$W16+Шаблон_Формулы!$X16</f>
        <v>132762348.00000001</v>
      </c>
      <c r="Z16" s="14" t="str">
        <f>_xlfn.XLOOKUP($A16,Centrum[Индекс],Centrum[Transport co invoice no/ 
Номер инвойса ТК],"",0,1)</f>
        <v>CNT-FS230001670</v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>CENTRUM AVIATION FZCO</v>
      </c>
      <c r="C17" s="11" t="str">
        <f>_xlfn.XLOOKUP($A17,Centrum[Индекс],Centrum[Country /  Страна],"",0,1)</f>
        <v>KOREA</v>
      </c>
      <c r="D17" s="11" t="str">
        <f>_xlfn.XLOOKUP($A17,Centrum[Индекс],Centrum[Container num./ 
№ контейнера],"",0,1)</f>
        <v>CAIU9072174</v>
      </c>
      <c r="E17" s="11" t="str">
        <f>_xlfn.XLOOKUP($A17,Centrum[Индекс],Centrum[Supplier/
Поставщик],"",0,1)</f>
        <v>GM KOREA COMPANY</v>
      </c>
      <c r="F17" s="11" t="str">
        <f>_xlfn.XLOOKUP($A17,Centrum[Индекс],Centrum[Shippers invoice no/ 
Номер инвойса поставщика],"",1)</f>
        <v>TJAUZ37129A01</v>
      </c>
      <c r="G17" s="15">
        <f>_xlfn.XLOOKUP($A17,Centrum[Индекс],Centrum[Invoice value / Стоимость груза в к-ре по инвойсу],"",0,1)</f>
        <v>30467.73</v>
      </c>
      <c r="H17" s="14" t="s">
        <v>40</v>
      </c>
      <c r="I17" s="11">
        <f>_xlfn.XLOOKUP($A17,Centrum[Индекс],Centrum[CBM on the shipper/ 
CBM по поставщику],"",0,1)</f>
        <v>67.453999999999994</v>
      </c>
      <c r="J17" s="16">
        <f>_xlfn.XLOOKUP($A17,Centrum[Индекс],Centrum[Gross weight of cont// 
Гросс.вес по конт.],"",0,1)</f>
        <v>9508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KUNSAN (FOB/P-D)</v>
      </c>
      <c r="M17" s="11" t="str">
        <f>_xlfn.XLOOKUP($A17,Centrum[Индекс],Centrum[№ HBL date / 
№/ дата коносамента],"",0,1)</f>
        <v>FSIMPUAS229365</v>
      </c>
      <c r="N17" s="11" t="str">
        <f>_xlfn.XLOOKUP($A17,Centrum[Индекс],Centrum[№ MBL / 
№/ коносамента],"",0,1)</f>
        <v>FSCOPUVV386630</v>
      </c>
      <c r="O17" s="8">
        <f>(_xlfn.XLOOKUP($A17,Centrum[Индекс],Centrum[Date on board / Дата погрузки на судно],"",0,1))*1</f>
        <v>44979</v>
      </c>
      <c r="P17" s="8">
        <f>(_xlfn.XLOOKUP($A17,Centrum[Индекс],Centrum[Date of arrival to Sary-Agach/ Дата прибытия на Сары-Агач],"",0,1))*1</f>
        <v>45034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11600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11600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7" s="16">
        <f>_xlfn.XLOOKUP(Шаблон_Формулы[[#This Row],[21]],Курс_USD[Дата],Курс_USD[Курс],,0,1)</f>
        <v>11445.03</v>
      </c>
      <c r="W17" s="16">
        <f>Шаблон_Формулы!$T17*Шаблон_Формулы!$V17</f>
        <v>132762348.00000001</v>
      </c>
      <c r="Y17" s="16">
        <f>Шаблон_Формулы!$W17+Шаблон_Формулы!$X17</f>
        <v>132762348.00000001</v>
      </c>
      <c r="Z17" s="14" t="str">
        <f>_xlfn.XLOOKUP($A17,Centrum[Индекс],Centrum[Transport co invoice no/ 
Номер инвойса ТК],"",0,1)</f>
        <v>CNT-FS230001670</v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>CENTRUM AVIATION FZCO</v>
      </c>
      <c r="C18" s="11" t="str">
        <f>_xlfn.XLOOKUP($A18,Centrum[Индекс],Centrum[Country /  Страна],"",0,1)</f>
        <v>KOREA</v>
      </c>
      <c r="D18" s="11" t="str">
        <f>_xlfn.XLOOKUP($A18,Centrum[Индекс],Centrum[Container num./ 
№ контейнера],"",0,1)</f>
        <v>FESU5119911</v>
      </c>
      <c r="E18" s="11" t="str">
        <f>_xlfn.XLOOKUP($A18,Centrum[Индекс],Centrum[Supplier/
Поставщик],"",0,1)</f>
        <v>GM KOREA COMPANY</v>
      </c>
      <c r="F18" s="11" t="str">
        <f>_xlfn.XLOOKUP($A18,Centrum[Индекс],Centrum[Shippers invoice no/ 
Номер инвойса поставщика],"",1)</f>
        <v>TJAUZ37129A01</v>
      </c>
      <c r="G18" s="15">
        <f>_xlfn.XLOOKUP($A18,Centrum[Индекс],Centrum[Invoice value / Стоимость груза в к-ре по инвойсу],"",0,1)</f>
        <v>26655.24</v>
      </c>
      <c r="H18" s="14" t="s">
        <v>40</v>
      </c>
      <c r="I18" s="11">
        <f>_xlfn.XLOOKUP($A18,Centrum[Индекс],Centrum[CBM on the shipper/ 
CBM по поставщику],"",0,1)</f>
        <v>67.387</v>
      </c>
      <c r="J18" s="16">
        <f>_xlfn.XLOOKUP($A18,Centrum[Индекс],Centrum[Gross weight of cont// 
Гросс.вес по конт.],"",0,1)</f>
        <v>9493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KUNSAN (FOB/P-D)</v>
      </c>
      <c r="M18" s="11" t="str">
        <f>_xlfn.XLOOKUP($A18,Centrum[Индекс],Centrum[№ HBL date / 
№/ дата коносамента],"",0,1)</f>
        <v>FSIMPUAS229365</v>
      </c>
      <c r="N18" s="11" t="str">
        <f>_xlfn.XLOOKUP($A18,Centrum[Индекс],Centrum[№ MBL / 
№/ коносамента],"",0,1)</f>
        <v>FSCOPUVV386630</v>
      </c>
      <c r="O18" s="8">
        <f>(_xlfn.XLOOKUP($A18,Centrum[Индекс],Centrum[Date on board / Дата погрузки на судно],"",0,1))*1</f>
        <v>44979</v>
      </c>
      <c r="P18" s="8">
        <f>(_xlfn.XLOOKUP($A18,Centrum[Индекс],Centrum[Date of arrival to Sary-Agach/ Дата прибытия на Сары-Агач],"",0,1))*1</f>
        <v>45034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11600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11600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8" s="16">
        <f>_xlfn.XLOOKUP(Шаблон_Формулы[[#This Row],[21]],Курс_USD[Дата],Курс_USD[Курс],,0,1)</f>
        <v>11445.03</v>
      </c>
      <c r="W18" s="16">
        <f>Шаблон_Формулы!$T18*Шаблон_Формулы!$V18</f>
        <v>132762348.00000001</v>
      </c>
      <c r="Y18" s="16">
        <f>Шаблон_Формулы!$W18+Шаблон_Формулы!$X18</f>
        <v>132762348.00000001</v>
      </c>
      <c r="Z18" s="14" t="str">
        <f>_xlfn.XLOOKUP($A18,Centrum[Индекс],Centrum[Transport co invoice no/ 
Номер инвойса ТК],"",0,1)</f>
        <v>CNT-FS230001670</v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>CENTRUM AVIATION FZCO</v>
      </c>
      <c r="C19" s="11" t="str">
        <f>_xlfn.XLOOKUP($A19,Centrum[Индекс],Centrum[Country /  Страна],"",0,1)</f>
        <v>KOREA</v>
      </c>
      <c r="D19" s="11" t="str">
        <f>_xlfn.XLOOKUP($A19,Centrum[Индекс],Centrum[Container num./ 
№ контейнера],"",0,1)</f>
        <v>FESU5133150</v>
      </c>
      <c r="E19" s="11" t="str">
        <f>_xlfn.XLOOKUP($A19,Centrum[Индекс],Centrum[Supplier/
Поставщик],"",0,1)</f>
        <v>GM KOREA COMPANY</v>
      </c>
      <c r="F19" s="11" t="str">
        <f>_xlfn.XLOOKUP($A19,Centrum[Индекс],Centrum[Shippers invoice no/ 
Номер инвойса поставщика],"",1)</f>
        <v>TJAUZ37116A01</v>
      </c>
      <c r="G19" s="15">
        <f>_xlfn.XLOOKUP($A19,Centrum[Индекс],Centrum[Invoice value / Стоимость груза в к-ре по инвойсу],"",0,1)</f>
        <v>24850.28</v>
      </c>
      <c r="H19" s="14" t="s">
        <v>40</v>
      </c>
      <c r="I19" s="11">
        <f>_xlfn.XLOOKUP($A19,Centrum[Индекс],Centrum[CBM on the shipper/ 
CBM по поставщику],"",0,1)</f>
        <v>67.83</v>
      </c>
      <c r="J19" s="16">
        <f>_xlfn.XLOOKUP($A19,Centrum[Индекс],Centrum[Gross weight of cont// 
Гросс.вес по конт.],"",0,1)</f>
        <v>7834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KUNSAN (FOB/P-D)</v>
      </c>
      <c r="M19" s="11" t="str">
        <f>_xlfn.XLOOKUP($A19,Centrum[Индекс],Centrum[№ HBL date / 
№/ дата коносамента],"",0,1)</f>
        <v>FSIMPUAS229341</v>
      </c>
      <c r="N19" s="11" t="str">
        <f>_xlfn.XLOOKUP($A19,Centrum[Индекс],Centrum[№ MBL / 
№/ коносамента],"",0,1)</f>
        <v>FSCOPUVV386541</v>
      </c>
      <c r="O19" s="8">
        <f>(_xlfn.XLOOKUP($A19,Centrum[Индекс],Centrum[Date on board / Дата погрузки на судно],"",0,1))*1</f>
        <v>44971</v>
      </c>
      <c r="P19" s="8">
        <f>(_xlfn.XLOOKUP($A19,Centrum[Индекс],Centrum[Date of arrival to Sary-Agach/ Дата прибытия на Сары-Агач],"",0,1))*1</f>
        <v>45034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11600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11600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9" s="16">
        <f>_xlfn.XLOOKUP(Шаблон_Формулы[[#This Row],[21]],Курс_USD[Дата],Курс_USD[Курс],,0,1)</f>
        <v>11445.03</v>
      </c>
      <c r="W19" s="16">
        <f>Шаблон_Формулы!$T19*Шаблон_Формулы!$V19</f>
        <v>132762348.00000001</v>
      </c>
      <c r="Y19" s="16">
        <f>Шаблон_Формулы!$W19+Шаблон_Формулы!$X19</f>
        <v>132762348.00000001</v>
      </c>
      <c r="Z19" s="14" t="str">
        <f>_xlfn.XLOOKUP($A19,Centrum[Индекс],Centrum[Transport co invoice no/ 
Номер инвойса ТК],"",0,1)</f>
        <v>CNT-FS230001670</v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>CENTRUM AVIATION FZCO</v>
      </c>
      <c r="C20" s="11" t="str">
        <f>_xlfn.XLOOKUP($A20,Centrum[Индекс],Centrum[Country /  Страна],"",0,1)</f>
        <v>KOREA</v>
      </c>
      <c r="D20" s="11" t="str">
        <f>_xlfn.XLOOKUP($A20,Centrum[Индекс],Centrum[Container num./ 
№ контейнера],"",0,1)</f>
        <v>FESU5141324</v>
      </c>
      <c r="E20" s="11" t="str">
        <f>_xlfn.XLOOKUP($A20,Centrum[Индекс],Centrum[Supplier/
Поставщик],"",0,1)</f>
        <v>GM KOREA COMPANY</v>
      </c>
      <c r="F20" s="11" t="str">
        <f>_xlfn.XLOOKUP($A20,Centrum[Индекс],Centrum[Shippers invoice no/ 
Номер инвойса поставщика],"",1)</f>
        <v>TJAUZ37116A01</v>
      </c>
      <c r="G20" s="15">
        <f>_xlfn.XLOOKUP($A20,Centrum[Индекс],Centrum[Invoice value / Стоимость груза в к-ре по инвойсу],"",0,1)</f>
        <v>25709.32</v>
      </c>
      <c r="H20" s="14" t="s">
        <v>40</v>
      </c>
      <c r="I20" s="11">
        <f>_xlfn.XLOOKUP($A20,Centrum[Индекс],Centrum[CBM on the shipper/ 
CBM по поставщику],"",0,1)</f>
        <v>67.83</v>
      </c>
      <c r="J20" s="16">
        <f>_xlfn.XLOOKUP($A20,Centrum[Индекс],Centrum[Gross weight of cont// 
Гросс.вес по конт.],"",0,1)</f>
        <v>8200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KUNSAN (FOB/P-D)</v>
      </c>
      <c r="M20" s="11" t="str">
        <f>_xlfn.XLOOKUP($A20,Centrum[Индекс],Centrum[№ HBL date / 
№/ дата коносамента],"",0,1)</f>
        <v>FSIMPUAS229341</v>
      </c>
      <c r="N20" s="11" t="str">
        <f>_xlfn.XLOOKUP($A20,Centrum[Индекс],Centrum[№ MBL / 
№/ коносамента],"",0,1)</f>
        <v>FSCOPUVV386541</v>
      </c>
      <c r="O20" s="8">
        <f>(_xlfn.XLOOKUP($A20,Centrum[Индекс],Centrum[Date on board / Дата погрузки на судно],"",0,1))*1</f>
        <v>44971</v>
      </c>
      <c r="P20" s="8">
        <f>(_xlfn.XLOOKUP($A20,Centrum[Индекс],Centrum[Date of arrival to Sary-Agach/ Дата прибытия на Сары-Агач],"",0,1))*1</f>
        <v>45034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11600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11600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0" s="16">
        <f>_xlfn.XLOOKUP(Шаблон_Формулы[[#This Row],[21]],Курс_USD[Дата],Курс_USD[Курс],,0,1)</f>
        <v>11445.03</v>
      </c>
      <c r="W20" s="16">
        <f>Шаблон_Формулы!$T20*Шаблон_Формулы!$V20</f>
        <v>132762348.00000001</v>
      </c>
      <c r="Y20" s="16">
        <f>Шаблон_Формулы!$W20+Шаблон_Формулы!$X20</f>
        <v>132762348.00000001</v>
      </c>
      <c r="Z20" s="14" t="str">
        <f>_xlfn.XLOOKUP($A20,Centrum[Индекс],Centrum[Transport co invoice no/ 
Номер инвойса ТК],"",0,1)</f>
        <v>CNT-FS230001670</v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>CENTRUM AVIATION FZCO</v>
      </c>
      <c r="C21" s="11" t="str">
        <f>_xlfn.XLOOKUP($A21,Centrum[Индекс],Centrum[Country /  Страна],"",0,1)</f>
        <v>KOREA</v>
      </c>
      <c r="D21" s="11" t="str">
        <f>_xlfn.XLOOKUP($A21,Centrum[Индекс],Centrum[Container num./ 
№ контейнера],"",0,1)</f>
        <v>FESU5172768</v>
      </c>
      <c r="E21" s="11" t="str">
        <f>_xlfn.XLOOKUP($A21,Centrum[Индекс],Centrum[Supplier/
Поставщик],"",0,1)</f>
        <v>GM KOREA COMPANY</v>
      </c>
      <c r="F21" s="11" t="str">
        <f>_xlfn.XLOOKUP($A21,Centrum[Индекс],Centrum[Shippers invoice no/ 
Номер инвойса поставщика],"",1)</f>
        <v>TJAUZ37129A01</v>
      </c>
      <c r="G21" s="15">
        <f>_xlfn.XLOOKUP($A21,Centrum[Индекс],Centrum[Invoice value / Стоимость груза в к-ре по инвойсу],"",0,1)</f>
        <v>17694.12</v>
      </c>
      <c r="H21" s="14" t="s">
        <v>40</v>
      </c>
      <c r="I21" s="11">
        <f>_xlfn.XLOOKUP($A21,Centrum[Индекс],Centrum[CBM on the shipper/ 
CBM по поставщику],"",0,1)</f>
        <v>67.319999999999993</v>
      </c>
      <c r="J21" s="16">
        <f>_xlfn.XLOOKUP($A21,Centrum[Индекс],Centrum[Gross weight of cont// 
Гросс.вес по конт.],"",0,1)</f>
        <v>6014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KUNSAN (FOB/P-D)</v>
      </c>
      <c r="M21" s="11" t="str">
        <f>_xlfn.XLOOKUP($A21,Centrum[Индекс],Centrum[№ HBL date / 
№/ дата коносамента],"",0,1)</f>
        <v>FSIMPUAS229365</v>
      </c>
      <c r="N21" s="11" t="str">
        <f>_xlfn.XLOOKUP($A21,Centrum[Индекс],Centrum[№ MBL / 
№/ коносамента],"",0,1)</f>
        <v>FSCOPUVV386630</v>
      </c>
      <c r="O21" s="8">
        <f>(_xlfn.XLOOKUP($A21,Centrum[Индекс],Centrum[Date on board / Дата погрузки на судно],"",0,1))*1</f>
        <v>44979</v>
      </c>
      <c r="P21" s="8">
        <f>(_xlfn.XLOOKUP($A21,Centrum[Индекс],Centrum[Date of arrival to Sary-Agach/ Дата прибытия на Сары-Агач],"",0,1))*1</f>
        <v>45034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11600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11600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1" s="16">
        <f>_xlfn.XLOOKUP(Шаблон_Формулы[[#This Row],[21]],Курс_USD[Дата],Курс_USD[Курс],,0,1)</f>
        <v>11445.03</v>
      </c>
      <c r="W21" s="16">
        <f>Шаблон_Формулы!$T21*Шаблон_Формулы!$V21</f>
        <v>132762348.00000001</v>
      </c>
      <c r="Y21" s="16">
        <f>Шаблон_Формулы!$W21+Шаблон_Формулы!$X21</f>
        <v>132762348.00000001</v>
      </c>
      <c r="Z21" s="14" t="str">
        <f>_xlfn.XLOOKUP($A21,Centrum[Индекс],Centrum[Transport co invoice no/ 
Номер инвойса ТК],"",0,1)</f>
        <v>CNT-FS230001670</v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>CENTRUM AVIATION FZCO</v>
      </c>
      <c r="C22" s="11" t="str">
        <f>_xlfn.XLOOKUP($A22,Centrum[Индекс],Centrum[Country /  Страна],"",0,1)</f>
        <v>KOREA</v>
      </c>
      <c r="D22" s="11" t="str">
        <f>_xlfn.XLOOKUP($A22,Centrum[Индекс],Centrum[Container num./ 
№ контейнера],"",0,1)</f>
        <v>FESU5176608</v>
      </c>
      <c r="E22" s="11" t="str">
        <f>_xlfn.XLOOKUP($A22,Centrum[Индекс],Centrum[Supplier/
Поставщик],"",0,1)</f>
        <v>GM KOREA COMPANY</v>
      </c>
      <c r="F22" s="11" t="str">
        <f>_xlfn.XLOOKUP($A22,Centrum[Индекс],Centrum[Shippers invoice no/ 
Номер инвойса поставщика],"",1)</f>
        <v>TJAUZ37132C01</v>
      </c>
      <c r="G22" s="15">
        <f>_xlfn.XLOOKUP($A22,Centrum[Индекс],Centrum[Invoice value / Стоимость груза в к-ре по инвойсу],"",0,1)</f>
        <v>45360</v>
      </c>
      <c r="H22" s="14" t="s">
        <v>40</v>
      </c>
      <c r="I22" s="11">
        <f>_xlfn.XLOOKUP($A22,Centrum[Индекс],Centrum[CBM on the shipper/ 
CBM по поставщику],"",0,1)</f>
        <v>66.784000000000006</v>
      </c>
      <c r="J22" s="16">
        <f>_xlfn.XLOOKUP($A22,Centrum[Индекс],Centrum[Gross weight of cont// 
Гросс.вес по конт.],"",0,1)</f>
        <v>4869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(FOB/P-D)</v>
      </c>
      <c r="M22" s="11" t="str">
        <f>_xlfn.XLOOKUP($A22,Centrum[Индекс],Centrum[№ HBL date / 
№/ дата коносамента],"",0,1)</f>
        <v>FSIMPUAS229366</v>
      </c>
      <c r="N22" s="11" t="str">
        <f>_xlfn.XLOOKUP($A22,Centrum[Индекс],Centrum[№ MBL / 
№/ коносамента],"",0,1)</f>
        <v>FSCOPUVV386631</v>
      </c>
      <c r="O22" s="8">
        <f>(_xlfn.XLOOKUP($A22,Centrum[Индекс],Centrum[Date on board / Дата погрузки на судно],"",0,1))*1</f>
        <v>44979</v>
      </c>
      <c r="P22" s="8">
        <f>(_xlfn.XLOOKUP($A22,Centrum[Индекс],Centrum[Date of arrival to Sary-Agach/ Дата прибытия на Сары-Агач],"",0,1))*1</f>
        <v>45034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2" s="16">
        <f>_xlfn.XLOOKUP(Шаблон_Формулы[[#This Row],[21]],Курс_USD[Дата],Курс_USD[Курс],,0,1)</f>
        <v>11445.03</v>
      </c>
      <c r="W22" s="16">
        <f>Шаблон_Формулы!$T22*Шаблон_Формулы!$V22</f>
        <v>120745066.5</v>
      </c>
      <c r="Y22" s="16">
        <f>Шаблон_Формулы!$W22+Шаблон_Формулы!$X22</f>
        <v>120745066.5</v>
      </c>
      <c r="Z22" s="14" t="str">
        <f>_xlfn.XLOOKUP($A22,Centrum[Индекс],Centrum[Transport co invoice no/ 
Номер инвойса ТК],"",0,1)</f>
        <v>CNT-FS230001670</v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>CENTRUM AVIATION FZCO</v>
      </c>
      <c r="C23" s="11" t="str">
        <f>_xlfn.XLOOKUP($A23,Centrum[Индекс],Centrum[Country /  Страна],"",0,1)</f>
        <v>KOREA</v>
      </c>
      <c r="D23" s="11" t="str">
        <f>_xlfn.XLOOKUP($A23,Centrum[Индекс],Centrum[Container num./ 
№ контейнера],"",0,1)</f>
        <v>FESU5184630</v>
      </c>
      <c r="E23" s="11" t="str">
        <f>_xlfn.XLOOKUP($A23,Centrum[Индекс],Centrum[Supplier/
Поставщик],"",0,1)</f>
        <v>GM KOREA COMPANY</v>
      </c>
      <c r="F23" s="11" t="str">
        <f>_xlfn.XLOOKUP($A23,Centrum[Индекс],Centrum[Shippers invoice no/ 
Номер инвойса поставщика],"",1)</f>
        <v>TJAUZ37130A01</v>
      </c>
      <c r="G23" s="15">
        <f>_xlfn.XLOOKUP($A23,Centrum[Индекс],Centrum[Invoice value / Стоимость груза в к-ре по инвойсу],"",0,1)</f>
        <v>52939.28</v>
      </c>
      <c r="H23" s="14" t="s">
        <v>40</v>
      </c>
      <c r="I23" s="11">
        <f>_xlfn.XLOOKUP($A23,Centrum[Индекс],Centrum[CBM on the shipper/ 
CBM по поставщику],"",0,1)</f>
        <v>64.456000000000003</v>
      </c>
      <c r="J23" s="16">
        <f>_xlfn.XLOOKUP($A23,Centrum[Индекс],Centrum[Gross weight of cont// 
Гросс.вес по конт.],"",0,1)</f>
        <v>7110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INCHEON (FOB/P-D)</v>
      </c>
      <c r="M23" s="11" t="str">
        <f>_xlfn.XLOOKUP($A23,Centrum[Индекс],Centrum[№ HBL date / 
№/ дата коносамента],"",0,1)</f>
        <v>FSIMINAS229362</v>
      </c>
      <c r="N23" s="11" t="str">
        <f>_xlfn.XLOOKUP($A23,Centrum[Индекс],Centrum[№ MBL / 
№/ коносамента],"",0,1)</f>
        <v>FSCOPUVV386626</v>
      </c>
      <c r="O23" s="8">
        <f>(_xlfn.XLOOKUP($A23,Centrum[Индекс],Centrum[Date on board / Дата погрузки на судно],"",0,1))*1</f>
        <v>44979</v>
      </c>
      <c r="P23" s="8">
        <f>(_xlfn.XLOOKUP($A23,Centrum[Индекс],Centrum[Date of arrival to Sary-Agach/ Дата прибытия на Сары-Агач],"",0,1))*1</f>
        <v>45034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10850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10850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3" s="16">
        <f>_xlfn.XLOOKUP(Шаблон_Формулы[[#This Row],[21]],Курс_USD[Дата],Курс_USD[Курс],,0,1)</f>
        <v>11445.03</v>
      </c>
      <c r="W23" s="16">
        <f>Шаблон_Формулы!$T23*Шаблон_Формулы!$V23</f>
        <v>124178575.5</v>
      </c>
      <c r="Y23" s="16">
        <f>Шаблон_Формулы!$W23+Шаблон_Формулы!$X23</f>
        <v>124178575.5</v>
      </c>
      <c r="Z23" s="14" t="str">
        <f>_xlfn.XLOOKUP($A23,Centrum[Индекс],Centrum[Transport co invoice no/ 
Номер инвойса ТК],"",0,1)</f>
        <v>CNT-FS230001670</v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>CENTRUM AVIATION FZCO</v>
      </c>
      <c r="C24" s="11" t="str">
        <f>_xlfn.XLOOKUP($A24,Centrum[Индекс],Centrum[Country /  Страна],"",0,1)</f>
        <v>KOREA</v>
      </c>
      <c r="D24" s="11" t="str">
        <f>_xlfn.XLOOKUP($A24,Centrum[Индекс],Centrum[Container num./ 
№ контейнера],"",0,1)</f>
        <v>FESU5186442</v>
      </c>
      <c r="E24" s="11" t="str">
        <f>_xlfn.XLOOKUP($A24,Centrum[Индекс],Centrum[Supplier/
Поставщик],"",0,1)</f>
        <v>GM KOREA COMPANY</v>
      </c>
      <c r="F24" s="11" t="str">
        <f>_xlfn.XLOOKUP($A24,Centrum[Индекс],Centrum[Shippers invoice no/ 
Номер инвойса поставщика],"",1)</f>
        <v>TJAUZ37129A01</v>
      </c>
      <c r="G24" s="15">
        <f>_xlfn.XLOOKUP($A24,Centrum[Индекс],Centrum[Invoice value / Стоимость груза в к-ре по инвойсу],"",0,1)</f>
        <v>17480.04</v>
      </c>
      <c r="H24" s="14" t="s">
        <v>40</v>
      </c>
      <c r="I24" s="11">
        <f>_xlfn.XLOOKUP($A24,Centrum[Индекс],Centrum[CBM on the shipper/ 
CBM по поставщику],"",0,1)</f>
        <v>67.319999999999993</v>
      </c>
      <c r="J24" s="16">
        <f>_xlfn.XLOOKUP($A24,Centrum[Индекс],Centrum[Gross weight of cont// 
Гросс.вес по конт.],"",0,1)</f>
        <v>5890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KUNSAN (FOB/P-D)</v>
      </c>
      <c r="M24" s="11" t="str">
        <f>_xlfn.XLOOKUP($A24,Centrum[Индекс],Centrum[№ HBL date / 
№/ дата коносамента],"",0,1)</f>
        <v>FSIMPUAS229365</v>
      </c>
      <c r="N24" s="11" t="str">
        <f>_xlfn.XLOOKUP($A24,Centrum[Индекс],Centrum[№ MBL / 
№/ коносамента],"",0,1)</f>
        <v>FSCOPUVV386630</v>
      </c>
      <c r="O24" s="8">
        <f>(_xlfn.XLOOKUP($A24,Centrum[Индекс],Centrum[Date on board / Дата погрузки на судно],"",0,1))*1</f>
        <v>44979</v>
      </c>
      <c r="P24" s="8">
        <f>(_xlfn.XLOOKUP($A24,Centrum[Индекс],Centrum[Date of arrival to Sary-Agach/ Дата прибытия на Сары-Агач],"",0,1))*1</f>
        <v>45034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11600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11600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4" s="16">
        <f>_xlfn.XLOOKUP(Шаблон_Формулы[[#This Row],[21]],Курс_USD[Дата],Курс_USD[Курс],,0,1)</f>
        <v>11445.03</v>
      </c>
      <c r="W24" s="16">
        <f>Шаблон_Формулы!$T24*Шаблон_Формулы!$V24</f>
        <v>132762348.00000001</v>
      </c>
      <c r="Y24" s="16">
        <f>Шаблон_Формулы!$W24+Шаблон_Формулы!$X24</f>
        <v>132762348.00000001</v>
      </c>
      <c r="Z24" s="14" t="str">
        <f>_xlfn.XLOOKUP($A24,Centrum[Индекс],Centrum[Transport co invoice no/ 
Номер инвойса ТК],"",0,1)</f>
        <v>CNT-FS230001670</v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>CENTRUM AVIATION FZCO</v>
      </c>
      <c r="C25" s="11" t="str">
        <f>_xlfn.XLOOKUP($A25,Centrum[Индекс],Centrum[Country /  Страна],"",0,1)</f>
        <v>KOREA</v>
      </c>
      <c r="D25" s="11" t="str">
        <f>_xlfn.XLOOKUP($A25,Centrum[Индекс],Centrum[Container num./ 
№ контейнера],"",0,1)</f>
        <v>FESU5218262</v>
      </c>
      <c r="E25" s="11" t="str">
        <f>_xlfn.XLOOKUP($A25,Centrum[Индекс],Centrum[Supplier/
Поставщик],"",0,1)</f>
        <v>GM KOREA COMPANY</v>
      </c>
      <c r="F25" s="11" t="str">
        <f>_xlfn.XLOOKUP($A25,Centrum[Индекс],Centrum[Shippers invoice no/ 
Номер инвойса поставщика],"",1)</f>
        <v>TJAUZ37132C01</v>
      </c>
      <c r="G25" s="15">
        <f>_xlfn.XLOOKUP($A25,Centrum[Индекс],Centrum[Invoice value / Стоимость груза в к-ре по инвойсу],"",0,1)</f>
        <v>53268.2</v>
      </c>
      <c r="H25" s="14" t="s">
        <v>40</v>
      </c>
      <c r="I25" s="11">
        <f>_xlfn.XLOOKUP($A25,Centrum[Индекс],Centrum[CBM on the shipper/ 
CBM по поставщику],"",0,1)</f>
        <v>66.656000000000006</v>
      </c>
      <c r="J25" s="16">
        <f>_xlfn.XLOOKUP($A25,Centrum[Индекс],Centrum[Gross weight of cont// 
Гросс.вес по конт.],"",0,1)</f>
        <v>5381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(FOB/P-D)</v>
      </c>
      <c r="M25" s="11" t="str">
        <f>_xlfn.XLOOKUP($A25,Centrum[Индекс],Centrum[№ HBL date / 
№/ дата коносамента],"",0,1)</f>
        <v>FSIMPUAS229366</v>
      </c>
      <c r="N25" s="11" t="str">
        <f>_xlfn.XLOOKUP($A25,Centrum[Индекс],Centrum[№ MBL / 
№/ коносамента],"",0,1)</f>
        <v>FSCOPUVV386631</v>
      </c>
      <c r="O25" s="8">
        <f>(_xlfn.XLOOKUP($A25,Centrum[Индекс],Centrum[Date on board / Дата погрузки на судно],"",0,1))*1</f>
        <v>44979</v>
      </c>
      <c r="P25" s="8">
        <f>(_xlfn.XLOOKUP($A25,Centrum[Индекс],Centrum[Date of arrival to Sary-Agach/ Дата прибытия на Сары-Агач],"",0,1))*1</f>
        <v>45034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5" s="16">
        <f>_xlfn.XLOOKUP(Шаблон_Формулы[[#This Row],[21]],Курс_USD[Дата],Курс_USD[Курс],,0,1)</f>
        <v>11445.03</v>
      </c>
      <c r="W25" s="16">
        <f>Шаблон_Формулы!$T25*Шаблон_Формулы!$V25</f>
        <v>120745066.5</v>
      </c>
      <c r="Y25" s="16">
        <f>Шаблон_Формулы!$W25+Шаблон_Формулы!$X25</f>
        <v>120745066.5</v>
      </c>
      <c r="Z25" s="14" t="str">
        <f>_xlfn.XLOOKUP($A25,Centrum[Индекс],Centrum[Transport co invoice no/ 
Номер инвойса ТК],"",0,1)</f>
        <v>CNT-FS230001670</v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>CENTRUM AVIATION FZCO</v>
      </c>
      <c r="C26" s="11" t="str">
        <f>_xlfn.XLOOKUP($A26,Centrum[Индекс],Centrum[Country /  Страна],"",0,1)</f>
        <v>KOREA</v>
      </c>
      <c r="D26" s="11" t="str">
        <f>_xlfn.XLOOKUP($A26,Centrum[Индекс],Centrum[Container num./ 
№ контейнера],"",0,1)</f>
        <v>FESU5225976</v>
      </c>
      <c r="E26" s="11" t="str">
        <f>_xlfn.XLOOKUP($A26,Centrum[Индекс],Centrum[Supplier/
Поставщик],"",0,1)</f>
        <v>GM KOREA COMPANY</v>
      </c>
      <c r="F26" s="11" t="str">
        <f>_xlfn.XLOOKUP($A26,Centrum[Индекс],Centrum[Shippers invoice no/ 
Номер инвойса поставщика],"",1)</f>
        <v>TJAUZ37130A01</v>
      </c>
      <c r="G26" s="15">
        <f>_xlfn.XLOOKUP($A26,Centrum[Индекс],Centrum[Invoice value / Стоимость груза в к-ре по инвойсу],"",0,1)</f>
        <v>118100.32</v>
      </c>
      <c r="H26" s="14" t="s">
        <v>40</v>
      </c>
      <c r="I26" s="11">
        <f>_xlfn.XLOOKUP($A26,Centrum[Индекс],Centrum[CBM on the shipper/ 
CBM по поставщику],"",0,1)</f>
        <v>67.691000000000003</v>
      </c>
      <c r="J26" s="16">
        <f>_xlfn.XLOOKUP($A26,Centrum[Индекс],Centrum[Gross weight of cont// 
Гросс.вес по конт.],"",0,1)</f>
        <v>18208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INCHEON (FOB/P-D)</v>
      </c>
      <c r="M26" s="11" t="str">
        <f>_xlfn.XLOOKUP($A26,Centrum[Индекс],Centrum[№ HBL date / 
№/ дата коносамента],"",0,1)</f>
        <v>FSIMINAS229362</v>
      </c>
      <c r="N26" s="11" t="str">
        <f>_xlfn.XLOOKUP($A26,Centrum[Индекс],Centrum[№ MBL / 
№/ коносамента],"",0,1)</f>
        <v>FSCOPUVV386626</v>
      </c>
      <c r="O26" s="8">
        <f>(_xlfn.XLOOKUP($A26,Centrum[Индекс],Centrum[Date on board / Дата погрузки на судно],"",0,1))*1</f>
        <v>44979</v>
      </c>
      <c r="P26" s="8">
        <f>(_xlfn.XLOOKUP($A26,Centrum[Индекс],Centrum[Date of arrival to Sary-Agach/ Дата прибытия на Сары-Агач],"",0,1))*1</f>
        <v>45034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10850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10850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6" s="16">
        <f>_xlfn.XLOOKUP(Шаблон_Формулы[[#This Row],[21]],Курс_USD[Дата],Курс_USD[Курс],,0,1)</f>
        <v>11445.03</v>
      </c>
      <c r="W26" s="16">
        <f>Шаблон_Формулы!$T26*Шаблон_Формулы!$V26</f>
        <v>124178575.5</v>
      </c>
      <c r="Y26" s="16">
        <f>Шаблон_Формулы!$W26+Шаблон_Формулы!$X26</f>
        <v>124178575.5</v>
      </c>
      <c r="Z26" s="14" t="str">
        <f>_xlfn.XLOOKUP($A26,Centrum[Индекс],Centrum[Transport co invoice no/ 
Номер инвойса ТК],"",0,1)</f>
        <v>CNT-FS230001670</v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>CENTRUM AVIATION FZCO</v>
      </c>
      <c r="C27" s="11" t="str">
        <f>_xlfn.XLOOKUP($A27,Centrum[Индекс],Centrum[Country /  Страна],"",0,1)</f>
        <v>KOREA</v>
      </c>
      <c r="D27" s="11" t="str">
        <f>_xlfn.XLOOKUP($A27,Centrum[Индекс],Centrum[Container num./ 
№ контейнера],"",0,1)</f>
        <v>FESU5228050</v>
      </c>
      <c r="E27" s="11" t="str">
        <f>_xlfn.XLOOKUP($A27,Centrum[Индекс],Centrum[Supplier/
Поставщик],"",0,1)</f>
        <v>GM KOREA COMPANY</v>
      </c>
      <c r="F27" s="11" t="str">
        <f>_xlfn.XLOOKUP($A27,Centrum[Индекс],Centrum[Shippers invoice no/ 
Номер инвойса поставщика],"",1)</f>
        <v>TJAUZ37130A01</v>
      </c>
      <c r="G27" s="15">
        <f>_xlfn.XLOOKUP($A27,Centrum[Индекс],Centrum[Invoice value / Стоимость груза в к-ре по инвойсу],"",0,1)</f>
        <v>59273.72</v>
      </c>
      <c r="H27" s="14" t="s">
        <v>40</v>
      </c>
      <c r="I27" s="11">
        <f>_xlfn.XLOOKUP($A27,Centrum[Индекс],Centrum[CBM on the shipper/ 
CBM по поставщику],"",0,1)</f>
        <v>67.253</v>
      </c>
      <c r="J27" s="16">
        <f>_xlfn.XLOOKUP($A27,Centrum[Индекс],Centrum[Gross weight of cont// 
Гросс.вес по конт.],"",0,1)</f>
        <v>16672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INCHEON (FOB/P-D)</v>
      </c>
      <c r="M27" s="11" t="str">
        <f>_xlfn.XLOOKUP($A27,Centrum[Индекс],Centrum[№ HBL date / 
№/ дата коносамента],"",0,1)</f>
        <v>FSIMINAS229362</v>
      </c>
      <c r="N27" s="11" t="str">
        <f>_xlfn.XLOOKUP($A27,Centrum[Индекс],Centrum[№ MBL / 
№/ коносамента],"",0,1)</f>
        <v>FSCOPUVV386626</v>
      </c>
      <c r="O27" s="8">
        <f>(_xlfn.XLOOKUP($A27,Centrum[Индекс],Centrum[Date on board / Дата погрузки на судно],"",0,1))*1</f>
        <v>44979</v>
      </c>
      <c r="P27" s="8">
        <f>(_xlfn.XLOOKUP($A27,Centrum[Индекс],Centrum[Date of arrival to Sary-Agach/ Дата прибытия на Сары-Агач],"",0,1))*1</f>
        <v>45034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10850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10850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7" s="16">
        <f>_xlfn.XLOOKUP(Шаблон_Формулы[[#This Row],[21]],Курс_USD[Дата],Курс_USD[Курс],,0,1)</f>
        <v>11445.03</v>
      </c>
      <c r="W27" s="16">
        <f>Шаблон_Формулы!$T27*Шаблон_Формулы!$V27</f>
        <v>124178575.5</v>
      </c>
      <c r="Y27" s="16">
        <f>Шаблон_Формулы!$W27+Шаблон_Формулы!$X27</f>
        <v>124178575.5</v>
      </c>
      <c r="Z27" s="14" t="str">
        <f>_xlfn.XLOOKUP($A27,Centrum[Индекс],Centrum[Transport co invoice no/ 
Номер инвойса ТК],"",0,1)</f>
        <v>CNT-FS230001670</v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>CENTRUM AVIATION FZCO</v>
      </c>
      <c r="C28" s="11" t="str">
        <f>_xlfn.XLOOKUP($A28,Centrum[Индекс],Centrum[Country /  Страна],"",0,1)</f>
        <v>KOREA</v>
      </c>
      <c r="D28" s="11" t="str">
        <f>_xlfn.XLOOKUP($A28,Centrum[Индекс],Centrum[Container num./ 
№ контейнера],"",0,1)</f>
        <v>FESU5233924</v>
      </c>
      <c r="E28" s="11" t="str">
        <f>_xlfn.XLOOKUP($A28,Centrum[Индекс],Centrum[Supplier/
Поставщик],"",0,1)</f>
        <v>GM KOREA COMPANY</v>
      </c>
      <c r="F28" s="11" t="str">
        <f>_xlfn.XLOOKUP($A28,Centrum[Индекс],Centrum[Shippers invoice no/ 
Номер инвойса поставщика],"",1)</f>
        <v>TJAUZ37129A01</v>
      </c>
      <c r="G28" s="15">
        <f>_xlfn.XLOOKUP($A28,Centrum[Индекс],Centrum[Invoice value / Стоимость груза в к-ре по инвойсу],"",0,1)</f>
        <v>20059.12</v>
      </c>
      <c r="H28" s="14" t="s">
        <v>40</v>
      </c>
      <c r="I28" s="11">
        <f>_xlfn.XLOOKUP($A28,Centrum[Индекс],Centrum[CBM on the shipper/ 
CBM по поставщику],"",0,1)</f>
        <v>67.637</v>
      </c>
      <c r="J28" s="16">
        <f>_xlfn.XLOOKUP($A28,Centrum[Индекс],Centrum[Gross weight of cont// 
Гросс.вес по конт.],"",0,1)</f>
        <v>7142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KUNSAN (FOB/P-D)</v>
      </c>
      <c r="M28" s="11" t="str">
        <f>_xlfn.XLOOKUP($A28,Centrum[Индекс],Centrum[№ HBL date / 
№/ дата коносамента],"",0,1)</f>
        <v>FSIMPUAS229365</v>
      </c>
      <c r="N28" s="11" t="str">
        <f>_xlfn.XLOOKUP($A28,Centrum[Индекс],Centrum[№ MBL / 
№/ коносамента],"",0,1)</f>
        <v>FSCOPUVV386630</v>
      </c>
      <c r="O28" s="8">
        <f>(_xlfn.XLOOKUP($A28,Centrum[Индекс],Centrum[Date on board / Дата погрузки на судно],"",0,1))*1</f>
        <v>44979</v>
      </c>
      <c r="P28" s="8">
        <f>(_xlfn.XLOOKUP($A28,Centrum[Индекс],Centrum[Date of arrival to Sary-Agach/ Дата прибытия на Сары-Агач],"",0,1))*1</f>
        <v>45034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11600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11600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8" s="16">
        <f>_xlfn.XLOOKUP(Шаблон_Формулы[[#This Row],[21]],Курс_USD[Дата],Курс_USD[Курс],,0,1)</f>
        <v>11445.03</v>
      </c>
      <c r="W28" s="16">
        <f>Шаблон_Формулы!$T28*Шаблон_Формулы!$V28</f>
        <v>132762348.00000001</v>
      </c>
      <c r="Y28" s="16">
        <f>Шаблон_Формулы!$W28+Шаблон_Формулы!$X28</f>
        <v>132762348.00000001</v>
      </c>
      <c r="Z28" s="14" t="str">
        <f>_xlfn.XLOOKUP($A28,Centrum[Индекс],Centrum[Transport co invoice no/ 
Номер инвойса ТК],"",0,1)</f>
        <v>CNT-FS230001670</v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>CENTRUM AVIATION FZCO</v>
      </c>
      <c r="C29" s="11" t="str">
        <f>_xlfn.XLOOKUP($A29,Centrum[Индекс],Centrum[Country /  Страна],"",0,1)</f>
        <v>KOREA</v>
      </c>
      <c r="D29" s="11" t="str">
        <f>_xlfn.XLOOKUP($A29,Centrum[Индекс],Centrum[Container num./ 
№ контейнера],"",0,1)</f>
        <v>FESU5259404</v>
      </c>
      <c r="E29" s="11" t="str">
        <f>_xlfn.XLOOKUP($A29,Centrum[Индекс],Centrum[Supplier/
Поставщик],"",0,1)</f>
        <v>GM KOREA COMPANY</v>
      </c>
      <c r="F29" s="11" t="str">
        <f>_xlfn.XLOOKUP($A29,Centrum[Индекс],Centrum[Shippers invoice no/ 
Номер инвойса поставщика],"",1)</f>
        <v>TJAUZ37129A01</v>
      </c>
      <c r="G29" s="15">
        <f>_xlfn.XLOOKUP($A29,Centrum[Индекс],Centrum[Invoice value / Стоимость груза в к-ре по инвойсу],"",0,1)</f>
        <v>19490.98</v>
      </c>
      <c r="H29" s="14" t="s">
        <v>40</v>
      </c>
      <c r="I29" s="11">
        <f>_xlfn.XLOOKUP($A29,Centrum[Индекс],Centrum[CBM on the shipper/ 
CBM по поставщику],"",0,1)</f>
        <v>67.488</v>
      </c>
      <c r="J29" s="16">
        <f>_xlfn.XLOOKUP($A29,Centrum[Индекс],Centrum[Gross weight of cont// 
Гросс.вес по конт.],"",0,1)</f>
        <v>6163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KUNSAN (FOB/P-D)</v>
      </c>
      <c r="M29" s="11" t="str">
        <f>_xlfn.XLOOKUP($A29,Centrum[Индекс],Centrum[№ HBL date / 
№/ дата коносамента],"",0,1)</f>
        <v>FSIMPUAS229365</v>
      </c>
      <c r="N29" s="11" t="str">
        <f>_xlfn.XLOOKUP($A29,Centrum[Индекс],Centrum[№ MBL / 
№/ коносамента],"",0,1)</f>
        <v>FSCOPUVV386630</v>
      </c>
      <c r="O29" s="8">
        <f>(_xlfn.XLOOKUP($A29,Centrum[Индекс],Centrum[Date on board / Дата погрузки на судно],"",0,1))*1</f>
        <v>44979</v>
      </c>
      <c r="P29" s="8">
        <f>(_xlfn.XLOOKUP($A29,Centrum[Индекс],Centrum[Date of arrival to Sary-Agach/ Дата прибытия на Сары-Агач],"",0,1))*1</f>
        <v>45034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11600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11600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9" s="16">
        <f>_xlfn.XLOOKUP(Шаблон_Формулы[[#This Row],[21]],Курс_USD[Дата],Курс_USD[Курс],,0,1)</f>
        <v>11445.03</v>
      </c>
      <c r="W29" s="16">
        <f>Шаблон_Формулы!$T29*Шаблон_Формулы!$V29</f>
        <v>132762348.00000001</v>
      </c>
      <c r="Y29" s="16">
        <f>Шаблон_Формулы!$W29+Шаблон_Формулы!$X29</f>
        <v>132762348.00000001</v>
      </c>
      <c r="Z29" s="14" t="str">
        <f>_xlfn.XLOOKUP($A29,Centrum[Индекс],Centrum[Transport co invoice no/ 
Номер инвойса ТК],"",0,1)</f>
        <v>CNT-FS230001670</v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>CENTRUM AVIATION FZCO</v>
      </c>
      <c r="C30" s="11" t="str">
        <f>_xlfn.XLOOKUP($A30,Centrum[Индекс],Centrum[Country /  Страна],"",0,1)</f>
        <v>KOREA</v>
      </c>
      <c r="D30" s="11" t="str">
        <f>_xlfn.XLOOKUP($A30,Centrum[Индекс],Centrum[Container num./ 
№ контейнера],"",0,1)</f>
        <v>FESU5266743</v>
      </c>
      <c r="E30" s="11" t="str">
        <f>_xlfn.XLOOKUP($A30,Centrum[Индекс],Centrum[Supplier/
Поставщик],"",0,1)</f>
        <v>GM KOREA COMPANY</v>
      </c>
      <c r="F30" s="11" t="str">
        <f>_xlfn.XLOOKUP($A30,Centrum[Индекс],Centrum[Shippers invoice no/ 
Номер инвойса поставщика],"",1)</f>
        <v>TJAUZ37116A01</v>
      </c>
      <c r="G30" s="15">
        <f>_xlfn.XLOOKUP($A30,Centrum[Индекс],Centrum[Invoice value / Стоимость груза в к-ре по инвойсу],"",0,1)</f>
        <v>24850.28</v>
      </c>
      <c r="H30" s="14" t="s">
        <v>40</v>
      </c>
      <c r="I30" s="11">
        <f>_xlfn.XLOOKUP($A30,Centrum[Индекс],Centrum[CBM on the shipper/ 
CBM по поставщику],"",0,1)</f>
        <v>67.83</v>
      </c>
      <c r="J30" s="16">
        <f>_xlfn.XLOOKUP($A30,Centrum[Индекс],Centrum[Gross weight of cont// 
Гросс.вес по конт.],"",0,1)</f>
        <v>7854</v>
      </c>
      <c r="K30" s="17" t="str">
        <f>_xlfn.XLOOKUP($A30,Centrum[Индекс],Centrum[Route/ Маршрут (TSR/TCR)],"",0,1)</f>
        <v>TSR</v>
      </c>
      <c r="L30" s="11" t="str">
        <f>_xlfn.XLOOKUP($A30,Centrum[Индекс],Centrum[Условия поставки],"",0,1)</f>
        <v>KUNSAN (FOB/P-D)</v>
      </c>
      <c r="M30" s="11" t="str">
        <f>_xlfn.XLOOKUP($A30,Centrum[Индекс],Centrum[№ HBL date / 
№/ дата коносамента],"",0,1)</f>
        <v>FSIMPUAS229341</v>
      </c>
      <c r="N30" s="11" t="str">
        <f>_xlfn.XLOOKUP($A30,Centrum[Индекс],Centrum[№ MBL / 
№/ коносамента],"",0,1)</f>
        <v>FSCOPUVV386541</v>
      </c>
      <c r="O30" s="8">
        <f>(_xlfn.XLOOKUP($A30,Centrum[Индекс],Centrum[Date on board / Дата погрузки на судно],"",0,1))*1</f>
        <v>44971</v>
      </c>
      <c r="P30" s="8">
        <f>(_xlfn.XLOOKUP($A30,Centrum[Индекс],Centrum[Date of arrival to Sary-Agach/ Дата прибытия на Сары-Агач],"",0,1))*1</f>
        <v>45034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11600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11600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0" s="16">
        <f>_xlfn.XLOOKUP(Шаблон_Формулы[[#This Row],[21]],Курс_USD[Дата],Курс_USD[Курс],,0,1)</f>
        <v>11445.03</v>
      </c>
      <c r="W30" s="16">
        <f>Шаблон_Формулы!$T30*Шаблон_Формулы!$V30</f>
        <v>132762348.00000001</v>
      </c>
      <c r="Y30" s="16">
        <f>Шаблон_Формулы!$W30+Шаблон_Формулы!$X30</f>
        <v>132762348.00000001</v>
      </c>
      <c r="Z30" s="14" t="str">
        <f>_xlfn.XLOOKUP($A30,Centrum[Индекс],Centrum[Transport co invoice no/ 
Номер инвойса ТК],"",0,1)</f>
        <v>CNT-FS230001670</v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>CENTRUM AVIATION FZCO</v>
      </c>
      <c r="C31" s="11" t="str">
        <f>_xlfn.XLOOKUP($A31,Centrum[Индекс],Centrum[Country /  Страна],"",0,1)</f>
        <v>KOREA</v>
      </c>
      <c r="D31" s="11" t="str">
        <f>_xlfn.XLOOKUP($A31,Centrum[Индекс],Centrum[Container num./ 
№ контейнера],"",0,1)</f>
        <v>FESU5267101</v>
      </c>
      <c r="E31" s="11" t="str">
        <f>_xlfn.XLOOKUP($A31,Centrum[Индекс],Centrum[Supplier/
Поставщик],"",0,1)</f>
        <v>GM KOREA COMPANY</v>
      </c>
      <c r="F31" s="11" t="str">
        <f>_xlfn.XLOOKUP($A31,Centrum[Индекс],Centrum[Shippers invoice no/ 
Номер инвойса поставщика],"",1)</f>
        <v>TJAUZ37116A01</v>
      </c>
      <c r="G31" s="15">
        <f>_xlfn.XLOOKUP($A31,Centrum[Индекс],Centrum[Invoice value / Стоимость груза в к-ре по инвойсу],"",0,1)</f>
        <v>25218.44</v>
      </c>
      <c r="H31" s="14" t="s">
        <v>40</v>
      </c>
      <c r="I31" s="11">
        <f>_xlfn.XLOOKUP($A31,Centrum[Индекс],Centrum[CBM on the shipper/ 
CBM по поставщику],"",0,1)</f>
        <v>67.83</v>
      </c>
      <c r="J31" s="16">
        <f>_xlfn.XLOOKUP($A31,Centrum[Индекс],Centrum[Gross weight of cont// 
Гросс.вес по конт.],"",0,1)</f>
        <v>7994</v>
      </c>
      <c r="K31" s="17" t="str">
        <f>_xlfn.XLOOKUP($A31,Centrum[Индекс],Centrum[Route/ Маршрут (TSR/TCR)],"",0,1)</f>
        <v>TSR</v>
      </c>
      <c r="L31" s="11" t="str">
        <f>_xlfn.XLOOKUP($A31,Centrum[Индекс],Centrum[Условия поставки],"",0,1)</f>
        <v>KUNSAN (FOB/P-D)</v>
      </c>
      <c r="M31" s="11" t="str">
        <f>_xlfn.XLOOKUP($A31,Centrum[Индекс],Centrum[№ HBL date / 
№/ дата коносамента],"",0,1)</f>
        <v>FSIMPUAS229341</v>
      </c>
      <c r="N31" s="11" t="str">
        <f>_xlfn.XLOOKUP($A31,Centrum[Индекс],Centrum[№ MBL / 
№/ коносамента],"",0,1)</f>
        <v>FSCOPUVV386541</v>
      </c>
      <c r="O31" s="8">
        <f>(_xlfn.XLOOKUP($A31,Centrum[Индекс],Centrum[Date on board / Дата погрузки на судно],"",0,1))*1</f>
        <v>44971</v>
      </c>
      <c r="P31" s="8">
        <f>(_xlfn.XLOOKUP($A31,Centrum[Индекс],Centrum[Date of arrival to Sary-Agach/ Дата прибытия на Сары-Агач],"",0,1))*1</f>
        <v>45034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11600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11600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1" s="16">
        <f>_xlfn.XLOOKUP(Шаблон_Формулы[[#This Row],[21]],Курс_USD[Дата],Курс_USD[Курс],,0,1)</f>
        <v>11445.03</v>
      </c>
      <c r="W31" s="16">
        <f>Шаблон_Формулы!$T31*Шаблон_Формулы!$V31</f>
        <v>132762348.00000001</v>
      </c>
      <c r="Y31" s="16">
        <f>Шаблон_Формулы!$W31+Шаблон_Формулы!$X31</f>
        <v>132762348.00000001</v>
      </c>
      <c r="Z31" s="14" t="str">
        <f>_xlfn.XLOOKUP($A31,Centrum[Индекс],Centrum[Transport co invoice no/ 
Номер инвойса ТК],"",0,1)</f>
        <v>CNT-FS230001670</v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>CENTRUM AVIATION FZCO</v>
      </c>
      <c r="C32" s="11" t="str">
        <f>_xlfn.XLOOKUP($A32,Centrum[Индекс],Centrum[Country /  Страна],"",0,1)</f>
        <v>KOREA</v>
      </c>
      <c r="D32" s="11" t="str">
        <f>_xlfn.XLOOKUP($A32,Centrum[Индекс],Centrum[Container num./ 
№ контейнера],"",0,1)</f>
        <v>FESU5270759</v>
      </c>
      <c r="E32" s="11" t="str">
        <f>_xlfn.XLOOKUP($A32,Centrum[Индекс],Centrum[Supplier/
Поставщик],"",0,1)</f>
        <v>GM KOREA COMPANY</v>
      </c>
      <c r="F32" s="11" t="str">
        <f>_xlfn.XLOOKUP($A32,Centrum[Индекс],Centrum[Shippers invoice no/ 
Номер инвойса поставщика],"",1)</f>
        <v>TJAUZ37133A01</v>
      </c>
      <c r="G32" s="15">
        <f>_xlfn.XLOOKUP($A32,Centrum[Индекс],Centrum[Invoice value / Стоимость груза в к-ре по инвойсу],"",0,1)</f>
        <v>98565.43</v>
      </c>
      <c r="H32" s="14" t="s">
        <v>40</v>
      </c>
      <c r="I32" s="11">
        <f>_xlfn.XLOOKUP($A32,Centrum[Индекс],Centrum[CBM on the shipper/ 
CBM по поставщику],"",0,1)</f>
        <v>67.488</v>
      </c>
      <c r="J32" s="16">
        <f>_xlfn.XLOOKUP($A32,Centrum[Индекс],Centrum[Gross weight of cont// 
Гросс.вес по конт.],"",0,1)</f>
        <v>8952</v>
      </c>
      <c r="K32" s="17" t="str">
        <f>_xlfn.XLOOKUP($A32,Centrum[Индекс],Centrum[Route/ Маршрут (TSR/TCR)],"",0,1)</f>
        <v>TSR</v>
      </c>
      <c r="L32" s="11" t="str">
        <f>_xlfn.XLOOKUP($A32,Centrum[Индекс],Centrum[Условия поставки],"",0,1)</f>
        <v>INCHEON (FOB/P-D)</v>
      </c>
      <c r="M32" s="11" t="str">
        <f>_xlfn.XLOOKUP($A32,Centrum[Индекс],Centrum[№ HBL date / 
№/ дата коносамента],"",0,1)</f>
        <v>FSIMINAS229363</v>
      </c>
      <c r="N32" s="11" t="str">
        <f>_xlfn.XLOOKUP($A32,Centrum[Индекс],Centrum[№ MBL / 
№/ коносамента],"",0,1)</f>
        <v>FSCOPUVV386627</v>
      </c>
      <c r="O32" s="8">
        <f>(_xlfn.XLOOKUP($A32,Centrum[Индекс],Centrum[Date on board / Дата погрузки на судно],"",0,1))*1</f>
        <v>44979</v>
      </c>
      <c r="P32" s="8">
        <f>(_xlfn.XLOOKUP($A32,Centrum[Индекс],Centrum[Date of arrival to Sary-Agach/ Дата прибытия на Сары-Агач],"",0,1))*1</f>
        <v>45034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10850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10850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2" s="16">
        <f>_xlfn.XLOOKUP(Шаблон_Формулы[[#This Row],[21]],Курс_USD[Дата],Курс_USD[Курс],,0,1)</f>
        <v>11445.03</v>
      </c>
      <c r="W32" s="16">
        <f>Шаблон_Формулы!$T32*Шаблон_Формулы!$V32</f>
        <v>124178575.5</v>
      </c>
      <c r="Y32" s="16">
        <f>Шаблон_Формулы!$W32+Шаблон_Формулы!$X32</f>
        <v>124178575.5</v>
      </c>
      <c r="Z32" s="14" t="str">
        <f>_xlfn.XLOOKUP($A32,Centrum[Индекс],Centrum[Transport co invoice no/ 
Номер инвойса ТК],"",0,1)</f>
        <v>CNT-FS230001670</v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>CENTRUM AVIATION FZCO</v>
      </c>
      <c r="C33" s="11" t="str">
        <f>_xlfn.XLOOKUP($A33,Centrum[Индекс],Centrum[Country /  Страна],"",0,1)</f>
        <v>KOREA</v>
      </c>
      <c r="D33" s="11" t="str">
        <f>_xlfn.XLOOKUP($A33,Centrum[Индекс],Centrum[Container num./ 
№ контейнера],"",0,1)</f>
        <v>FESU5278174</v>
      </c>
      <c r="E33" s="11" t="str">
        <f>_xlfn.XLOOKUP($A33,Centrum[Индекс],Centrum[Supplier/
Поставщик],"",0,1)</f>
        <v>GM KOREA COMPANY</v>
      </c>
      <c r="F33" s="11" t="str">
        <f>_xlfn.XLOOKUP($A33,Centrum[Индекс],Centrum[Shippers invoice no/ 
Номер инвойса поставщика],"",1)</f>
        <v>TJAUZ37132C01; UZ2302171S</v>
      </c>
      <c r="G33" s="15">
        <f>_xlfn.XLOOKUP($A33,Centrum[Индекс],Centrum[Invoice value / Стоимость груза в к-ре по инвойсу],"",0,1)</f>
        <v>130614</v>
      </c>
      <c r="H33" s="14" t="s">
        <v>40</v>
      </c>
      <c r="I33" s="11">
        <f>_xlfn.XLOOKUP($A33,Centrum[Индекс],Centrum[CBM on the shipper/ 
CBM по поставщику],"",0,1)</f>
        <v>44.722999999999999</v>
      </c>
      <c r="J33" s="16">
        <f>_xlfn.XLOOKUP($A33,Centrum[Индекс],Centrum[Gross weight of cont// 
Гросс.вес по конт.],"",0,1)</f>
        <v>20542</v>
      </c>
      <c r="K33" s="17" t="str">
        <f>_xlfn.XLOOKUP($A33,Centrum[Индекс],Centrum[Route/ Маршрут (TSR/TCR)],"",0,1)</f>
        <v>TSR</v>
      </c>
      <c r="L33" s="11" t="str">
        <f>_xlfn.XLOOKUP($A33,Centrum[Индекс],Centrum[Условия поставки],"",0,1)</f>
        <v>BUSAN (FOB/P-D)</v>
      </c>
      <c r="M33" s="11" t="str">
        <f>_xlfn.XLOOKUP($A33,Centrum[Индекс],Centrum[№ HBL date / 
№/ дата коносамента],"",0,1)</f>
        <v>FSIMPUAS229366; FSIMPUAS229367</v>
      </c>
      <c r="N33" s="11" t="str">
        <f>_xlfn.XLOOKUP($A33,Centrum[Индекс],Centrum[№ MBL / 
№/ коносамента],"",0,1)</f>
        <v>FSCOPUVV386631; FSCOPUVV386632</v>
      </c>
      <c r="O33" s="8">
        <f>(_xlfn.XLOOKUP($A33,Centrum[Индекс],Centrum[Date on board / Дата погрузки на судно],"",0,1))*1</f>
        <v>44979</v>
      </c>
      <c r="P33" s="8">
        <f>(_xlfn.XLOOKUP($A33,Centrum[Индекс],Centrum[Date of arrival to Sary-Agach/ Дата прибытия на Сары-Агач],"",0,1))*1</f>
        <v>45034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10550</v>
      </c>
      <c r="S33" s="16">
        <f>Шаблон_Формулы!$T33-Шаблон_Формулы!$R33</f>
        <v>-108.51000000000022</v>
      </c>
      <c r="T33" s="16">
        <f>_xlfn.XLOOKUP($A33,Centrum[Индекс],Centrum[Transportation total amount / Общая стоимость перевозки],0,0,1)</f>
        <v>10441.49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3" s="16">
        <f>_xlfn.XLOOKUP(Шаблон_Формулы[[#This Row],[21]],Курс_USD[Дата],Курс_USD[Курс],,0,1)</f>
        <v>11445.03</v>
      </c>
      <c r="W33" s="16">
        <f>Шаблон_Формулы!$T33*Шаблон_Формулы!$V33</f>
        <v>119503166.29470001</v>
      </c>
      <c r="Y33" s="16">
        <f>Шаблон_Формулы!$W33+Шаблон_Формулы!$X33</f>
        <v>119503166.29470001</v>
      </c>
      <c r="Z33" s="14" t="str">
        <f>_xlfn.XLOOKUP($A33,Centrum[Индекс],Centrum[Transport co invoice no/ 
Номер инвойса ТК],"",0,1)</f>
        <v>CNT-FS230001670</v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>CENTRUM AVIATION FZCO</v>
      </c>
      <c r="C34" s="11" t="str">
        <f>_xlfn.XLOOKUP($A34,Centrum[Индекс],Centrum[Country /  Страна],"",0,1)</f>
        <v>KOREA</v>
      </c>
      <c r="D34" s="11" t="str">
        <f>_xlfn.XLOOKUP($A34,Centrum[Индекс],Centrum[Container num./ 
№ контейнера],"",0,1)</f>
        <v>FESU5281500</v>
      </c>
      <c r="E34" s="11" t="str">
        <f>_xlfn.XLOOKUP($A34,Centrum[Индекс],Centrum[Supplier/
Поставщик],"",0,1)</f>
        <v>GM KOREA COMPANY</v>
      </c>
      <c r="F34" s="11" t="str">
        <f>_xlfn.XLOOKUP($A34,Centrum[Индекс],Centrum[Shippers invoice no/ 
Номер инвойса поставщика],"",1)</f>
        <v>TJAUZ37129A01</v>
      </c>
      <c r="G34" s="15">
        <f>_xlfn.XLOOKUP($A34,Centrum[Индекс],Centrum[Invoice value / Стоимость груза в к-ре по инвойсу],"",0,1)</f>
        <v>20184.2</v>
      </c>
      <c r="H34" s="14" t="s">
        <v>40</v>
      </c>
      <c r="I34" s="11">
        <f>_xlfn.XLOOKUP($A34,Centrum[Индекс],Centrum[CBM on the shipper/ 
CBM по поставщику],"",0,1)</f>
        <v>67.488</v>
      </c>
      <c r="J34" s="16">
        <f>_xlfn.XLOOKUP($A34,Centrum[Индекс],Centrum[Gross weight of cont// 
Гросс.вес по конт.],"",0,1)</f>
        <v>6979</v>
      </c>
      <c r="K34" s="17" t="str">
        <f>_xlfn.XLOOKUP($A34,Centrum[Индекс],Centrum[Route/ Маршрут (TSR/TCR)],"",0,1)</f>
        <v>TSR</v>
      </c>
      <c r="L34" s="11" t="str">
        <f>_xlfn.XLOOKUP($A34,Centrum[Индекс],Centrum[Условия поставки],"",0,1)</f>
        <v>KUNSAN (FOB/P-D)</v>
      </c>
      <c r="M34" s="11" t="str">
        <f>_xlfn.XLOOKUP($A34,Centrum[Индекс],Centrum[№ HBL date / 
№/ дата коносамента],"",0,1)</f>
        <v>FSIMPUAS229365</v>
      </c>
      <c r="N34" s="11" t="str">
        <f>_xlfn.XLOOKUP($A34,Centrum[Индекс],Centrum[№ MBL / 
№/ коносамента],"",0,1)</f>
        <v>FSCOPUVV386630</v>
      </c>
      <c r="O34" s="8">
        <f>(_xlfn.XLOOKUP($A34,Centrum[Индекс],Centrum[Date on board / Дата погрузки на судно],"",0,1))*1</f>
        <v>44979</v>
      </c>
      <c r="P34" s="8">
        <f>(_xlfn.XLOOKUP($A34,Centrum[Индекс],Centrum[Date of arrival to Sary-Agach/ Дата прибытия на Сары-Агач],"",0,1))*1</f>
        <v>45034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11600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11600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4" s="16">
        <f>_xlfn.XLOOKUP(Шаблон_Формулы[[#This Row],[21]],Курс_USD[Дата],Курс_USD[Курс],,0,1)</f>
        <v>11445.03</v>
      </c>
      <c r="W34" s="16">
        <f>Шаблон_Формулы!$T34*Шаблон_Формулы!$V34</f>
        <v>132762348.00000001</v>
      </c>
      <c r="Y34" s="16">
        <f>Шаблон_Формулы!$W34+Шаблон_Формулы!$X34</f>
        <v>132762348.00000001</v>
      </c>
      <c r="Z34" s="14" t="str">
        <f>_xlfn.XLOOKUP($A34,Centrum[Индекс],Centrum[Transport co invoice no/ 
Номер инвойса ТК],"",0,1)</f>
        <v>CNT-FS230001670</v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>CENTRUM AVIATION FZCO</v>
      </c>
      <c r="C35" s="11" t="str">
        <f>_xlfn.XLOOKUP($A35,Centrum[Индекс],Centrum[Country /  Страна],"",0,1)</f>
        <v>KOREA</v>
      </c>
      <c r="D35" s="11" t="str">
        <f>_xlfn.XLOOKUP($A35,Centrum[Индекс],Centrum[Container num./ 
№ контейнера],"",0,1)</f>
        <v>FESU5287237</v>
      </c>
      <c r="E35" s="11" t="str">
        <f>_xlfn.XLOOKUP($A35,Centrum[Индекс],Centrum[Supplier/
Поставщик],"",0,1)</f>
        <v>GM KOREA COMPANY</v>
      </c>
      <c r="F35" s="11" t="str">
        <f>_xlfn.XLOOKUP($A35,Centrum[Индекс],Centrum[Shippers invoice no/ 
Номер инвойса поставщика],"",1)</f>
        <v>TJAUZ37132C01</v>
      </c>
      <c r="G35" s="15">
        <f>_xlfn.XLOOKUP($A35,Centrum[Индекс],Centrum[Invoice value / Стоимость груза в к-ре по инвойсу],"",0,1)</f>
        <v>89139.78</v>
      </c>
      <c r="H35" s="14" t="s">
        <v>40</v>
      </c>
      <c r="I35" s="11">
        <f>_xlfn.XLOOKUP($A35,Centrum[Индекс],Centrum[CBM on the shipper/ 
CBM по поставщику],"",0,1)</f>
        <v>65.197000000000003</v>
      </c>
      <c r="J35" s="16">
        <f>_xlfn.XLOOKUP($A35,Centrum[Индекс],Centrum[Gross weight of cont// 
Гросс.вес по конт.],"",0,1)</f>
        <v>10553</v>
      </c>
      <c r="K35" s="17" t="str">
        <f>_xlfn.XLOOKUP($A35,Centrum[Индекс],Centrum[Route/ Маршрут (TSR/TCR)],"",0,1)</f>
        <v>TSR</v>
      </c>
      <c r="L35" s="11" t="str">
        <f>_xlfn.XLOOKUP($A35,Centrum[Индекс],Centrum[Условия поставки],"",0,1)</f>
        <v>BUSAN (FOB/P-D)</v>
      </c>
      <c r="M35" s="11" t="str">
        <f>_xlfn.XLOOKUP($A35,Centrum[Индекс],Centrum[№ HBL date / 
№/ дата коносамента],"",0,1)</f>
        <v>FSIMPUAS229366</v>
      </c>
      <c r="N35" s="11" t="str">
        <f>_xlfn.XLOOKUP($A35,Centrum[Индекс],Centrum[№ MBL / 
№/ коносамента],"",0,1)</f>
        <v>FSCOPUVV386631</v>
      </c>
      <c r="O35" s="8">
        <f>(_xlfn.XLOOKUP($A35,Centrum[Индекс],Centrum[Date on board / Дата погрузки на судно],"",0,1))*1</f>
        <v>44979</v>
      </c>
      <c r="P35" s="8">
        <f>(_xlfn.XLOOKUP($A35,Centrum[Индекс],Centrum[Date of arrival to Sary-Agach/ Дата прибытия на Сары-Агач],"",0,1))*1</f>
        <v>45034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10550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10550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5" s="16">
        <f>_xlfn.XLOOKUP(Шаблон_Формулы[[#This Row],[21]],Курс_USD[Дата],Курс_USD[Курс],,0,1)</f>
        <v>11445.03</v>
      </c>
      <c r="W35" s="16">
        <f>Шаблон_Формулы!$T35*Шаблон_Формулы!$V35</f>
        <v>120745066.5</v>
      </c>
      <c r="Y35" s="16">
        <f>Шаблон_Формулы!$W35+Шаблон_Формулы!$X35</f>
        <v>120745066.5</v>
      </c>
      <c r="Z35" s="14" t="str">
        <f>_xlfn.XLOOKUP($A35,Centrum[Индекс],Centrum[Transport co invoice no/ 
Номер инвойса ТК],"",0,1)</f>
        <v>CNT-FS230001670</v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>CENTRUM AVIATION FZCO</v>
      </c>
      <c r="C36" s="11" t="str">
        <f>_xlfn.XLOOKUP($A36,Centrum[Индекс],Centrum[Country /  Страна],"",0,1)</f>
        <v>KOREA</v>
      </c>
      <c r="D36" s="11" t="str">
        <f>_xlfn.XLOOKUP($A36,Centrum[Индекс],Centrum[Container num./ 
№ контейнера],"",0,1)</f>
        <v>FESU5299217</v>
      </c>
      <c r="E36" s="11" t="str">
        <f>_xlfn.XLOOKUP($A36,Centrum[Индекс],Centrum[Supplier/
Поставщик],"",0,1)</f>
        <v>GM KOREA COMPANY</v>
      </c>
      <c r="F36" s="11" t="str">
        <f>_xlfn.XLOOKUP($A36,Centrum[Индекс],Centrum[Shippers invoice no/ 
Номер инвойса поставщика],"",1)</f>
        <v>TJAUZ37130A01</v>
      </c>
      <c r="G36" s="15">
        <f>_xlfn.XLOOKUP($A36,Centrum[Индекс],Centrum[Invoice value / Стоимость груза в к-ре по инвойсу],"",0,1)</f>
        <v>234349.26</v>
      </c>
      <c r="H36" s="14" t="s">
        <v>40</v>
      </c>
      <c r="I36" s="11">
        <f>_xlfn.XLOOKUP($A36,Centrum[Индекс],Centrum[CBM on the shipper/ 
CBM по поставщику],"",0,1)</f>
        <v>68.234999999999999</v>
      </c>
      <c r="J36" s="16">
        <f>_xlfn.XLOOKUP($A36,Centrum[Индекс],Centrum[Gross weight of cont// 
Гросс.вес по конт.],"",0,1)</f>
        <v>18727</v>
      </c>
      <c r="K36" s="17" t="str">
        <f>_xlfn.XLOOKUP($A36,Centrum[Индекс],Centrum[Route/ Маршрут (TSR/TCR)],"",0,1)</f>
        <v>TSR</v>
      </c>
      <c r="L36" s="11" t="str">
        <f>_xlfn.XLOOKUP($A36,Centrum[Индекс],Centrum[Условия поставки],"",0,1)</f>
        <v>INCHEON (FOB/P-D)</v>
      </c>
      <c r="M36" s="11" t="str">
        <f>_xlfn.XLOOKUP($A36,Centrum[Индекс],Centrum[№ HBL date / 
№/ дата коносамента],"",0,1)</f>
        <v>FSIMINAS229362</v>
      </c>
      <c r="N36" s="11" t="str">
        <f>_xlfn.XLOOKUP($A36,Centrum[Индекс],Centrum[№ MBL / 
№/ коносамента],"",0,1)</f>
        <v>FSCOPUVV386626</v>
      </c>
      <c r="O36" s="8">
        <f>(_xlfn.XLOOKUP($A36,Centrum[Индекс],Centrum[Date on board / Дата погрузки на судно],"",0,1))*1</f>
        <v>44979</v>
      </c>
      <c r="P36" s="8">
        <f>(_xlfn.XLOOKUP($A36,Centrum[Индекс],Centrum[Date of arrival to Sary-Agach/ Дата прибытия на Сары-Агач],"",0,1))*1</f>
        <v>45034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10850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10850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6" s="16">
        <f>_xlfn.XLOOKUP(Шаблон_Формулы[[#This Row],[21]],Курс_USD[Дата],Курс_USD[Курс],,0,1)</f>
        <v>11445.03</v>
      </c>
      <c r="W36" s="16">
        <f>Шаблон_Формулы!$T36*Шаблон_Формулы!$V36</f>
        <v>124178575.5</v>
      </c>
      <c r="Y36" s="16">
        <f>Шаблон_Формулы!$W36+Шаблон_Формулы!$X36</f>
        <v>124178575.5</v>
      </c>
      <c r="Z36" s="14" t="str">
        <f>_xlfn.XLOOKUP($A36,Centrum[Индекс],Centrum[Transport co invoice no/ 
Номер инвойса ТК],"",0,1)</f>
        <v>CNT-FS230001670</v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>CENTRUM AVIATION FZCO</v>
      </c>
      <c r="C37" s="11" t="str">
        <f>_xlfn.XLOOKUP($A37,Centrum[Индекс],Centrum[Country /  Страна],"",0,1)</f>
        <v>KOREA</v>
      </c>
      <c r="D37" s="11" t="str">
        <f>_xlfn.XLOOKUP($A37,Centrum[Индекс],Centrum[Container num./ 
№ контейнера],"",0,1)</f>
        <v>FESU5310830</v>
      </c>
      <c r="E37" s="11" t="str">
        <f>_xlfn.XLOOKUP($A37,Centrum[Индекс],Centrum[Supplier/
Поставщик],"",0,1)</f>
        <v>GM KOREA COMPANY</v>
      </c>
      <c r="F37" s="11" t="str">
        <f>_xlfn.XLOOKUP($A37,Centrum[Индекс],Centrum[Shippers invoice no/ 
Номер инвойса поставщика],"",1)</f>
        <v>TJAUZ37130A01</v>
      </c>
      <c r="G37" s="15">
        <f>_xlfn.XLOOKUP($A37,Centrum[Индекс],Centrum[Invoice value / Стоимость груза в к-ре по инвойсу],"",0,1)</f>
        <v>72398.86</v>
      </c>
      <c r="H37" s="14" t="s">
        <v>40</v>
      </c>
      <c r="I37" s="11">
        <f>_xlfn.XLOOKUP($A37,Centrum[Индекс],Centrum[CBM on the shipper/ 
CBM по поставщику],"",0,1)</f>
        <v>67.353999999999999</v>
      </c>
      <c r="J37" s="16">
        <f>_xlfn.XLOOKUP($A37,Centrum[Индекс],Centrum[Gross weight of cont// 
Гросс.вес по конт.],"",0,1)</f>
        <v>15164</v>
      </c>
      <c r="K37" s="17" t="str">
        <f>_xlfn.XLOOKUP($A37,Centrum[Индекс],Centrum[Route/ Маршрут (TSR/TCR)],"",0,1)</f>
        <v>TSR</v>
      </c>
      <c r="L37" s="11" t="str">
        <f>_xlfn.XLOOKUP($A37,Centrum[Индекс],Centrum[Условия поставки],"",0,1)</f>
        <v>INCHEON (FOB/P-D)</v>
      </c>
      <c r="M37" s="11" t="str">
        <f>_xlfn.XLOOKUP($A37,Centrum[Индекс],Centrum[№ HBL date / 
№/ дата коносамента],"",0,1)</f>
        <v>FSIMINAS229362</v>
      </c>
      <c r="N37" s="11" t="str">
        <f>_xlfn.XLOOKUP($A37,Centrum[Индекс],Centrum[№ MBL / 
№/ коносамента],"",0,1)</f>
        <v>FSCOPUVV386626</v>
      </c>
      <c r="O37" s="8">
        <f>(_xlfn.XLOOKUP($A37,Centrum[Индекс],Centrum[Date on board / Дата погрузки на судно],"",0,1))*1</f>
        <v>44979</v>
      </c>
      <c r="P37" s="8">
        <f>(_xlfn.XLOOKUP($A37,Centrum[Индекс],Centrum[Date of arrival to Sary-Agach/ Дата прибытия на Сары-Агач],"",0,1))*1</f>
        <v>45034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10850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10850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7" s="16">
        <f>_xlfn.XLOOKUP(Шаблон_Формулы[[#This Row],[21]],Курс_USD[Дата],Курс_USD[Курс],,0,1)</f>
        <v>11445.03</v>
      </c>
      <c r="W37" s="16">
        <f>Шаблон_Формулы!$T37*Шаблон_Формулы!$V37</f>
        <v>124178575.5</v>
      </c>
      <c r="Y37" s="16">
        <f>Шаблон_Формулы!$W37+Шаблон_Формулы!$X37</f>
        <v>124178575.5</v>
      </c>
      <c r="Z37" s="14" t="str">
        <f>_xlfn.XLOOKUP($A37,Centrum[Индекс],Centrum[Transport co invoice no/ 
Номер инвойса ТК],"",0,1)</f>
        <v>CNT-FS230001670</v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>CENTRUM AVIATION FZCO</v>
      </c>
      <c r="C38" s="11" t="str">
        <f>_xlfn.XLOOKUP($A38,Centrum[Индекс],Centrum[Country /  Страна],"",0,1)</f>
        <v>KOREA</v>
      </c>
      <c r="D38" s="11" t="str">
        <f>_xlfn.XLOOKUP($A38,Centrum[Индекс],Centrum[Container num./ 
№ контейнера],"",0,1)</f>
        <v>FESU5318180</v>
      </c>
      <c r="E38" s="11" t="str">
        <f>_xlfn.XLOOKUP($A38,Centrum[Индекс],Centrum[Supplier/
Поставщик],"",0,1)</f>
        <v>GM KOREA COMPANY</v>
      </c>
      <c r="F38" s="11" t="str">
        <f>_xlfn.XLOOKUP($A38,Centrum[Индекс],Centrum[Shippers invoice no/ 
Номер инвойса поставщика],"",1)</f>
        <v>TJAUZ37118C01,  UZ2302132S</v>
      </c>
      <c r="G38" s="15">
        <f>_xlfn.XLOOKUP($A38,Centrum[Индекс],Centrum[Invoice value / Стоимость груза в к-ре по инвойсу],"",0,1)</f>
        <v>56812.639999999999</v>
      </c>
      <c r="H38" s="14" t="s">
        <v>40</v>
      </c>
      <c r="I38" s="11">
        <f>_xlfn.XLOOKUP($A38,Centrum[Индекс],Centrum[CBM on the shipper/ 
CBM по поставщику],"",0,1)</f>
        <v>66.25</v>
      </c>
      <c r="J38" s="16">
        <f>_xlfn.XLOOKUP($A38,Centrum[Индекс],Centrum[Gross weight of cont// 
Гросс.вес по конт.],"",0,1)</f>
        <v>5370</v>
      </c>
      <c r="K38" s="17" t="str">
        <f>_xlfn.XLOOKUP($A38,Centrum[Индекс],Centrum[Route/ Маршрут (TSR/TCR)],"",0,1)</f>
        <v>TSR</v>
      </c>
      <c r="L38" s="11" t="str">
        <f>_xlfn.XLOOKUP($A38,Centrum[Индекс],Centrum[Условия поставки],"",0,1)</f>
        <v>BUSAN (FOB/P-D)</v>
      </c>
      <c r="M38" s="11" t="str">
        <f>_xlfn.XLOOKUP($A38,Centrum[Индекс],Centrum[№ HBL date / 
№/ дата коносамента],"",0,1)</f>
        <v>FSIMPUAS229339; FSIMPUAS229340</v>
      </c>
      <c r="N38" s="11" t="str">
        <f>_xlfn.XLOOKUP($A38,Centrum[Индекс],Centrum[№ MBL / 
№/ коносамента],"",0,1)</f>
        <v>FSCOPUVV386539; FSCOPUVV386540</v>
      </c>
      <c r="O38" s="8">
        <f>(_xlfn.XLOOKUP($A38,Centrum[Индекс],Centrum[Date on board / Дата погрузки на судно],"",0,1))*1</f>
        <v>44971</v>
      </c>
      <c r="P38" s="8">
        <f>(_xlfn.XLOOKUP($A38,Centrum[Индекс],Centrum[Date of arrival to Sary-Agach/ Дата прибытия на Сары-Агач],"",0,1))*1</f>
        <v>45034</v>
      </c>
      <c r="Q38" s="14" t="str">
        <f>_xlfn.XLOOKUP($A38,Centrum[Индекс],Centrum[Container type/ 
Тип контейнера],"",0,1)</f>
        <v>40'HC</v>
      </c>
      <c r="R38" s="16">
        <f>_xlfn.XLOOKUP($A38,Centrum[Индекс],Centrum[Transportation cost per supplier/ 
Cтоимость перевозки по поставщикам],0,0,1)</f>
        <v>10550</v>
      </c>
      <c r="S38" s="16">
        <f>Шаблон_Формулы!$T38-Шаблон_Формулы!$R38</f>
        <v>-73.25</v>
      </c>
      <c r="T38" s="16">
        <f>_xlfn.XLOOKUP($A38,Centrum[Индекс],Centrum[Transportation total amount / Общая стоимость перевозки],0,0,1)</f>
        <v>10476.75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8" s="16">
        <f>_xlfn.XLOOKUP(Шаблон_Формулы[[#This Row],[21]],Курс_USD[Дата],Курс_USD[Курс],,0,1)</f>
        <v>11445.03</v>
      </c>
      <c r="W38" s="16">
        <f>Шаблон_Формулы!$T38*Шаблон_Формулы!$V38</f>
        <v>119906718.05250001</v>
      </c>
      <c r="Y38" s="16">
        <f>Шаблон_Формулы!$W38+Шаблон_Формулы!$X38</f>
        <v>119906718.05250001</v>
      </c>
      <c r="Z38" s="14" t="str">
        <f>_xlfn.XLOOKUP($A38,Centrum[Индекс],Centrum[Transport co invoice no/ 
Номер инвойса ТК],"",0,1)</f>
        <v>CNT-FS230001670</v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>CENTRUM AVIATION FZCO</v>
      </c>
      <c r="C39" s="11" t="str">
        <f>_xlfn.XLOOKUP($A39,Centrum[Индекс],Centrum[Country /  Страна],"",0,1)</f>
        <v>KOREA</v>
      </c>
      <c r="D39" s="11" t="str">
        <f>_xlfn.XLOOKUP($A39,Centrum[Индекс],Centrum[Container num./ 
№ контейнера],"",0,1)</f>
        <v>FESU5326987</v>
      </c>
      <c r="E39" s="11" t="str">
        <f>_xlfn.XLOOKUP($A39,Centrum[Индекс],Centrum[Supplier/
Поставщик],"",0,1)</f>
        <v>GM KOREA COMPANY</v>
      </c>
      <c r="F39" s="11" t="str">
        <f>_xlfn.XLOOKUP($A39,Centrum[Индекс],Centrum[Shippers invoice no/ 
Номер инвойса поставщика],"",1)</f>
        <v>TJAUZ37125C01</v>
      </c>
      <c r="G39" s="15">
        <f>_xlfn.XLOOKUP($A39,Centrum[Индекс],Centrum[Invoice value / Стоимость груза в к-ре по инвойсу],"",0,1)</f>
        <v>136795.68</v>
      </c>
      <c r="H39" s="14" t="s">
        <v>40</v>
      </c>
      <c r="I39" s="11">
        <f>_xlfn.XLOOKUP($A39,Centrum[Индекс],Centrum[CBM on the shipper/ 
CBM по поставщику],"",0,1)</f>
        <v>66.070999999999998</v>
      </c>
      <c r="J39" s="16">
        <f>_xlfn.XLOOKUP($A39,Centrum[Индекс],Centrum[Gross weight of cont// 
Гросс.вес по конт.],"",0,1)</f>
        <v>10103</v>
      </c>
      <c r="K39" s="17" t="str">
        <f>_xlfn.XLOOKUP($A39,Centrum[Индекс],Centrum[Route/ Маршрут (TSR/TCR)],"",0,1)</f>
        <v>TSR</v>
      </c>
      <c r="L39" s="11" t="str">
        <f>_xlfn.XLOOKUP($A39,Centrum[Индекс],Centrum[Условия поставки],"",0,1)</f>
        <v>BUSAN (FOB/P-D)</v>
      </c>
      <c r="M39" s="11" t="str">
        <f>_xlfn.XLOOKUP($A39,Centrum[Индекс],Centrum[№ HBL date / 
№/ дата коносамента],"",0,1)</f>
        <v>FSIMPUAS229347</v>
      </c>
      <c r="N39" s="11" t="str">
        <f>_xlfn.XLOOKUP($A39,Centrum[Индекс],Centrum[№ MBL / 
№/ коносамента],"",0,1)</f>
        <v>FSCOPUVV386629</v>
      </c>
      <c r="O39" s="8">
        <f>(_xlfn.XLOOKUP($A39,Centrum[Индекс],Centrum[Date on board / Дата погрузки на судно],"",0,1))*1</f>
        <v>44973</v>
      </c>
      <c r="P39" s="8">
        <f>(_xlfn.XLOOKUP($A39,Centrum[Индекс],Centrum[Date of arrival to Sary-Agach/ Дата прибытия на Сары-Агач],"",0,1))*1</f>
        <v>45034</v>
      </c>
      <c r="Q39" s="14" t="str">
        <f>_xlfn.XLOOKUP($A39,Centrum[Индекс],Centrum[Container type/ 
Тип контейнера],"",0,1)</f>
        <v>40'HC</v>
      </c>
      <c r="R39" s="16">
        <f>_xlfn.XLOOKUP($A39,Centrum[Индекс],Centrum[Transportation cost per supplier/ 
Cтоимость перевозки по поставщикам],0,0,1)</f>
        <v>11400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11400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9" s="16">
        <f>_xlfn.XLOOKUP(Шаблон_Формулы[[#This Row],[21]],Курс_USD[Дата],Курс_USD[Курс],,0,1)</f>
        <v>11445.03</v>
      </c>
      <c r="W39" s="16">
        <f>Шаблон_Формулы!$T39*Шаблон_Формулы!$V39</f>
        <v>130473342.00000001</v>
      </c>
      <c r="Y39" s="16">
        <f>Шаблон_Формулы!$W39+Шаблон_Формулы!$X39</f>
        <v>130473342.00000001</v>
      </c>
      <c r="Z39" s="14" t="str">
        <f>_xlfn.XLOOKUP($A39,Centrum[Индекс],Centrum[Transport co invoice no/ 
Номер инвойса ТК],"",0,1)</f>
        <v>CNT-FS230001670</v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>CENTRUM AVIATION FZCO</v>
      </c>
      <c r="C40" s="11" t="str">
        <f>_xlfn.XLOOKUP($A40,Centrum[Индекс],Centrum[Country /  Страна],"",0,1)</f>
        <v>KOREA</v>
      </c>
      <c r="D40" s="11" t="str">
        <f>_xlfn.XLOOKUP($A40,Centrum[Индекс],Centrum[Container num./ 
№ контейнера],"",0,1)</f>
        <v>FESU5328450</v>
      </c>
      <c r="E40" s="11" t="str">
        <f>_xlfn.XLOOKUP($A40,Centrum[Индекс],Centrum[Supplier/
Поставщик],"",0,1)</f>
        <v>GM KOREA COMPANY</v>
      </c>
      <c r="F40" s="11" t="str">
        <f>_xlfn.XLOOKUP($A40,Centrum[Индекс],Centrum[Shippers invoice no/ 
Номер инвойса поставщика],"",1)</f>
        <v>TJAUZ37129A01</v>
      </c>
      <c r="G40" s="15">
        <f>_xlfn.XLOOKUP($A40,Centrum[Индекс],Centrum[Invoice value / Стоимость груза в к-ре по инвойсу],"",0,1)</f>
        <v>28381.68</v>
      </c>
      <c r="H40" s="14" t="s">
        <v>40</v>
      </c>
      <c r="I40" s="11">
        <f>_xlfn.XLOOKUP($A40,Centrum[Индекс],Centrum[CBM on the shipper/ 
CBM по поставщику],"",0,1)</f>
        <v>67.488</v>
      </c>
      <c r="J40" s="16">
        <f>_xlfn.XLOOKUP($A40,Centrum[Индекс],Centrum[Gross weight of cont// 
Гросс.вес по конт.],"",0,1)</f>
        <v>8891</v>
      </c>
      <c r="K40" s="17" t="str">
        <f>_xlfn.XLOOKUP($A40,Centrum[Индекс],Centrum[Route/ Маршрут (TSR/TCR)],"",0,1)</f>
        <v>TSR</v>
      </c>
      <c r="L40" s="11" t="str">
        <f>_xlfn.XLOOKUP($A40,Centrum[Индекс],Centrum[Условия поставки],"",0,1)</f>
        <v>KUNSAN (FOB/P-D)</v>
      </c>
      <c r="M40" s="11" t="str">
        <f>_xlfn.XLOOKUP($A40,Centrum[Индекс],Centrum[№ HBL date / 
№/ дата коносамента],"",0,1)</f>
        <v>FSIMPUAS229365</v>
      </c>
      <c r="N40" s="11" t="str">
        <f>_xlfn.XLOOKUP($A40,Centrum[Индекс],Centrum[№ MBL / 
№/ коносамента],"",0,1)</f>
        <v>FSCOPUVV386630</v>
      </c>
      <c r="O40" s="8">
        <f>(_xlfn.XLOOKUP($A40,Centrum[Индекс],Centrum[Date on board / Дата погрузки на судно],"",0,1))*1</f>
        <v>44979</v>
      </c>
      <c r="P40" s="8">
        <f>(_xlfn.XLOOKUP($A40,Centrum[Индекс],Centrum[Date of arrival to Sary-Agach/ Дата прибытия на Сары-Агач],"",0,1))*1</f>
        <v>45034</v>
      </c>
      <c r="Q40" s="14" t="str">
        <f>_xlfn.XLOOKUP($A40,Centrum[Индекс],Centrum[Container type/ 
Тип контейнера],"",0,1)</f>
        <v>40'HC</v>
      </c>
      <c r="R40" s="16">
        <f>_xlfn.XLOOKUP($A40,Centrum[Индекс],Centrum[Transportation cost per supplier/ 
Cтоимость перевозки по поставщикам],0,0,1)</f>
        <v>11600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11600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0" s="16">
        <f>_xlfn.XLOOKUP(Шаблон_Формулы[[#This Row],[21]],Курс_USD[Дата],Курс_USD[Курс],,0,1)</f>
        <v>11445.03</v>
      </c>
      <c r="W40" s="16">
        <f>Шаблон_Формулы!$T40*Шаблон_Формулы!$V40</f>
        <v>132762348.00000001</v>
      </c>
      <c r="Y40" s="16">
        <f>Шаблон_Формулы!$W40+Шаблон_Формулы!$X40</f>
        <v>132762348.00000001</v>
      </c>
      <c r="Z40" s="14" t="str">
        <f>_xlfn.XLOOKUP($A40,Centrum[Индекс],Centrum[Transport co invoice no/ 
Номер инвойса ТК],"",0,1)</f>
        <v>CNT-FS230001670</v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>CENTRUM AVIATION FZCO</v>
      </c>
      <c r="C41" s="11" t="str">
        <f>_xlfn.XLOOKUP($A41,Centrum[Индекс],Centrum[Country /  Страна],"",0,1)</f>
        <v>KOREA</v>
      </c>
      <c r="D41" s="11" t="str">
        <f>_xlfn.XLOOKUP($A41,Centrum[Индекс],Centrum[Container num./ 
№ контейнера],"",0,1)</f>
        <v>FESU5328568</v>
      </c>
      <c r="E41" s="11" t="str">
        <f>_xlfn.XLOOKUP($A41,Centrum[Индекс],Centrum[Supplier/
Поставщик],"",0,1)</f>
        <v>GM KOREA COMPANY</v>
      </c>
      <c r="F41" s="11" t="str">
        <f>_xlfn.XLOOKUP($A41,Centrum[Индекс],Centrum[Shippers invoice no/ 
Номер инвойса поставщика],"",1)</f>
        <v>TJAUZ37132C01</v>
      </c>
      <c r="G41" s="15">
        <f>_xlfn.XLOOKUP($A41,Centrum[Индекс],Centrum[Invoice value / Стоимость груза в к-ре по инвойсу],"",0,1)</f>
        <v>25517.279999999999</v>
      </c>
      <c r="H41" s="14" t="s">
        <v>40</v>
      </c>
      <c r="I41" s="11">
        <f>_xlfn.XLOOKUP($A41,Centrum[Индекс],Centrum[CBM on the shipper/ 
CBM по поставщику],"",0,1)</f>
        <v>66.816999999999993</v>
      </c>
      <c r="J41" s="16">
        <f>_xlfn.XLOOKUP($A41,Centrum[Индекс],Centrum[Gross weight of cont// 
Гросс.вес по конт.],"",0,1)</f>
        <v>5939</v>
      </c>
      <c r="K41" s="17" t="str">
        <f>_xlfn.XLOOKUP($A41,Centrum[Индекс],Centrum[Route/ Маршрут (TSR/TCR)],"",0,1)</f>
        <v>TSR</v>
      </c>
      <c r="L41" s="11" t="str">
        <f>_xlfn.XLOOKUP($A41,Centrum[Индекс],Centrum[Условия поставки],"",0,1)</f>
        <v>BUSAN (FOB/P-D)</v>
      </c>
      <c r="M41" s="11" t="str">
        <f>_xlfn.XLOOKUP($A41,Centrum[Индекс],Centrum[№ HBL date / 
№/ дата коносамента],"",0,1)</f>
        <v>FSIMPUAS229366</v>
      </c>
      <c r="N41" s="11" t="str">
        <f>_xlfn.XLOOKUP($A41,Centrum[Индекс],Centrum[№ MBL / 
№/ коносамента],"",0,1)</f>
        <v>FSCOPUVV386631</v>
      </c>
      <c r="O41" s="8">
        <f>(_xlfn.XLOOKUP($A41,Centrum[Индекс],Centrum[Date on board / Дата погрузки на судно],"",0,1))*1</f>
        <v>44979</v>
      </c>
      <c r="P41" s="8">
        <f>(_xlfn.XLOOKUP($A41,Centrum[Индекс],Centrum[Date of arrival to Sary-Agach/ Дата прибытия на Сары-Агач],"",0,1))*1</f>
        <v>45034</v>
      </c>
      <c r="Q41" s="14" t="str">
        <f>_xlfn.XLOOKUP($A41,Centrum[Индекс],Centrum[Container type/ 
Тип контейнера],"",0,1)</f>
        <v>40'HC</v>
      </c>
      <c r="R41" s="16">
        <f>_xlfn.XLOOKUP($A41,Centrum[Индекс],Centrum[Transportation cost per supplier/ 
Cтоимость перевозки по поставщикам],0,0,1)</f>
        <v>10550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10550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1" s="16">
        <f>_xlfn.XLOOKUP(Шаблон_Формулы[[#This Row],[21]],Курс_USD[Дата],Курс_USD[Курс],,0,1)</f>
        <v>11445.03</v>
      </c>
      <c r="W41" s="16">
        <f>Шаблон_Формулы!$T41*Шаблон_Формулы!$V41</f>
        <v>120745066.5</v>
      </c>
      <c r="Y41" s="16">
        <f>Шаблон_Формулы!$W41+Шаблон_Формулы!$X41</f>
        <v>120745066.5</v>
      </c>
      <c r="Z41" s="14" t="str">
        <f>_xlfn.XLOOKUP($A41,Centrum[Индекс],Centrum[Transport co invoice no/ 
Номер инвойса ТК],"",0,1)</f>
        <v>CNT-FS230001670</v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>CENTRUM AVIATION FZCO</v>
      </c>
      <c r="C42" s="11" t="str">
        <f>_xlfn.XLOOKUP($A42,Centrum[Индекс],Centrum[Country /  Страна],"",0,1)</f>
        <v>KOREA</v>
      </c>
      <c r="D42" s="11" t="str">
        <f>_xlfn.XLOOKUP($A42,Centrum[Индекс],Centrum[Container num./ 
№ контейнера],"",0,1)</f>
        <v>FESU5335696</v>
      </c>
      <c r="E42" s="11" t="str">
        <f>_xlfn.XLOOKUP($A42,Centrum[Индекс],Centrum[Supplier/
Поставщик],"",0,1)</f>
        <v>GM KOREA COMPANY</v>
      </c>
      <c r="F42" s="11" t="str">
        <f>_xlfn.XLOOKUP($A42,Centrum[Индекс],Centrum[Shippers invoice no/ 
Номер инвойса поставщика],"",1)</f>
        <v>TJAUZ37130A01</v>
      </c>
      <c r="G42" s="15">
        <f>_xlfn.XLOOKUP($A42,Centrum[Индекс],Centrum[Invoice value / Стоимость груза в к-ре по инвойсу],"",0,1)</f>
        <v>225508.32</v>
      </c>
      <c r="H42" s="14" t="s">
        <v>40</v>
      </c>
      <c r="I42" s="11">
        <f>_xlfn.XLOOKUP($A42,Centrum[Индекс],Centrum[CBM on the shipper/ 
CBM по поставщику],"",0,1)</f>
        <v>68.234999999999999</v>
      </c>
      <c r="J42" s="16">
        <f>_xlfn.XLOOKUP($A42,Centrum[Индекс],Centrum[Gross weight of cont// 
Гросс.вес по конт.],"",0,1)</f>
        <v>19025</v>
      </c>
      <c r="K42" s="17" t="str">
        <f>_xlfn.XLOOKUP($A42,Centrum[Индекс],Centrum[Route/ Маршрут (TSR/TCR)],"",0,1)</f>
        <v>TSR</v>
      </c>
      <c r="L42" s="11" t="str">
        <f>_xlfn.XLOOKUP($A42,Centrum[Индекс],Centrum[Условия поставки],"",0,1)</f>
        <v>INCHEON (FOB/P-D)</v>
      </c>
      <c r="M42" s="11" t="str">
        <f>_xlfn.XLOOKUP($A42,Centrum[Индекс],Centrum[№ HBL date / 
№/ дата коносамента],"",0,1)</f>
        <v>FSIMINAS229362</v>
      </c>
      <c r="N42" s="11" t="str">
        <f>_xlfn.XLOOKUP($A42,Centrum[Индекс],Centrum[№ MBL / 
№/ коносамента],"",0,1)</f>
        <v>FSCOPUVV386626</v>
      </c>
      <c r="O42" s="8">
        <f>(_xlfn.XLOOKUP($A42,Centrum[Индекс],Centrum[Date on board / Дата погрузки на судно],"",0,1))*1</f>
        <v>44979</v>
      </c>
      <c r="P42" s="8">
        <f>(_xlfn.XLOOKUP($A42,Centrum[Индекс],Centrum[Date of arrival to Sary-Agach/ Дата прибытия на Сары-Агач],"",0,1))*1</f>
        <v>45034</v>
      </c>
      <c r="Q42" s="14" t="str">
        <f>_xlfn.XLOOKUP($A42,Centrum[Индекс],Centrum[Container type/ 
Тип контейнера],"",0,1)</f>
        <v>40'HC</v>
      </c>
      <c r="R42" s="16">
        <f>_xlfn.XLOOKUP($A42,Centrum[Индекс],Centrum[Transportation cost per supplier/ 
Cтоимость перевозки по поставщикам],0,0,1)</f>
        <v>10850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10850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2" s="16">
        <f>_xlfn.XLOOKUP(Шаблон_Формулы[[#This Row],[21]],Курс_USD[Дата],Курс_USD[Курс],,0,1)</f>
        <v>11445.03</v>
      </c>
      <c r="W42" s="16">
        <f>Шаблон_Формулы!$T42*Шаблон_Формулы!$V42</f>
        <v>124178575.5</v>
      </c>
      <c r="Y42" s="16">
        <f>Шаблон_Формулы!$W42+Шаблон_Формулы!$X42</f>
        <v>124178575.5</v>
      </c>
      <c r="Z42" s="14" t="str">
        <f>_xlfn.XLOOKUP($A42,Centrum[Индекс],Centrum[Transport co invoice no/ 
Номер инвойса ТК],"",0,1)</f>
        <v>CNT-FS230001670</v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>CENTRUM AVIATION FZCO</v>
      </c>
      <c r="C43" s="11" t="str">
        <f>_xlfn.XLOOKUP($A43,Centrum[Индекс],Centrum[Country /  Страна],"",0,1)</f>
        <v>KOREA</v>
      </c>
      <c r="D43" s="11" t="str">
        <f>_xlfn.XLOOKUP($A43,Centrum[Индекс],Centrum[Container num./ 
№ контейнера],"",0,1)</f>
        <v>FESU5335968</v>
      </c>
      <c r="E43" s="11" t="str">
        <f>_xlfn.XLOOKUP($A43,Centrum[Индекс],Centrum[Supplier/
Поставщик],"",0,1)</f>
        <v>GM KOREA COMPANY</v>
      </c>
      <c r="F43" s="11" t="str">
        <f>_xlfn.XLOOKUP($A43,Centrum[Индекс],Centrum[Shippers invoice no/ 
Номер инвойса поставщика],"",1)</f>
        <v>TJAUZ37133A01</v>
      </c>
      <c r="G43" s="15">
        <f>_xlfn.XLOOKUP($A43,Centrum[Индекс],Centrum[Invoice value / Стоимость груза в к-ре по инвойсу],"",0,1)</f>
        <v>244404</v>
      </c>
      <c r="H43" s="14" t="s">
        <v>40</v>
      </c>
      <c r="I43" s="11">
        <f>_xlfn.XLOOKUP($A43,Centrum[Индекс],Centrum[CBM on the shipper/ 
CBM по поставщику],"",0,1)</f>
        <v>65.813999999999993</v>
      </c>
      <c r="J43" s="16">
        <f>_xlfn.XLOOKUP($A43,Centrum[Индекс],Centrum[Gross weight of cont// 
Гросс.вес по конт.],"",0,1)</f>
        <v>18122</v>
      </c>
      <c r="K43" s="17" t="str">
        <f>_xlfn.XLOOKUP($A43,Centrum[Индекс],Centrum[Route/ Маршрут (TSR/TCR)],"",0,1)</f>
        <v>TSR</v>
      </c>
      <c r="L43" s="11" t="str">
        <f>_xlfn.XLOOKUP($A43,Centrum[Индекс],Centrum[Условия поставки],"",0,1)</f>
        <v>INCHEON (FOB/P-D)</v>
      </c>
      <c r="M43" s="11" t="str">
        <f>_xlfn.XLOOKUP($A43,Centrum[Индекс],Centrum[№ HBL date / 
№/ дата коносамента],"",0,1)</f>
        <v>FSIMINAS229363</v>
      </c>
      <c r="N43" s="11" t="str">
        <f>_xlfn.XLOOKUP($A43,Centrum[Индекс],Centrum[№ MBL / 
№/ коносамента],"",0,1)</f>
        <v>FSCOPUVV386627</v>
      </c>
      <c r="O43" s="8">
        <f>(_xlfn.XLOOKUP($A43,Centrum[Индекс],Centrum[Date on board / Дата погрузки на судно],"",0,1))*1</f>
        <v>44979</v>
      </c>
      <c r="P43" s="8">
        <f>(_xlfn.XLOOKUP($A43,Centrum[Индекс],Centrum[Date of arrival to Sary-Agach/ Дата прибытия на Сары-Агач],"",0,1))*1</f>
        <v>45034</v>
      </c>
      <c r="Q43" s="14" t="str">
        <f>_xlfn.XLOOKUP($A43,Centrum[Индекс],Centrum[Container type/ 
Тип контейнера],"",0,1)</f>
        <v>40'HC</v>
      </c>
      <c r="R43" s="16">
        <f>_xlfn.XLOOKUP($A43,Centrum[Индекс],Centrum[Transportation cost per supplier/ 
Cтоимость перевозки по поставщикам],0,0,1)</f>
        <v>10850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10850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3" s="16">
        <f>_xlfn.XLOOKUP(Шаблон_Формулы[[#This Row],[21]],Курс_USD[Дата],Курс_USD[Курс],,0,1)</f>
        <v>11445.03</v>
      </c>
      <c r="W43" s="16">
        <f>Шаблон_Формулы!$T43*Шаблон_Формулы!$V43</f>
        <v>124178575.5</v>
      </c>
      <c r="Y43" s="16">
        <f>Шаблон_Формулы!$W43+Шаблон_Формулы!$X43</f>
        <v>124178575.5</v>
      </c>
      <c r="Z43" s="14" t="str">
        <f>_xlfn.XLOOKUP($A43,Centrum[Индекс],Centrum[Transport co invoice no/ 
Номер инвойса ТК],"",0,1)</f>
        <v>CNT-FS230001670</v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>CENTRUM AVIATION FZCO</v>
      </c>
      <c r="C44" s="11" t="str">
        <f>_xlfn.XLOOKUP($A44,Centrum[Индекс],Centrum[Country /  Страна],"",0,1)</f>
        <v>KOREA</v>
      </c>
      <c r="D44" s="11" t="str">
        <f>_xlfn.XLOOKUP($A44,Centrum[Индекс],Centrum[Container num./ 
№ контейнера],"",0,1)</f>
        <v>SEGU4061092</v>
      </c>
      <c r="E44" s="11" t="str">
        <f>_xlfn.XLOOKUP($A44,Centrum[Индекс],Centrum[Supplier/
Поставщик],"",0,1)</f>
        <v>GM KOREA COMPANY</v>
      </c>
      <c r="F44" s="11" t="str">
        <f>_xlfn.XLOOKUP($A44,Centrum[Индекс],Centrum[Shippers invoice no/ 
Номер инвойса поставщика],"",1)</f>
        <v>TJAUZ37133A01</v>
      </c>
      <c r="G44" s="15">
        <f>_xlfn.XLOOKUP($A44,Centrum[Индекс],Centrum[Invoice value / Стоимость груза в к-ре по инвойсу],"",0,1)</f>
        <v>96163.11</v>
      </c>
      <c r="H44" s="14" t="s">
        <v>40</v>
      </c>
      <c r="I44" s="11">
        <f>_xlfn.XLOOKUP($A44,Centrum[Индекс],Centrum[CBM on the shipper/ 
CBM по поставщику],"",0,1)</f>
        <v>67.488</v>
      </c>
      <c r="J44" s="16">
        <f>_xlfn.XLOOKUP($A44,Centrum[Индекс],Centrum[Gross weight of cont// 
Гросс.вес по конт.],"",0,1)</f>
        <v>14174</v>
      </c>
      <c r="K44" s="17" t="str">
        <f>_xlfn.XLOOKUP($A44,Centrum[Индекс],Centrum[Route/ Маршрут (TSR/TCR)],"",0,1)</f>
        <v>TSR</v>
      </c>
      <c r="L44" s="11" t="str">
        <f>_xlfn.XLOOKUP($A44,Centrum[Индекс],Centrum[Условия поставки],"",0,1)</f>
        <v>INCHEON (FOB/P-D)</v>
      </c>
      <c r="M44" s="11" t="str">
        <f>_xlfn.XLOOKUP($A44,Centrum[Индекс],Centrum[№ HBL date / 
№/ дата коносамента],"",0,1)</f>
        <v>FSIMINAS229363</v>
      </c>
      <c r="N44" s="11" t="str">
        <f>_xlfn.XLOOKUP($A44,Centrum[Индекс],Centrum[№ MBL / 
№/ коносамента],"",0,1)</f>
        <v>FSCOPUVV386627</v>
      </c>
      <c r="O44" s="8">
        <f>(_xlfn.XLOOKUP($A44,Centrum[Индекс],Centrum[Date on board / Дата погрузки на судно],"",0,1))*1</f>
        <v>44979</v>
      </c>
      <c r="P44" s="8">
        <f>(_xlfn.XLOOKUP($A44,Centrum[Индекс],Centrum[Date of arrival to Sary-Agach/ Дата прибытия на Сары-Агач],"",0,1))*1</f>
        <v>45034</v>
      </c>
      <c r="Q44" s="14" t="str">
        <f>_xlfn.XLOOKUP($A44,Centrum[Индекс],Centrum[Container type/ 
Тип контейнера],"",0,1)</f>
        <v>40'HC</v>
      </c>
      <c r="R44" s="16">
        <f>_xlfn.XLOOKUP($A44,Centrum[Индекс],Centrum[Transportation cost per supplier/ 
Cтоимость перевозки по поставщикам],0,0,1)</f>
        <v>10850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10850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4" s="16">
        <f>_xlfn.XLOOKUP(Шаблон_Формулы[[#This Row],[21]],Курс_USD[Дата],Курс_USD[Курс],,0,1)</f>
        <v>11445.03</v>
      </c>
      <c r="W44" s="16">
        <f>Шаблон_Формулы!$T44*Шаблон_Формулы!$V44</f>
        <v>124178575.5</v>
      </c>
      <c r="Y44" s="16">
        <f>Шаблон_Формулы!$W44+Шаблон_Формулы!$X44</f>
        <v>124178575.5</v>
      </c>
      <c r="Z44" s="14" t="str">
        <f>_xlfn.XLOOKUP($A44,Centrum[Индекс],Centrum[Transport co invoice no/ 
Номер инвойса ТК],"",0,1)</f>
        <v>CNT-FS230001670</v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>CENTRUM AVIATION FZCO</v>
      </c>
      <c r="C45" s="11" t="str">
        <f>_xlfn.XLOOKUP($A45,Centrum[Индекс],Centrum[Country /  Страна],"",0,1)</f>
        <v>KOREA</v>
      </c>
      <c r="D45" s="11" t="str">
        <f>_xlfn.XLOOKUP($A45,Centrum[Индекс],Centrum[Container num./ 
№ контейнера],"",0,1)</f>
        <v>TCLU6218030</v>
      </c>
      <c r="E45" s="11" t="str">
        <f>_xlfn.XLOOKUP($A45,Centrum[Индекс],Centrum[Supplier/
Поставщик],"",0,1)</f>
        <v>GM KOREA COMPANY</v>
      </c>
      <c r="F45" s="11" t="str">
        <f>_xlfn.XLOOKUP($A45,Centrum[Индекс],Centrum[Shippers invoice no/ 
Номер инвойса поставщика],"",1)</f>
        <v>TJAUZ37133A01</v>
      </c>
      <c r="G45" s="15">
        <f>_xlfn.XLOOKUP($A45,Centrum[Индекс],Centrum[Invoice value / Стоимость груза в к-ре по инвойсу],"",0,1)</f>
        <v>238368</v>
      </c>
      <c r="H45" s="14" t="s">
        <v>40</v>
      </c>
      <c r="I45" s="11">
        <f>_xlfn.XLOOKUP($A45,Centrum[Индекс],Centrum[CBM on the shipper/ 
CBM по поставщику],"",0,1)</f>
        <v>66.963999999999999</v>
      </c>
      <c r="J45" s="16">
        <f>_xlfn.XLOOKUP($A45,Centrum[Индекс],Centrum[Gross weight of cont// 
Гросс.вес по конт.],"",0,1)</f>
        <v>19137</v>
      </c>
      <c r="K45" s="17" t="str">
        <f>_xlfn.XLOOKUP($A45,Centrum[Индекс],Centrum[Route/ Маршрут (TSR/TCR)],"",0,1)</f>
        <v>TSR</v>
      </c>
      <c r="L45" s="11" t="str">
        <f>_xlfn.XLOOKUP($A45,Centrum[Индекс],Centrum[Условия поставки],"",0,1)</f>
        <v>INCHEON (FOB/P-D)</v>
      </c>
      <c r="M45" s="11" t="str">
        <f>_xlfn.XLOOKUP($A45,Centrum[Индекс],Centrum[№ HBL date / 
№/ дата коносамента],"",0,1)</f>
        <v>FSIMINAS229363</v>
      </c>
      <c r="N45" s="11" t="str">
        <f>_xlfn.XLOOKUP($A45,Centrum[Индекс],Centrum[№ MBL / 
№/ коносамента],"",0,1)</f>
        <v>FSCOPUVV386627</v>
      </c>
      <c r="O45" s="8">
        <f>(_xlfn.XLOOKUP($A45,Centrum[Индекс],Centrum[Date on board / Дата погрузки на судно],"",0,1))*1</f>
        <v>44979</v>
      </c>
      <c r="P45" s="8">
        <f>(_xlfn.XLOOKUP($A45,Centrum[Индекс],Centrum[Date of arrival to Sary-Agach/ Дата прибытия на Сары-Агач],"",0,1))*1</f>
        <v>45034</v>
      </c>
      <c r="Q45" s="14" t="str">
        <f>_xlfn.XLOOKUP($A45,Centrum[Индекс],Centrum[Container type/ 
Тип контейнера],"",0,1)</f>
        <v>40'HC</v>
      </c>
      <c r="R45" s="16">
        <f>_xlfn.XLOOKUP($A45,Centrum[Индекс],Centrum[Transportation cost per supplier/ 
Cтоимость перевозки по поставщикам],0,0,1)</f>
        <v>10850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10850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5" s="16">
        <f>_xlfn.XLOOKUP(Шаблон_Формулы[[#This Row],[21]],Курс_USD[Дата],Курс_USD[Курс],,0,1)</f>
        <v>11445.03</v>
      </c>
      <c r="W45" s="16">
        <f>Шаблон_Формулы!$T45*Шаблон_Формулы!$V45</f>
        <v>124178575.5</v>
      </c>
      <c r="Y45" s="16">
        <f>Шаблон_Формулы!$W45+Шаблон_Формулы!$X45</f>
        <v>124178575.5</v>
      </c>
      <c r="Z45" s="14" t="str">
        <f>_xlfn.XLOOKUP($A45,Centrum[Индекс],Centrum[Transport co invoice no/ 
Номер инвойса ТК],"",0,1)</f>
        <v>CNT-FS230001670</v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>CENTRUM AVIATION FZCO</v>
      </c>
      <c r="C46" s="11" t="str">
        <f>_xlfn.XLOOKUP($A46,Centrum[Индекс],Centrum[Country /  Страна],"",0,1)</f>
        <v>KOREA</v>
      </c>
      <c r="D46" s="11" t="str">
        <f>_xlfn.XLOOKUP($A46,Centrum[Индекс],Centrum[Container num./ 
№ контейнера],"",0,1)</f>
        <v>TCLU8947508</v>
      </c>
      <c r="E46" s="11" t="str">
        <f>_xlfn.XLOOKUP($A46,Centrum[Индекс],Centrum[Supplier/
Поставщик],"",0,1)</f>
        <v>GM KOREA COMPANY</v>
      </c>
      <c r="F46" s="11" t="str">
        <f>_xlfn.XLOOKUP($A46,Centrum[Индекс],Centrum[Shippers invoice no/ 
Номер инвойса поставщика],"",1)</f>
        <v>TJAUZ37129A01</v>
      </c>
      <c r="G46" s="15">
        <f>_xlfn.XLOOKUP($A46,Centrum[Индекс],Centrum[Invoice value / Стоимость груза в к-ре по инвойсу],"",0,1)</f>
        <v>13020.36</v>
      </c>
      <c r="H46" s="14" t="s">
        <v>40</v>
      </c>
      <c r="I46" s="11">
        <f>_xlfn.XLOOKUP($A46,Centrum[Индекс],Centrum[CBM on the shipper/ 
CBM по поставщику],"",0,1)</f>
        <v>67.597999999999999</v>
      </c>
      <c r="J46" s="16">
        <f>_xlfn.XLOOKUP($A46,Centrum[Индекс],Centrum[Gross weight of cont// 
Гросс.вес по конт.],"",0,1)</f>
        <v>4780</v>
      </c>
      <c r="K46" s="17" t="str">
        <f>_xlfn.XLOOKUP($A46,Centrum[Индекс],Centrum[Route/ Маршрут (TSR/TCR)],"",0,1)</f>
        <v>TSR</v>
      </c>
      <c r="L46" s="11" t="str">
        <f>_xlfn.XLOOKUP($A46,Centrum[Индекс],Centrum[Условия поставки],"",0,1)</f>
        <v>KUNSAN (FOB/P-D)</v>
      </c>
      <c r="M46" s="11" t="str">
        <f>_xlfn.XLOOKUP($A46,Centrum[Индекс],Centrum[№ HBL date / 
№/ дата коносамента],"",0,1)</f>
        <v>FSIMPUAS229365</v>
      </c>
      <c r="N46" s="11" t="str">
        <f>_xlfn.XLOOKUP($A46,Centrum[Индекс],Centrum[№ MBL / 
№/ коносамента],"",0,1)</f>
        <v>FSCOPUVV386630</v>
      </c>
      <c r="O46" s="8">
        <f>(_xlfn.XLOOKUP($A46,Centrum[Индекс],Centrum[Date on board / Дата погрузки на судно],"",0,1))*1</f>
        <v>44979</v>
      </c>
      <c r="P46" s="8">
        <f>(_xlfn.XLOOKUP($A46,Centrum[Индекс],Centrum[Date of arrival to Sary-Agach/ Дата прибытия на Сары-Агач],"",0,1))*1</f>
        <v>45034</v>
      </c>
      <c r="Q46" s="14" t="str">
        <f>_xlfn.XLOOKUP($A46,Centrum[Индекс],Centrum[Container type/ 
Тип контейнера],"",0,1)</f>
        <v>40'HC</v>
      </c>
      <c r="R46" s="16">
        <f>_xlfn.XLOOKUP($A46,Centrum[Индекс],Centrum[Transportation cost per supplier/ 
Cтоимость перевозки по поставщикам],0,0,1)</f>
        <v>11600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11600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6" s="16">
        <f>_xlfn.XLOOKUP(Шаблон_Формулы[[#This Row],[21]],Курс_USD[Дата],Курс_USD[Курс],,0,1)</f>
        <v>11445.03</v>
      </c>
      <c r="W46" s="16">
        <f>Шаблон_Формулы!$T46*Шаблон_Формулы!$V46</f>
        <v>132762348.00000001</v>
      </c>
      <c r="Y46" s="16">
        <f>Шаблон_Формулы!$W46+Шаблон_Формулы!$X46</f>
        <v>132762348.00000001</v>
      </c>
      <c r="Z46" s="14" t="str">
        <f>_xlfn.XLOOKUP($A46,Centrum[Индекс],Centrum[Transport co invoice no/ 
Номер инвойса ТК],"",0,1)</f>
        <v>CNT-FS230001670</v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>CENTRUM AVIATION FZCO</v>
      </c>
      <c r="C47" s="11" t="str">
        <f>_xlfn.XLOOKUP($A47,Centrum[Индекс],Centrum[Country /  Страна],"",0,1)</f>
        <v>KOREA</v>
      </c>
      <c r="D47" s="11" t="str">
        <f>_xlfn.XLOOKUP($A47,Centrum[Индекс],Centrum[Container num./ 
№ контейнера],"",0,1)</f>
        <v>TCLU9963782</v>
      </c>
      <c r="E47" s="11" t="str">
        <f>_xlfn.XLOOKUP($A47,Centrum[Индекс],Centrum[Supplier/
Поставщик],"",0,1)</f>
        <v>GM KOREA COMPANY</v>
      </c>
      <c r="F47" s="11" t="str">
        <f>_xlfn.XLOOKUP($A47,Centrum[Индекс],Centrum[Shippers invoice no/ 
Номер инвойса поставщика],"",1)</f>
        <v>TJAUZ37129A01</v>
      </c>
      <c r="G47" s="15">
        <f>_xlfn.XLOOKUP($A47,Centrum[Индекс],Centrum[Invoice value / Стоимость груза в к-ре по инвойсу],"",0,1)</f>
        <v>26780.3</v>
      </c>
      <c r="H47" s="14" t="s">
        <v>40</v>
      </c>
      <c r="I47" s="11">
        <f>_xlfn.XLOOKUP($A47,Centrum[Индекс],Centrum[CBM on the shipper/ 
CBM по поставщику],"",0,1)</f>
        <v>67.421000000000006</v>
      </c>
      <c r="J47" s="16">
        <f>_xlfn.XLOOKUP($A47,Centrum[Индекс],Centrum[Gross weight of cont// 
Гросс.вес по конт.],"",0,1)</f>
        <v>8366</v>
      </c>
      <c r="K47" s="17" t="str">
        <f>_xlfn.XLOOKUP($A47,Centrum[Индекс],Centrum[Route/ Маршрут (TSR/TCR)],"",0,1)</f>
        <v>TSR</v>
      </c>
      <c r="L47" s="11" t="str">
        <f>_xlfn.XLOOKUP($A47,Centrum[Индекс],Centrum[Условия поставки],"",0,1)</f>
        <v>KUNSAN (FOB/P-D)</v>
      </c>
      <c r="M47" s="11" t="str">
        <f>_xlfn.XLOOKUP($A47,Centrum[Индекс],Centrum[№ HBL date / 
№/ дата коносамента],"",0,1)</f>
        <v>FSIMPUAS229365</v>
      </c>
      <c r="N47" s="11" t="str">
        <f>_xlfn.XLOOKUP($A47,Centrum[Индекс],Centrum[№ MBL / 
№/ коносамента],"",0,1)</f>
        <v>FSCOPUVV386630</v>
      </c>
      <c r="O47" s="8">
        <f>(_xlfn.XLOOKUP($A47,Centrum[Индекс],Centrum[Date on board / Дата погрузки на судно],"",0,1))*1</f>
        <v>44979</v>
      </c>
      <c r="P47" s="8">
        <f>(_xlfn.XLOOKUP($A47,Centrum[Индекс],Centrum[Date of arrival to Sary-Agach/ Дата прибытия на Сары-Агач],"",0,1))*1</f>
        <v>45034</v>
      </c>
      <c r="Q47" s="14" t="str">
        <f>_xlfn.XLOOKUP($A47,Centrum[Индекс],Centrum[Container type/ 
Тип контейнера],"",0,1)</f>
        <v>40'HC</v>
      </c>
      <c r="R47" s="16">
        <f>_xlfn.XLOOKUP($A47,Centrum[Индекс],Centrum[Transportation cost per supplier/ 
Cтоимость перевозки по поставщикам],0,0,1)</f>
        <v>11600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11600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7" s="16">
        <f>_xlfn.XLOOKUP(Шаблон_Формулы[[#This Row],[21]],Курс_USD[Дата],Курс_USD[Курс],,0,1)</f>
        <v>11445.03</v>
      </c>
      <c r="W47" s="16">
        <f>Шаблон_Формулы!$T47*Шаблон_Формулы!$V47</f>
        <v>132762348.00000001</v>
      </c>
      <c r="Y47" s="16">
        <f>Шаблон_Формулы!$W47+Шаблон_Формулы!$X47</f>
        <v>132762348.00000001</v>
      </c>
      <c r="Z47" s="14" t="str">
        <f>_xlfn.XLOOKUP($A47,Centrum[Индекс],Centrum[Transport co invoice no/ 
Номер инвойса ТК],"",0,1)</f>
        <v>CNT-FS230001670</v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>CENTRUM AVIATION FZCO</v>
      </c>
      <c r="C48" s="11" t="str">
        <f>_xlfn.XLOOKUP($A48,Centrum[Индекс],Centrum[Country /  Страна],"",0,1)</f>
        <v>KOREA</v>
      </c>
      <c r="D48" s="11" t="str">
        <f>_xlfn.XLOOKUP($A48,Centrum[Индекс],Centrum[Container num./ 
№ контейнера],"",0,1)</f>
        <v>TCNU7819562</v>
      </c>
      <c r="E48" s="11" t="str">
        <f>_xlfn.XLOOKUP($A48,Centrum[Индекс],Centrum[Supplier/
Поставщик],"",0,1)</f>
        <v>GM KOREA COMPANY</v>
      </c>
      <c r="F48" s="11" t="str">
        <f>_xlfn.XLOOKUP($A48,Centrum[Индекс],Centrum[Shippers invoice no/ 
Номер инвойса поставщика],"",1)</f>
        <v>TJAUZ37116A01</v>
      </c>
      <c r="G48" s="15">
        <f>_xlfn.XLOOKUP($A48,Centrum[Индекс],Centrum[Invoice value / Стоимость груза в к-ре по инвойсу],"",0,1)</f>
        <v>10053.120000000001</v>
      </c>
      <c r="H48" s="14" t="s">
        <v>40</v>
      </c>
      <c r="I48" s="11">
        <f>_xlfn.XLOOKUP($A48,Centrum[Индекс],Centrum[CBM on the shipper/ 
CBM по поставщику],"",0,1)</f>
        <v>67.558999999999997</v>
      </c>
      <c r="J48" s="16">
        <f>_xlfn.XLOOKUP($A48,Centrum[Индекс],Centrum[Gross weight of cont// 
Гросс.вес по конт.],"",0,1)</f>
        <v>3570</v>
      </c>
      <c r="K48" s="17" t="str">
        <f>_xlfn.XLOOKUP($A48,Centrum[Индекс],Centrum[Route/ Маршрут (TSR/TCR)],"",0,1)</f>
        <v>TSR</v>
      </c>
      <c r="L48" s="11" t="str">
        <f>_xlfn.XLOOKUP($A48,Centrum[Индекс],Centrum[Условия поставки],"",0,1)</f>
        <v>KUNSAN (FOB/P-D)</v>
      </c>
      <c r="M48" s="11" t="str">
        <f>_xlfn.XLOOKUP($A48,Centrum[Индекс],Centrum[№ HBL date / 
№/ дата коносамента],"",0,1)</f>
        <v>FSIMPUAS229341</v>
      </c>
      <c r="N48" s="11" t="str">
        <f>_xlfn.XLOOKUP($A48,Centrum[Индекс],Centrum[№ MBL / 
№/ коносамента],"",0,1)</f>
        <v>FSCOPUVV386541</v>
      </c>
      <c r="O48" s="8">
        <f>(_xlfn.XLOOKUP($A48,Centrum[Индекс],Centrum[Date on board / Дата погрузки на судно],"",0,1))*1</f>
        <v>44971</v>
      </c>
      <c r="P48" s="8">
        <f>(_xlfn.XLOOKUP($A48,Centrum[Индекс],Centrum[Date of arrival to Sary-Agach/ Дата прибытия на Сары-Агач],"",0,1))*1</f>
        <v>45034</v>
      </c>
      <c r="Q48" s="14" t="str">
        <f>_xlfn.XLOOKUP($A48,Centrum[Индекс],Centrum[Container type/ 
Тип контейнера],"",0,1)</f>
        <v>40'HC</v>
      </c>
      <c r="R48" s="16">
        <f>_xlfn.XLOOKUP($A48,Centrum[Индекс],Centrum[Transportation cost per supplier/ 
Cтоимость перевозки по поставщикам],0,0,1)</f>
        <v>11600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11600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8" s="16">
        <f>_xlfn.XLOOKUP(Шаблон_Формулы[[#This Row],[21]],Курс_USD[Дата],Курс_USD[Курс],,0,1)</f>
        <v>11445.03</v>
      </c>
      <c r="W48" s="16">
        <f>Шаблон_Формулы!$T48*Шаблон_Формулы!$V48</f>
        <v>132762348.00000001</v>
      </c>
      <c r="Y48" s="16">
        <f>Шаблон_Формулы!$W48+Шаблон_Формулы!$X48</f>
        <v>132762348.00000001</v>
      </c>
      <c r="Z48" s="14" t="str">
        <f>_xlfn.XLOOKUP($A48,Centrum[Индекс],Centrum[Transport co invoice no/ 
Номер инвойса ТК],"",0,1)</f>
        <v>CNT-FS230001670</v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>CENTRUM AVIATION FZCO</v>
      </c>
      <c r="C49" s="11" t="str">
        <f>_xlfn.XLOOKUP($A49,Centrum[Индекс],Centrum[Country /  Страна],"",0,1)</f>
        <v>KOREA</v>
      </c>
      <c r="D49" s="11" t="str">
        <f>_xlfn.XLOOKUP($A49,Centrum[Индекс],Centrum[Container num./ 
№ контейнера],"",0,1)</f>
        <v>TEMU7395382</v>
      </c>
      <c r="E49" s="11" t="str">
        <f>_xlfn.XLOOKUP($A49,Centrum[Индекс],Centrum[Supplier/
Поставщик],"",0,1)</f>
        <v>GM KOREA COMPANY</v>
      </c>
      <c r="F49" s="11" t="str">
        <f>_xlfn.XLOOKUP($A49,Centrum[Индекс],Centrum[Shippers invoice no/ 
Номер инвойса поставщика],"",1)</f>
        <v>TJAUZ37129A01</v>
      </c>
      <c r="G49" s="15">
        <f>_xlfn.XLOOKUP($A49,Centrum[Индекс],Centrum[Invoice value / Стоимость груза в к-ре по инвойсу],"",0,1)</f>
        <v>10977.12</v>
      </c>
      <c r="H49" s="14" t="s">
        <v>40</v>
      </c>
      <c r="I49" s="11">
        <f>_xlfn.XLOOKUP($A49,Centrum[Индекс],Centrum[CBM on the shipper/ 
CBM по поставщику],"",0,1)</f>
        <v>67.558999999999997</v>
      </c>
      <c r="J49" s="16">
        <f>_xlfn.XLOOKUP($A49,Centrum[Индекс],Centrum[Gross weight of cont// 
Гросс.вес по конт.],"",0,1)</f>
        <v>3777</v>
      </c>
      <c r="K49" s="17" t="str">
        <f>_xlfn.XLOOKUP($A49,Centrum[Индекс],Centrum[Route/ Маршрут (TSR/TCR)],"",0,1)</f>
        <v>TSR</v>
      </c>
      <c r="L49" s="11" t="str">
        <f>_xlfn.XLOOKUP($A49,Centrum[Индекс],Centrum[Условия поставки],"",0,1)</f>
        <v>KUNSAN (FOB/P-D)</v>
      </c>
      <c r="M49" s="11" t="str">
        <f>_xlfn.XLOOKUP($A49,Centrum[Индекс],Centrum[№ HBL date / 
№/ дата коносамента],"",0,1)</f>
        <v>FSIMPUAS229365</v>
      </c>
      <c r="N49" s="11" t="str">
        <f>_xlfn.XLOOKUP($A49,Centrum[Индекс],Centrum[№ MBL / 
№/ коносамента],"",0,1)</f>
        <v>FSCOPUVV386630</v>
      </c>
      <c r="O49" s="8">
        <f>(_xlfn.XLOOKUP($A49,Centrum[Индекс],Centrum[Date on board / Дата погрузки на судно],"",0,1))*1</f>
        <v>44979</v>
      </c>
      <c r="P49" s="8">
        <f>(_xlfn.XLOOKUP($A49,Centrum[Индекс],Centrum[Date of arrival to Sary-Agach/ Дата прибытия на Сары-Агач],"",0,1))*1</f>
        <v>45034</v>
      </c>
      <c r="Q49" s="14" t="str">
        <f>_xlfn.XLOOKUP($A49,Centrum[Индекс],Centrum[Container type/ 
Тип контейнера],"",0,1)</f>
        <v>40'HC</v>
      </c>
      <c r="R49" s="16">
        <f>_xlfn.XLOOKUP($A49,Centrum[Индекс],Centrum[Transportation cost per supplier/ 
Cтоимость перевозки по поставщикам],0,0,1)</f>
        <v>11600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11600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9" s="16">
        <f>_xlfn.XLOOKUP(Шаблон_Формулы[[#This Row],[21]],Курс_USD[Дата],Курс_USD[Курс],,0,1)</f>
        <v>11445.03</v>
      </c>
      <c r="W49" s="16">
        <f>Шаблон_Формулы!$T49*Шаблон_Формулы!$V49</f>
        <v>132762348.00000001</v>
      </c>
      <c r="Y49" s="16">
        <f>Шаблон_Формулы!$W49+Шаблон_Формулы!$X49</f>
        <v>132762348.00000001</v>
      </c>
      <c r="Z49" s="14" t="str">
        <f>_xlfn.XLOOKUP($A49,Centrum[Индекс],Centrum[Transport co invoice no/ 
Номер инвойса ТК],"",0,1)</f>
        <v>CNT-FS230001670</v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>CENTRUM AVIATION FZCO</v>
      </c>
      <c r="C50" s="11" t="str">
        <f>_xlfn.XLOOKUP($A50,Centrum[Индекс],Centrum[Country /  Страна],"",0,1)</f>
        <v>KOREA</v>
      </c>
      <c r="D50" s="11" t="str">
        <f>_xlfn.XLOOKUP($A50,Centrum[Индекс],Centrum[Container num./ 
№ контейнера],"",0,1)</f>
        <v>TGHU6138308</v>
      </c>
      <c r="E50" s="11" t="str">
        <f>_xlfn.XLOOKUP($A50,Centrum[Индекс],Centrum[Supplier/
Поставщик],"",0,1)</f>
        <v>GM KOREA COMPANY</v>
      </c>
      <c r="F50" s="11" t="str">
        <f>_xlfn.XLOOKUP($A50,Centrum[Индекс],Centrum[Shippers invoice no/ 
Номер инвойса поставщика],"",1)</f>
        <v>TJAUZ37132C01</v>
      </c>
      <c r="G50" s="15">
        <f>_xlfn.XLOOKUP($A50,Centrum[Индекс],Centrum[Invoice value / Стоимость груза в к-ре по инвойсу],"",0,1)</f>
        <v>47890.9</v>
      </c>
      <c r="H50" s="14" t="s">
        <v>40</v>
      </c>
      <c r="I50" s="11">
        <f>_xlfn.XLOOKUP($A50,Centrum[Индекс],Centrum[CBM on the shipper/ 
CBM по поставщику],"",0,1)</f>
        <v>64.552999999999997</v>
      </c>
      <c r="J50" s="16">
        <f>_xlfn.XLOOKUP($A50,Centrum[Индекс],Centrum[Gross weight of cont// 
Гросс.вес по конт.],"",0,1)</f>
        <v>9554</v>
      </c>
      <c r="K50" s="17" t="str">
        <f>_xlfn.XLOOKUP($A50,Centrum[Индекс],Centrum[Route/ Маршрут (TSR/TCR)],"",0,1)</f>
        <v>TSR</v>
      </c>
      <c r="L50" s="11" t="str">
        <f>_xlfn.XLOOKUP($A50,Centrum[Индекс],Centrum[Условия поставки],"",0,1)</f>
        <v>BUSAN (FOB/P-D)</v>
      </c>
      <c r="M50" s="11" t="str">
        <f>_xlfn.XLOOKUP($A50,Centrum[Индекс],Centrum[№ HBL date / 
№/ дата коносамента],"",0,1)</f>
        <v>FSIMPUAS229366</v>
      </c>
      <c r="N50" s="11" t="str">
        <f>_xlfn.XLOOKUP($A50,Centrum[Индекс],Centrum[№ MBL / 
№/ коносамента],"",0,1)</f>
        <v>FSCOPUVV386631</v>
      </c>
      <c r="O50" s="8">
        <f>(_xlfn.XLOOKUP($A50,Centrum[Индекс],Centrum[Date on board / Дата погрузки на судно],"",0,1))*1</f>
        <v>44979</v>
      </c>
      <c r="P50" s="8">
        <f>(_xlfn.XLOOKUP($A50,Centrum[Индекс],Centrum[Date of arrival to Sary-Agach/ Дата прибытия на Сары-Агач],"",0,1))*1</f>
        <v>45034</v>
      </c>
      <c r="Q50" s="14" t="str">
        <f>_xlfn.XLOOKUP($A50,Centrum[Индекс],Centrum[Container type/ 
Тип контейнера],"",0,1)</f>
        <v>40'HC</v>
      </c>
      <c r="R50" s="16">
        <f>_xlfn.XLOOKUP($A50,Centrum[Индекс],Centrum[Transportation cost per supplier/ 
Cтоимость перевозки по поставщикам],0,0,1)</f>
        <v>10550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10550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0" s="16">
        <f>_xlfn.XLOOKUP(Шаблон_Формулы[[#This Row],[21]],Курс_USD[Дата],Курс_USD[Курс],,0,1)</f>
        <v>11445.03</v>
      </c>
      <c r="W50" s="16">
        <f>Шаблон_Формулы!$T50*Шаблон_Формулы!$V50</f>
        <v>120745066.5</v>
      </c>
      <c r="Y50" s="16">
        <f>Шаблон_Формулы!$W50+Шаблон_Формулы!$X50</f>
        <v>120745066.5</v>
      </c>
      <c r="Z50" s="14" t="str">
        <f>_xlfn.XLOOKUP($A50,Centrum[Индекс],Centrum[Transport co invoice no/ 
Номер инвойса ТК],"",0,1)</f>
        <v>CNT-FS230001670</v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>CENTRUM AVIATION FZCO</v>
      </c>
      <c r="C51" s="11" t="str">
        <f>_xlfn.XLOOKUP($A51,Centrum[Индекс],Centrum[Country /  Страна],"",0,1)</f>
        <v>KOREA</v>
      </c>
      <c r="D51" s="11" t="str">
        <f>_xlfn.XLOOKUP($A51,Centrum[Индекс],Centrum[Container num./ 
№ контейнера],"",0,1)</f>
        <v>TGHU6438584</v>
      </c>
      <c r="E51" s="11" t="str">
        <f>_xlfn.XLOOKUP($A51,Centrum[Индекс],Centrum[Supplier/
Поставщик],"",0,1)</f>
        <v>GM KOREA COMPANY</v>
      </c>
      <c r="F51" s="11" t="str">
        <f>_xlfn.XLOOKUP($A51,Centrum[Индекс],Centrum[Shippers invoice no/ 
Номер инвойса поставщика],"",1)</f>
        <v>TJAUZ37133A01</v>
      </c>
      <c r="G51" s="15">
        <f>_xlfn.XLOOKUP($A51,Centrum[Индекс],Centrum[Invoice value / Стоимость груза в к-ре по инвойсу],"",0,1)</f>
        <v>66406.02</v>
      </c>
      <c r="H51" s="14" t="s">
        <v>40</v>
      </c>
      <c r="I51" s="11">
        <f>_xlfn.XLOOKUP($A51,Centrum[Индекс],Centrum[CBM on the shipper/ 
CBM по поставщику],"",0,1)</f>
        <v>64.239000000000004</v>
      </c>
      <c r="J51" s="16">
        <f>_xlfn.XLOOKUP($A51,Centrum[Индекс],Centrum[Gross weight of cont// 
Гросс.вес по конт.],"",0,1)</f>
        <v>6345</v>
      </c>
      <c r="K51" s="17" t="str">
        <f>_xlfn.XLOOKUP($A51,Centrum[Индекс],Centrum[Route/ Маршрут (TSR/TCR)],"",0,1)</f>
        <v>TSR</v>
      </c>
      <c r="L51" s="11" t="str">
        <f>_xlfn.XLOOKUP($A51,Centrum[Индекс],Centrum[Условия поставки],"",0,1)</f>
        <v>INCHEON (FOB/P-D)</v>
      </c>
      <c r="M51" s="11" t="str">
        <f>_xlfn.XLOOKUP($A51,Centrum[Индекс],Centrum[№ HBL date / 
№/ дата коносамента],"",0,1)</f>
        <v>FSIMINAS229363</v>
      </c>
      <c r="N51" s="11" t="str">
        <f>_xlfn.XLOOKUP($A51,Centrum[Индекс],Centrum[№ MBL / 
№/ коносамента],"",0,1)</f>
        <v>FSCOPUVV386627</v>
      </c>
      <c r="O51" s="8">
        <f>(_xlfn.XLOOKUP($A51,Centrum[Индекс],Centrum[Date on board / Дата погрузки на судно],"",0,1))*1</f>
        <v>44979</v>
      </c>
      <c r="P51" s="8">
        <f>(_xlfn.XLOOKUP($A51,Centrum[Индекс],Centrum[Date of arrival to Sary-Agach/ Дата прибытия на Сары-Агач],"",0,1))*1</f>
        <v>45034</v>
      </c>
      <c r="Q51" s="14" t="str">
        <f>_xlfn.XLOOKUP($A51,Centrum[Индекс],Centrum[Container type/ 
Тип контейнера],"",0,1)</f>
        <v>40'HC</v>
      </c>
      <c r="R51" s="16">
        <f>_xlfn.XLOOKUP($A51,Centrum[Индекс],Centrum[Transportation cost per supplier/ 
Cтоимость перевозки по поставщикам],0,0,1)</f>
        <v>10850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10850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1" s="16">
        <f>_xlfn.XLOOKUP(Шаблон_Формулы[[#This Row],[21]],Курс_USD[Дата],Курс_USD[Курс],,0,1)</f>
        <v>11445.03</v>
      </c>
      <c r="W51" s="16">
        <f>Шаблон_Формулы!$T51*Шаблон_Формулы!$V51</f>
        <v>124178575.5</v>
      </c>
      <c r="Y51" s="16">
        <f>Шаблон_Формулы!$W51+Шаблон_Формулы!$X51</f>
        <v>124178575.5</v>
      </c>
      <c r="Z51" s="14" t="str">
        <f>_xlfn.XLOOKUP($A51,Centrum[Индекс],Centrum[Transport co invoice no/ 
Номер инвойса ТК],"",0,1)</f>
        <v>CNT-FS230001670</v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>CENTRUM AVIATION FZCO</v>
      </c>
      <c r="C52" s="11" t="str">
        <f>_xlfn.XLOOKUP($A52,Centrum[Индекс],Centrum[Country /  Страна],"",0,1)</f>
        <v>KOREA</v>
      </c>
      <c r="D52" s="11" t="str">
        <f>_xlfn.XLOOKUP($A52,Centrum[Индекс],Centrum[Container num./ 
№ контейнера],"",0,1)</f>
        <v>TGHU6626452</v>
      </c>
      <c r="E52" s="11" t="str">
        <f>_xlfn.XLOOKUP($A52,Centrum[Индекс],Centrum[Supplier/
Поставщик],"",0,1)</f>
        <v>GM KOREA COMPANY</v>
      </c>
      <c r="F52" s="11" t="str">
        <f>_xlfn.XLOOKUP($A52,Centrum[Индекс],Centrum[Shippers invoice no/ 
Номер инвойса поставщика],"",1)</f>
        <v>TJAUZ37129A01</v>
      </c>
      <c r="G52" s="15">
        <f>_xlfn.XLOOKUP($A52,Centrum[Индекс],Centrum[Invoice value / Стоимость груза в к-ре по инвойсу],"",0,1)</f>
        <v>13796.36</v>
      </c>
      <c r="H52" s="14" t="s">
        <v>40</v>
      </c>
      <c r="I52" s="11">
        <f>_xlfn.XLOOKUP($A52,Centrum[Индекс],Centrum[CBM on the shipper/ 
CBM по поставщику],"",0,1)</f>
        <v>67.597999999999999</v>
      </c>
      <c r="J52" s="16">
        <f>_xlfn.XLOOKUP($A52,Centrum[Индекс],Centrum[Gross weight of cont// 
Гросс.вес по конт.],"",0,1)</f>
        <v>4933</v>
      </c>
      <c r="K52" s="17" t="str">
        <f>_xlfn.XLOOKUP($A52,Centrum[Индекс],Centrum[Route/ Маршрут (TSR/TCR)],"",0,1)</f>
        <v>TSR</v>
      </c>
      <c r="L52" s="11" t="str">
        <f>_xlfn.XLOOKUP($A52,Centrum[Индекс],Centrum[Условия поставки],"",0,1)</f>
        <v>KUNSAN (FOB/P-D)</v>
      </c>
      <c r="M52" s="11" t="str">
        <f>_xlfn.XLOOKUP($A52,Centrum[Индекс],Centrum[№ HBL date / 
№/ дата коносамента],"",0,1)</f>
        <v>FSIMPUAS229365</v>
      </c>
      <c r="N52" s="11" t="str">
        <f>_xlfn.XLOOKUP($A52,Centrum[Индекс],Centrum[№ MBL / 
№/ коносамента],"",0,1)</f>
        <v>FSCOPUVV386630</v>
      </c>
      <c r="O52" s="8">
        <f>(_xlfn.XLOOKUP($A52,Centrum[Индекс],Centrum[Date on board / Дата погрузки на судно],"",0,1))*1</f>
        <v>44979</v>
      </c>
      <c r="P52" s="8">
        <f>(_xlfn.XLOOKUP($A52,Centrum[Индекс],Centrum[Date of arrival to Sary-Agach/ Дата прибытия на Сары-Агач],"",0,1))*1</f>
        <v>45034</v>
      </c>
      <c r="Q52" s="14" t="str">
        <f>_xlfn.XLOOKUP($A52,Centrum[Индекс],Centrum[Container type/ 
Тип контейнера],"",0,1)</f>
        <v>40'HC</v>
      </c>
      <c r="R52" s="16">
        <f>_xlfn.XLOOKUP($A52,Centrum[Индекс],Centrum[Transportation cost per supplier/ 
Cтоимость перевозки по поставщикам],0,0,1)</f>
        <v>11600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11600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2" s="16">
        <f>_xlfn.XLOOKUP(Шаблон_Формулы[[#This Row],[21]],Курс_USD[Дата],Курс_USD[Курс],,0,1)</f>
        <v>11445.03</v>
      </c>
      <c r="W52" s="16">
        <f>Шаблон_Формулы!$T52*Шаблон_Формулы!$V52</f>
        <v>132762348.00000001</v>
      </c>
      <c r="Y52" s="16">
        <f>Шаблон_Формулы!$W52+Шаблон_Формулы!$X52</f>
        <v>132762348.00000001</v>
      </c>
      <c r="Z52" s="14" t="str">
        <f>_xlfn.XLOOKUP($A52,Centrum[Индекс],Centrum[Transport co invoice no/ 
Номер инвойса ТК],"",0,1)</f>
        <v>CNT-FS230001670</v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>CENTRUM AVIATION FZCO</v>
      </c>
      <c r="C53" s="11" t="str">
        <f>_xlfn.XLOOKUP($A53,Centrum[Индекс],Centrum[Country /  Страна],"",0,1)</f>
        <v>KOREA</v>
      </c>
      <c r="D53" s="11" t="str">
        <f>_xlfn.XLOOKUP($A53,Centrum[Индекс],Centrum[Container num./ 
№ контейнера],"",0,1)</f>
        <v>TGHU6903578</v>
      </c>
      <c r="E53" s="11" t="str">
        <f>_xlfn.XLOOKUP($A53,Centrum[Индекс],Centrum[Supplier/
Поставщик],"",0,1)</f>
        <v>GM KOREA COMPANY</v>
      </c>
      <c r="F53" s="11" t="str">
        <f>_xlfn.XLOOKUP($A53,Centrum[Индекс],Centrum[Shippers invoice no/ 
Номер инвойса поставщика],"",1)</f>
        <v>TJAUZ37129A01</v>
      </c>
      <c r="G53" s="15">
        <f>_xlfn.XLOOKUP($A53,Centrum[Индекс],Centrum[Invoice value / Стоимость груза в к-ре по инвойсу],"",0,1)</f>
        <v>16600.32</v>
      </c>
      <c r="H53" s="14" t="s">
        <v>40</v>
      </c>
      <c r="I53" s="11">
        <f>_xlfn.XLOOKUP($A53,Centrum[Индекс],Centrum[CBM on the shipper/ 
CBM по поставщику],"",0,1)</f>
        <v>67.637</v>
      </c>
      <c r="J53" s="16">
        <f>_xlfn.XLOOKUP($A53,Centrum[Индекс],Centrum[Gross weight of cont// 
Гросс.вес по конт.],"",0,1)</f>
        <v>5692</v>
      </c>
      <c r="K53" s="17" t="str">
        <f>_xlfn.XLOOKUP($A53,Centrum[Индекс],Centrum[Route/ Маршрут (TSR/TCR)],"",0,1)</f>
        <v>TSR</v>
      </c>
      <c r="L53" s="11" t="str">
        <f>_xlfn.XLOOKUP($A53,Centrum[Индекс],Centrum[Условия поставки],"",0,1)</f>
        <v>KUNSAN (FOB/P-D)</v>
      </c>
      <c r="M53" s="11" t="str">
        <f>_xlfn.XLOOKUP($A53,Centrum[Индекс],Centrum[№ HBL date / 
№/ дата коносамента],"",0,1)</f>
        <v>FSIMPUAS229365</v>
      </c>
      <c r="N53" s="11" t="str">
        <f>_xlfn.XLOOKUP($A53,Centrum[Индекс],Centrum[№ MBL / 
№/ коносамента],"",0,1)</f>
        <v>FSCOPUVV386630</v>
      </c>
      <c r="O53" s="8">
        <f>(_xlfn.XLOOKUP($A53,Centrum[Индекс],Centrum[Date on board / Дата погрузки на судно],"",0,1))*1</f>
        <v>44979</v>
      </c>
      <c r="P53" s="8">
        <f>(_xlfn.XLOOKUP($A53,Centrum[Индекс],Centrum[Date of arrival to Sary-Agach/ Дата прибытия на Сары-Агач],"",0,1))*1</f>
        <v>45034</v>
      </c>
      <c r="Q53" s="14" t="str">
        <f>_xlfn.XLOOKUP($A53,Centrum[Индекс],Centrum[Container type/ 
Тип контейнера],"",0,1)</f>
        <v>40'HC</v>
      </c>
      <c r="R53" s="16">
        <f>_xlfn.XLOOKUP($A53,Centrum[Индекс],Centrum[Transportation cost per supplier/ 
Cтоимость перевозки по поставщикам],0,0,1)</f>
        <v>11600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11600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3" s="16">
        <f>_xlfn.XLOOKUP(Шаблон_Формулы[[#This Row],[21]],Курс_USD[Дата],Курс_USD[Курс],,0,1)</f>
        <v>11445.03</v>
      </c>
      <c r="W53" s="16">
        <f>Шаблон_Формулы!$T53*Шаблон_Формулы!$V53</f>
        <v>132762348.00000001</v>
      </c>
      <c r="Y53" s="16">
        <f>Шаблон_Формулы!$W53+Шаблон_Формулы!$X53</f>
        <v>132762348.00000001</v>
      </c>
      <c r="Z53" s="14" t="str">
        <f>_xlfn.XLOOKUP($A53,Centrum[Индекс],Centrum[Transport co invoice no/ 
Номер инвойса ТК],"",0,1)</f>
        <v>CNT-FS230001670</v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>CENTRUM AVIATION FZCO</v>
      </c>
      <c r="C54" s="11" t="str">
        <f>_xlfn.XLOOKUP($A54,Centrum[Индекс],Centrum[Country /  Страна],"",0,1)</f>
        <v>KOREA</v>
      </c>
      <c r="D54" s="11" t="str">
        <f>_xlfn.XLOOKUP($A54,Centrum[Индекс],Centrum[Container num./ 
№ контейнера],"",0,1)</f>
        <v>TGHU9229090</v>
      </c>
      <c r="E54" s="11" t="str">
        <f>_xlfn.XLOOKUP($A54,Centrum[Индекс],Centrum[Supplier/
Поставщик],"",0,1)</f>
        <v>GM KOREA COMPANY</v>
      </c>
      <c r="F54" s="11" t="str">
        <f>_xlfn.XLOOKUP($A54,Centrum[Индекс],Centrum[Shippers invoice no/ 
Номер инвойса поставщика],"",1)</f>
        <v>TJAUZ37132C01</v>
      </c>
      <c r="G54" s="15">
        <f>_xlfn.XLOOKUP($A54,Centrum[Индекс],Centrum[Invoice value / Стоимость груза в к-ре по инвойсу],"",0,1)</f>
        <v>94297.44</v>
      </c>
      <c r="H54" s="14" t="s">
        <v>40</v>
      </c>
      <c r="I54" s="11">
        <f>_xlfn.XLOOKUP($A54,Centrum[Индекс],Centrum[CBM on the shipper/ 
CBM по поставщику],"",0,1)</f>
        <v>65.796999999999997</v>
      </c>
      <c r="J54" s="16">
        <f>_xlfn.XLOOKUP($A54,Centrum[Индекс],Centrum[Gross weight of cont// 
Гросс.вес по конт.],"",0,1)</f>
        <v>10932</v>
      </c>
      <c r="K54" s="17" t="str">
        <f>_xlfn.XLOOKUP($A54,Centrum[Индекс],Centrum[Route/ Маршрут (TSR/TCR)],"",0,1)</f>
        <v>TSR</v>
      </c>
      <c r="L54" s="11" t="str">
        <f>_xlfn.XLOOKUP($A54,Centrum[Индекс],Centrum[Условия поставки],"",0,1)</f>
        <v>BUSAN (FOB/P-D)</v>
      </c>
      <c r="M54" s="11" t="str">
        <f>_xlfn.XLOOKUP($A54,Centrum[Индекс],Centrum[№ HBL date / 
№/ дата коносамента],"",0,1)</f>
        <v>FSIMPUAS229366</v>
      </c>
      <c r="N54" s="11" t="str">
        <f>_xlfn.XLOOKUP($A54,Centrum[Индекс],Centrum[№ MBL / 
№/ коносамента],"",0,1)</f>
        <v>FSCOPUVV386631</v>
      </c>
      <c r="O54" s="8">
        <f>(_xlfn.XLOOKUP($A54,Centrum[Индекс],Centrum[Date on board / Дата погрузки на судно],"",0,1))*1</f>
        <v>44979</v>
      </c>
      <c r="P54" s="8">
        <f>(_xlfn.XLOOKUP($A54,Centrum[Индекс],Centrum[Date of arrival to Sary-Agach/ Дата прибытия на Сары-Агач],"",0,1))*1</f>
        <v>45034</v>
      </c>
      <c r="Q54" s="14" t="str">
        <f>_xlfn.XLOOKUP($A54,Centrum[Индекс],Centrum[Container type/ 
Тип контейнера],"",0,1)</f>
        <v>40'HC</v>
      </c>
      <c r="R54" s="16">
        <f>_xlfn.XLOOKUP($A54,Centrum[Индекс],Centrum[Transportation cost per supplier/ 
Cтоимость перевозки по поставщикам],0,0,1)</f>
        <v>10550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10550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4" s="16">
        <f>_xlfn.XLOOKUP(Шаблон_Формулы[[#This Row],[21]],Курс_USD[Дата],Курс_USD[Курс],,0,1)</f>
        <v>11445.03</v>
      </c>
      <c r="W54" s="16">
        <f>Шаблон_Формулы!$T54*Шаблон_Формулы!$V54</f>
        <v>120745066.5</v>
      </c>
      <c r="Y54" s="16">
        <f>Шаблон_Формулы!$W54+Шаблон_Формулы!$X54</f>
        <v>120745066.5</v>
      </c>
      <c r="Z54" s="14" t="str">
        <f>_xlfn.XLOOKUP($A54,Centrum[Индекс],Centrum[Transport co invoice no/ 
Номер инвойса ТК],"",0,1)</f>
        <v>CNT-FS230001670</v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5" s="16">
        <f>_xlfn.XLOOKUP(Шаблон_Формулы[[#This Row],[21]],Курс_USD[Дата],Курс_USD[Курс],,0,1)</f>
        <v>11445.03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6" s="16">
        <f>_xlfn.XLOOKUP(Шаблон_Формулы[[#This Row],[21]],Курс_USD[Дата],Курс_USD[Курс],,0,1)</f>
        <v>11445.03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7" s="16">
        <f>_xlfn.XLOOKUP(Шаблон_Формулы[[#This Row],[21]],Курс_USD[Дата],Курс_USD[Курс],,0,1)</f>
        <v>11445.03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8" s="16">
        <f>_xlfn.XLOOKUP(Шаблон_Формулы[[#This Row],[21]],Курс_USD[Дата],Курс_USD[Курс],,0,1)</f>
        <v>11445.03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9" s="16">
        <f>_xlfn.XLOOKUP(Шаблон_Формулы[[#This Row],[21]],Курс_USD[Дата],Курс_USD[Курс],,0,1)</f>
        <v>11445.03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0" s="16">
        <f>_xlfn.XLOOKUP(Шаблон_Формулы[[#This Row],[21]],Курс_USD[Дата],Курс_USD[Курс],,0,1)</f>
        <v>11445.03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1" s="16">
        <f>_xlfn.XLOOKUP(Шаблон_Формулы[[#This Row],[21]],Курс_USD[Дата],Курс_USD[Курс],,0,1)</f>
        <v>11445.03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2" s="16">
        <f>_xlfn.XLOOKUP(Шаблон_Формулы[[#This Row],[21]],Курс_USD[Дата],Курс_USD[Курс],,0,1)</f>
        <v>11445.03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3" s="16">
        <f>_xlfn.XLOOKUP(Шаблон_Формулы[[#This Row],[21]],Курс_USD[Дата],Курс_USD[Курс],,0,1)</f>
        <v>11445.03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4" s="16">
        <f>_xlfn.XLOOKUP(Шаблон_Формулы[[#This Row],[21]],Курс_USD[Дата],Курс_USD[Курс],,0,1)</f>
        <v>11445.03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5" s="16">
        <f>_xlfn.XLOOKUP(Шаблон_Формулы[[#This Row],[21]],Курс_USD[Дата],Курс_USD[Курс],,0,1)</f>
        <v>11445.03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6" s="16">
        <f>_xlfn.XLOOKUP(Шаблон_Формулы[[#This Row],[21]],Курс_USD[Дата],Курс_USD[Курс],,0,1)</f>
        <v>11445.03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7" s="16">
        <f>_xlfn.XLOOKUP(Шаблон_Формулы[[#This Row],[21]],Курс_USD[Дата],Курс_USD[Курс],,0,1)</f>
        <v>11445.03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8" s="16">
        <f>_xlfn.XLOOKUP(Шаблон_Формулы[[#This Row],[21]],Курс_USD[Дата],Курс_USD[Курс],,0,1)</f>
        <v>11445.03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9" s="16">
        <f>_xlfn.XLOOKUP(Шаблон_Формулы[[#This Row],[21]],Курс_USD[Дата],Курс_USD[Курс],,0,1)</f>
        <v>11445.03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0" s="16">
        <f>_xlfn.XLOOKUP(Шаблон_Формулы[[#This Row],[21]],Курс_USD[Дата],Курс_USD[Курс],,0,1)</f>
        <v>11445.03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1" s="16">
        <f>_xlfn.XLOOKUP(Шаблон_Формулы[[#This Row],[21]],Курс_USD[Дата],Курс_USD[Курс],,0,1)</f>
        <v>11445.03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2" s="16">
        <f>_xlfn.XLOOKUP(Шаблон_Формулы[[#This Row],[21]],Курс_USD[Дата],Курс_USD[Курс],,0,1)</f>
        <v>11445.03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3" s="16">
        <f>_xlfn.XLOOKUP(Шаблон_Формулы[[#This Row],[21]],Курс_USD[Дата],Курс_USD[Курс],,0,1)</f>
        <v>11445.03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4" s="16">
        <f>_xlfn.XLOOKUP(Шаблон_Формулы[[#This Row],[21]],Курс_USD[Дата],Курс_USD[Курс],,0,1)</f>
        <v>11445.03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5" s="16">
        <f>_xlfn.XLOOKUP(Шаблон_Формулы[[#This Row],[21]],Курс_USD[Дата],Курс_USD[Курс],,0,1)</f>
        <v>11445.03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6" s="16">
        <f>_xlfn.XLOOKUP(Шаблон_Формулы[[#This Row],[21]],Курс_USD[Дата],Курс_USD[Курс],,0,1)</f>
        <v>11445.03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7" s="16">
        <f>_xlfn.XLOOKUP(Шаблон_Формулы[[#This Row],[21]],Курс_USD[Дата],Курс_USD[Курс],,0,1)</f>
        <v>11445.03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8" s="16">
        <f>_xlfn.XLOOKUP(Шаблон_Формулы[[#This Row],[21]],Курс_USD[Дата],Курс_USD[Курс],,0,1)</f>
        <v>11445.03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9" s="16">
        <f>_xlfn.XLOOKUP(Шаблон_Формулы[[#This Row],[21]],Курс_USD[Дата],Курс_USD[Курс],,0,1)</f>
        <v>11445.03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0" s="16">
        <f>_xlfn.XLOOKUP(Шаблон_Формулы[[#This Row],[21]],Курс_USD[Дата],Курс_USD[Курс],,0,1)</f>
        <v>11445.03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1" s="16">
        <f>_xlfn.XLOOKUP(Шаблон_Формулы[[#This Row],[21]],Курс_USD[Дата],Курс_USD[Курс],,0,1)</f>
        <v>11445.03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2" s="16">
        <f>_xlfn.XLOOKUP(Шаблон_Формулы[[#This Row],[21]],Курс_USD[Дата],Курс_USD[Курс],,0,1)</f>
        <v>11445.03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3" s="16">
        <f>_xlfn.XLOOKUP(Шаблон_Формулы[[#This Row],[21]],Курс_USD[Дата],Курс_USD[Курс],,0,1)</f>
        <v>11445.03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4" s="16">
        <f>_xlfn.XLOOKUP(Шаблон_Формулы[[#This Row],[21]],Курс_USD[Дата],Курс_USD[Курс],,0,1)</f>
        <v>11445.03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5" s="16">
        <f>_xlfn.XLOOKUP(Шаблон_Формулы[[#This Row],[21]],Курс_USD[Дата],Курс_USD[Курс],,0,1)</f>
        <v>11445.03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6" s="16">
        <f>_xlfn.XLOOKUP(Шаблон_Формулы[[#This Row],[21]],Курс_USD[Дата],Курс_USD[Курс],,0,1)</f>
        <v>11445.03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7" s="16">
        <f>_xlfn.XLOOKUP(Шаблон_Формулы[[#This Row],[21]],Курс_USD[Дата],Курс_USD[Курс],,0,1)</f>
        <v>11445.03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8" s="16">
        <f>_xlfn.XLOOKUP(Шаблон_Формулы[[#This Row],[21]],Курс_USD[Дата],Курс_USD[Курс],,0,1)</f>
        <v>11445.03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9" s="16">
        <f>_xlfn.XLOOKUP(Шаблон_Формулы[[#This Row],[21]],Курс_USD[Дата],Курс_USD[Курс],,0,1)</f>
        <v>11445.03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0" s="16">
        <f>_xlfn.XLOOKUP(Шаблон_Формулы[[#This Row],[21]],Курс_USD[Дата],Курс_USD[Курс],,0,1)</f>
        <v>11445.03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1" s="16">
        <f>_xlfn.XLOOKUP(Шаблон_Формулы[[#This Row],[21]],Курс_USD[Дата],Курс_USD[Курс],,0,1)</f>
        <v>11445.03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2" s="16">
        <f>_xlfn.XLOOKUP(Шаблон_Формулы[[#This Row],[21]],Курс_USD[Дата],Курс_USD[Курс],,0,1)</f>
        <v>11445.03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3" s="16">
        <f>_xlfn.XLOOKUP(Шаблон_Формулы[[#This Row],[21]],Курс_USD[Дата],Курс_USD[Курс],,0,1)</f>
        <v>11445.03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4" s="16">
        <f>_xlfn.XLOOKUP(Шаблон_Формулы[[#This Row],[21]],Курс_USD[Дата],Курс_USD[Курс],,0,1)</f>
        <v>11445.03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5" s="16">
        <f>_xlfn.XLOOKUP(Шаблон_Формулы[[#This Row],[21]],Курс_USD[Дата],Курс_USD[Курс],,0,1)</f>
        <v>11445.03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6" s="16">
        <f>_xlfn.XLOOKUP(Шаблон_Формулы[[#This Row],[21]],Курс_USD[Дата],Курс_USD[Курс],,0,1)</f>
        <v>11445.03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7" s="16">
        <f>_xlfn.XLOOKUP(Шаблон_Формулы[[#This Row],[21]],Курс_USD[Дата],Курс_USD[Курс],,0,1)</f>
        <v>11445.03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8" s="16">
        <f>_xlfn.XLOOKUP(Шаблон_Формулы[[#This Row],[21]],Курс_USD[Дата],Курс_USD[Курс],,0,1)</f>
        <v>11445.03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9" s="16">
        <f>_xlfn.XLOOKUP(Шаблон_Формулы[[#This Row],[21]],Курс_USD[Дата],Курс_USD[Курс],,0,1)</f>
        <v>11445.03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0" s="16">
        <f>_xlfn.XLOOKUP(Шаблон_Формулы[[#This Row],[21]],Курс_USD[Дата],Курс_USD[Курс],,0,1)</f>
        <v>11445.03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1" s="16">
        <f>_xlfn.XLOOKUP(Шаблон_Формулы[[#This Row],[21]],Курс_USD[Дата],Курс_USD[Курс],,0,1)</f>
        <v>11445.03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2" s="16">
        <f>_xlfn.XLOOKUP(Шаблон_Формулы[[#This Row],[21]],Курс_USD[Дата],Курс_USD[Курс],,0,1)</f>
        <v>11445.03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3" s="16">
        <f>_xlfn.XLOOKUP(Шаблон_Формулы[[#This Row],[21]],Курс_USD[Дата],Курс_USD[Курс],,0,1)</f>
        <v>11445.03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4" s="16">
        <f>_xlfn.XLOOKUP(Шаблон_Формулы[[#This Row],[21]],Курс_USD[Дата],Курс_USD[Курс],,0,1)</f>
        <v>11445.03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5" s="16">
        <f>_xlfn.XLOOKUP(Шаблон_Формулы[[#This Row],[21]],Курс_USD[Дата],Курс_USD[Курс],,0,1)</f>
        <v>11445.03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6" s="16">
        <f>_xlfn.XLOOKUP(Шаблон_Формулы[[#This Row],[21]],Курс_USD[Дата],Курс_USD[Курс],,0,1)</f>
        <v>11445.03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7" s="16">
        <f>_xlfn.XLOOKUP(Шаблон_Формулы[[#This Row],[21]],Курс_USD[Дата],Курс_USD[Курс],,0,1)</f>
        <v>11445.03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8" s="16">
        <f>_xlfn.XLOOKUP(Шаблон_Формулы[[#This Row],[21]],Курс_USD[Дата],Курс_USD[Курс],,0,1)</f>
        <v>11445.03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9" s="16">
        <f>_xlfn.XLOOKUP(Шаблон_Формулы[[#This Row],[21]],Курс_USD[Дата],Курс_USD[Курс],,0,1)</f>
        <v>11445.03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0" s="16">
        <f>_xlfn.XLOOKUP(Шаблон_Формулы[[#This Row],[21]],Курс_USD[Дата],Курс_USD[Курс],,0,1)</f>
        <v>11445.03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1" s="16">
        <f>_xlfn.XLOOKUP(Шаблон_Формулы[[#This Row],[21]],Курс_USD[Дата],Курс_USD[Курс],,0,1)</f>
        <v>11445.03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2" s="16">
        <f>_xlfn.XLOOKUP(Шаблон_Формулы[[#This Row],[21]],Курс_USD[Дата],Курс_USD[Курс],,0,1)</f>
        <v>11445.03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3" s="16">
        <f>_xlfn.XLOOKUP(Шаблон_Формулы[[#This Row],[21]],Курс_USD[Дата],Курс_USD[Курс],,0,1)</f>
        <v>11445.03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4" s="16">
        <f>_xlfn.XLOOKUP(Шаблон_Формулы[[#This Row],[21]],Курс_USD[Дата],Курс_USD[Курс],,0,1)</f>
        <v>11445.03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5" s="16">
        <f>_xlfn.XLOOKUP(Шаблон_Формулы[[#This Row],[21]],Курс_USD[Дата],Курс_USD[Курс],,0,1)</f>
        <v>11445.03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6" s="16">
        <f>_xlfn.XLOOKUP(Шаблон_Формулы[[#This Row],[21]],Курс_USD[Дата],Курс_USD[Курс],,0,1)</f>
        <v>11445.03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7" s="16">
        <f>_xlfn.XLOOKUP(Шаблон_Формулы[[#This Row],[21]],Курс_USD[Дата],Курс_USD[Курс],,0,1)</f>
        <v>11445.03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8" s="16">
        <f>_xlfn.XLOOKUP(Шаблон_Формулы[[#This Row],[21]],Курс_USD[Дата],Курс_USD[Курс],,0,1)</f>
        <v>11445.03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9" s="16">
        <f>_xlfn.XLOOKUP(Шаблон_Формулы[[#This Row],[21]],Курс_USD[Дата],Курс_USD[Курс],,0,1)</f>
        <v>11445.03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0" s="16">
        <f>_xlfn.XLOOKUP(Шаблон_Формулы[[#This Row],[21]],Курс_USD[Дата],Курс_USD[Курс],,0,1)</f>
        <v>11445.03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1" s="16">
        <f>_xlfn.XLOOKUP(Шаблон_Формулы[[#This Row],[21]],Курс_USD[Дата],Курс_USD[Курс],,0,1)</f>
        <v>11445.03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2" s="16">
        <f>_xlfn.XLOOKUP(Шаблон_Формулы[[#This Row],[21]],Курс_USD[Дата],Курс_USD[Курс],,0,1)</f>
        <v>11445.03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3" s="16">
        <f>_xlfn.XLOOKUP(Шаблон_Формулы[[#This Row],[21]],Курс_USD[Дата],Курс_USD[Курс],,0,1)</f>
        <v>11445.03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4" s="16">
        <f>_xlfn.XLOOKUP(Шаблон_Формулы[[#This Row],[21]],Курс_USD[Дата],Курс_USD[Курс],,0,1)</f>
        <v>11445.03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5" s="16">
        <f>_xlfn.XLOOKUP(Шаблон_Формулы[[#This Row],[21]],Курс_USD[Дата],Курс_USD[Курс],,0,1)</f>
        <v>11445.03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6" s="16">
        <f>_xlfn.XLOOKUP(Шаблон_Формулы[[#This Row],[21]],Курс_USD[Дата],Курс_USD[Курс],,0,1)</f>
        <v>11445.03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7" s="16">
        <f>_xlfn.XLOOKUP(Шаблон_Формулы[[#This Row],[21]],Курс_USD[Дата],Курс_USD[Курс],,0,1)</f>
        <v>11445.03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8" s="16">
        <f>_xlfn.XLOOKUP(Шаблон_Формулы[[#This Row],[21]],Курс_USD[Дата],Курс_USD[Курс],,0,1)</f>
        <v>11445.03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9" s="16">
        <f>_xlfn.XLOOKUP(Шаблон_Формулы[[#This Row],[21]],Курс_USD[Дата],Курс_USD[Курс],,0,1)</f>
        <v>11445.03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0" s="16">
        <f>_xlfn.XLOOKUP(Шаблон_Формулы[[#This Row],[21]],Курс_USD[Дата],Курс_USD[Курс],,0,1)</f>
        <v>11445.03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1" s="16">
        <f>_xlfn.XLOOKUP(Шаблон_Формулы[[#This Row],[21]],Курс_USD[Дата],Курс_USD[Курс],,0,1)</f>
        <v>11445.03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2" s="16">
        <f>_xlfn.XLOOKUP(Шаблон_Формулы[[#This Row],[21]],Курс_USD[Дата],Курс_USD[Курс],,0,1)</f>
        <v>11445.03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3" s="16">
        <f>_xlfn.XLOOKUP(Шаблон_Формулы[[#This Row],[21]],Курс_USD[Дата],Курс_USD[Курс],,0,1)</f>
        <v>11445.03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4" s="16">
        <f>_xlfn.XLOOKUP(Шаблон_Формулы[[#This Row],[21]],Курс_USD[Дата],Курс_USD[Курс],,0,1)</f>
        <v>11445.03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5" s="16">
        <f>_xlfn.XLOOKUP(Шаблон_Формулы[[#This Row],[21]],Курс_USD[Дата],Курс_USD[Курс],,0,1)</f>
        <v>11445.03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6" s="16">
        <f>_xlfn.XLOOKUP(Шаблон_Формулы[[#This Row],[21]],Курс_USD[Дата],Курс_USD[Курс],,0,1)</f>
        <v>11445.03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7" s="16">
        <f>_xlfn.XLOOKUP(Шаблон_Формулы[[#This Row],[21]],Курс_USD[Дата],Курс_USD[Курс],,0,1)</f>
        <v>11445.03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8" s="16">
        <f>_xlfn.XLOOKUP(Шаблон_Формулы[[#This Row],[21]],Курс_USD[Дата],Курс_USD[Курс],,0,1)</f>
        <v>11445.03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9" s="16">
        <f>_xlfn.XLOOKUP(Шаблон_Формулы[[#This Row],[21]],Курс_USD[Дата],Курс_USD[Курс],,0,1)</f>
        <v>11445.03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0" s="16">
        <f>_xlfn.XLOOKUP(Шаблон_Формулы[[#This Row],[21]],Курс_USD[Дата],Курс_USD[Курс],,0,1)</f>
        <v>11445.03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1" s="16">
        <f>_xlfn.XLOOKUP(Шаблон_Формулы[[#This Row],[21]],Курс_USD[Дата],Курс_USD[Курс],,0,1)</f>
        <v>11445.03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2" s="16">
        <f>_xlfn.XLOOKUP(Шаблон_Формулы[[#This Row],[21]],Курс_USD[Дата],Курс_USD[Курс],,0,1)</f>
        <v>11445.03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3" s="16">
        <f>_xlfn.XLOOKUP(Шаблон_Формулы[[#This Row],[21]],Курс_USD[Дата],Курс_USD[Курс],,0,1)</f>
        <v>11445.03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4" s="16">
        <f>_xlfn.XLOOKUP(Шаблон_Формулы[[#This Row],[21]],Курс_USD[Дата],Курс_USD[Курс],,0,1)</f>
        <v>11445.03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5" s="16">
        <f>_xlfn.XLOOKUP(Шаблон_Формулы[[#This Row],[21]],Курс_USD[Дата],Курс_USD[Курс],,0,1)</f>
        <v>11445.03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6" s="16">
        <f>_xlfn.XLOOKUP(Шаблон_Формулы[[#This Row],[21]],Курс_USD[Дата],Курс_USD[Курс],,0,1)</f>
        <v>11445.03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7" s="16">
        <f>_xlfn.XLOOKUP(Шаблон_Формулы[[#This Row],[21]],Курс_USD[Дата],Курс_USD[Курс],,0,1)</f>
        <v>11445.03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8" s="16">
        <f>_xlfn.XLOOKUP(Шаблон_Формулы[[#This Row],[21]],Курс_USD[Дата],Курс_USD[Курс],,0,1)</f>
        <v>11445.03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9" s="16">
        <f>_xlfn.XLOOKUP(Шаблон_Формулы[[#This Row],[21]],Курс_USD[Дата],Курс_USD[Курс],,0,1)</f>
        <v>11445.03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0" s="16">
        <f>_xlfn.XLOOKUP(Шаблон_Формулы[[#This Row],[21]],Курс_USD[Дата],Курс_USD[Курс],,0,1)</f>
        <v>11445.03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1" s="16">
        <f>_xlfn.XLOOKUP(Шаблон_Формулы[[#This Row],[21]],Курс_USD[Дата],Курс_USD[Курс],,0,1)</f>
        <v>11445.03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2" s="16">
        <f>_xlfn.XLOOKUP(Шаблон_Формулы[[#This Row],[21]],Курс_USD[Дата],Курс_USD[Курс],,0,1)</f>
        <v>11445.03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3" s="16">
        <f>_xlfn.XLOOKUP(Шаблон_Формулы[[#This Row],[21]],Курс_USD[Дата],Курс_USD[Курс],,0,1)</f>
        <v>11445.03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4" s="16">
        <f>_xlfn.XLOOKUP(Шаблон_Формулы[[#This Row],[21]],Курс_USD[Дата],Курс_USD[Курс],,0,1)</f>
        <v>11445.03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2023-10-02T12:08:53Z</dcterms:modified>
</cp:coreProperties>
</file>