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EDO\Октябрь\"/>
    </mc:Choice>
  </mc:AlternateContent>
  <xr:revisionPtr revIDLastSave="0" documentId="13_ncr:1_{2071B741-5588-4F29-96DF-F22D126CE8F6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'Centrum'!$A$1:$V$11</definedName>
    <definedName name="ExternalData_1" localSheetId="3" hidden="1">Курс!$A$5:$D$8</definedName>
    <definedName name="ExternalData_1" localSheetId="0" hidden="1">Лист1!$A$2:$Z$14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6" i="8"/>
  <c r="Y7" i="8"/>
  <c r="Y8" i="8"/>
  <c r="Y9" i="8"/>
  <c r="Y10" i="8"/>
  <c r="Y11" i="8"/>
  <c r="Y12" i="8"/>
  <c r="Y13" i="8"/>
  <c r="Y14" i="8"/>
  <c r="Y5" i="8"/>
  <c r="W6" i="8"/>
  <c r="W7" i="8"/>
  <c r="W8" i="8"/>
  <c r="W9" i="8"/>
  <c r="W10" i="8"/>
  <c r="W11" i="8"/>
  <c r="W12" i="8"/>
  <c r="W13" i="8"/>
  <c r="W14" i="8"/>
  <c r="W5" i="8"/>
  <c r="T4" i="8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<sst xmlns="http://schemas.openxmlformats.org/spreadsheetml/2006/main" count="557" uniqueCount="144">
  <si>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</si>
  <si>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</si>
  <si>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</si>
  <si>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</si>
  <si>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</si>
  <si>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</si>
  <si>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</si>
  <si>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</si>
  <si>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</si>
  <si>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</si>
  <si>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</si>
  <si>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</si>
  <si>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</si>
  <si>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</si>
  <si>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</si>
  <si>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</si>
  <si>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</si>
  <si>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</si>
  <si>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</si>
  <si>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</si>
  <si>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</si>
  <si>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</si>
  <si>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</si>
  <si>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</si>
  <si>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</si>
  <si>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</si>
  <si>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</si>
  <si>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</si>
  <si>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</si>
  <si>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</si>
  <si>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</si>
  <si>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</si>
  <si>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</si>
  <si>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</si>
  <si>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</si>
  <si>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</si>
  <si>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</si>
  <si>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</si>
  <si>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</si>
  <si>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</si>
  <si>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</si>
  <si>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</si>
  <si>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</si>
  <si>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</si>
  <si>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</si>
  <si>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</si>
  <si>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</si>
  <si>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</si>
  <si>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</si>
  <si>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</si>
  <si>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</si>
  <si>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</si>
  <si>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</si>
  <si>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</si>
  <si>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</si>
  <si>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</si>
  <si>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</si>
  <si>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</si>
  <si>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</si>
  <si>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</si>
  <si>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</si>
  <si>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</si>
  <si>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</si>
  <si>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</si>
  <si>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</si>
  <si>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</si>
  <si>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</si>
  <si>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</si>
  <si>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</si>
  <si>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</si>
  <si>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</si>
  <si>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</si>
  <si>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</si>
  <si>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</si>
  <si>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</si>
  <si>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</si>
  <si>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</si>
  <si>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</si>
  <si>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</si>
  <si>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</si>
  <si>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</si>
  <si>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</si>
  <si>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</si>
  <si>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</si>
  <si>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</si>
  <si>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</si>
  <si>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</si>
  <si>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</si>
  <si>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</si>
  <si>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</si>
  <si>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</si>
  <si>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</si>
  <si>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</si>
  <si>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</si>
  <si>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</si>
  <si>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</si>
  <si>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</si>
  <si>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</si>
  <si>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</si>
  <si>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</si>
  <si>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</si>
  <si>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</si>
  <si>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</si>
  <si>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</si>
  <si>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Ср</t>
  </si>
  <si>
    <t>Чт</t>
  </si>
  <si>
    <t>Пт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</si>
  <si>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</si>
  <si>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</si>
  <si>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</si>
  <si>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</si>
  <si>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</si>
  <si>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CNT-K23070628P.xlsx</t>
  </si>
  <si>
    <t>KR</t>
  </si>
  <si>
    <t>27-BT</t>
  </si>
  <si>
    <t>CCLU7035525</t>
  </si>
  <si>
    <t>SHANDONG LINGLONG TYRE CO.,LTD</t>
  </si>
  <si>
    <t>6020230485203</t>
  </si>
  <si>
    <t>BUSAN FOB / P-D</t>
  </si>
  <si>
    <t>TSR-PITNYAK</t>
  </si>
  <si>
    <t>ULSO23070628</t>
  </si>
  <si>
    <t>JAWHFA067NS035</t>
  </si>
  <si>
    <t>CNT-K23070628P</t>
  </si>
  <si>
    <t>EMCU9790027</t>
  </si>
  <si>
    <t>6020230485204</t>
  </si>
  <si>
    <t>IMTU9050797</t>
  </si>
  <si>
    <t>6020230485202</t>
  </si>
  <si>
    <t>MOTU0651809</t>
  </si>
  <si>
    <t>6020230506903</t>
  </si>
  <si>
    <t>MOTU0685990</t>
  </si>
  <si>
    <t>6020230506902</t>
  </si>
  <si>
    <t>TCNU8438703</t>
  </si>
  <si>
    <t>6020230485205</t>
  </si>
  <si>
    <t>TCNU9547885</t>
  </si>
  <si>
    <t>6020230485201</t>
  </si>
  <si>
    <t>TRLU5678111</t>
  </si>
  <si>
    <t>6020230506905</t>
  </si>
  <si>
    <t>TRLU7334650</t>
  </si>
  <si>
    <t>6020230506904</t>
  </si>
  <si>
    <t>TRLU7452308</t>
  </si>
  <si>
    <t>6020230506901</t>
  </si>
  <si>
    <t>CENTRUM AVIATION FZCO 
Доп-4</t>
  </si>
  <si>
    <t>QINGDAO FOB / P-D</t>
  </si>
  <si>
    <t>CNT-K23070628P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</si>
</sst>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14" tableType="queryTable" totalsRowShown="0" headerRowDxfId="91" dataDxfId="90" tableBorderDxfId="89">
  <autoFilter ref="A2:Z14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11" tableType="queryTable" totalsRowShown="0" headerRowDxfId="62" dataDxfId="61">
  <autoFilter ref="A1:V1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8" tableType="queryTable" totalsRowShown="0" headerRowDxfId="33">
  <autoFilter ref="A5:D8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topLeftCell="L1" workbookViewId="0">
      <selection activeCell="U5" sqref="U5:V5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CNT-K23070628P (K)</v>
      </c>
      <c r="E1" s="54"/>
      <c r="F1" s="54"/>
      <c r="G1" s="54"/>
      <c r="H1" s="55">
        <v>45177</v>
      </c>
      <c r="I1" s="55"/>
      <c r="J1" s="56" t="s">
        <v>111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76</v>
      </c>
      <c r="B2" s="27" t="s">
        <v>77</v>
      </c>
      <c r="C2" s="27" t="s">
        <v>78</v>
      </c>
      <c r="D2" s="27" t="s">
        <v>79</v>
      </c>
      <c r="E2" s="27" t="s">
        <v>80</v>
      </c>
      <c r="F2" s="27" t="s">
        <v>81</v>
      </c>
      <c r="G2" s="27" t="s">
        <v>82</v>
      </c>
      <c r="H2" s="27" t="s">
        <v>83</v>
      </c>
      <c r="I2" s="27" t="s">
        <v>84</v>
      </c>
      <c r="J2" s="27" t="s">
        <v>85</v>
      </c>
      <c r="K2" s="27" t="s">
        <v>86</v>
      </c>
      <c r="L2" s="27" t="s">
        <v>87</v>
      </c>
      <c r="M2" s="27" t="s">
        <v>88</v>
      </c>
      <c r="N2" s="27" t="s">
        <v>89</v>
      </c>
      <c r="O2" s="27" t="s">
        <v>90</v>
      </c>
      <c r="P2" s="27" t="s">
        <v>91</v>
      </c>
      <c r="Q2" s="27" t="s">
        <v>92</v>
      </c>
      <c r="R2" s="27" t="s">
        <v>93</v>
      </c>
      <c r="S2" s="27" t="s">
        <v>94</v>
      </c>
      <c r="T2" s="27" t="s">
        <v>95</v>
      </c>
      <c r="U2" s="27" t="s">
        <v>96</v>
      </c>
      <c r="V2" s="27" t="s">
        <v>97</v>
      </c>
      <c r="W2" s="27" t="s">
        <v>98</v>
      </c>
      <c r="X2" s="27" t="s">
        <v>99</v>
      </c>
      <c r="Y2" s="27" t="s">
        <v>100</v>
      </c>
      <c r="Z2" s="27" t="s">
        <v>101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SUM(T5:T14)</f>
        <v>13500</v>
      </c>
      <c r="U4" s="40"/>
      <c r="V4" s="39"/>
      <c r="W4" s="39"/>
      <c r="X4" s="41"/>
      <c r="Y4" s="39">
        <f>SUM(Y5:Y14)</f>
        <v>163851660</v>
      </c>
      <c r="Z4" s="44"/>
    </row>
    <row r="5" spans="1:26" ht="36.75" x14ac:dyDescent="0.25">
      <c r="A5" s="44">
        <v>1</v>
      </c>
      <c r="B5" s="41" t="s">
        <v>141</v>
      </c>
      <c r="C5" s="41" t="s">
        <v>113</v>
      </c>
      <c r="D5" s="41" t="s">
        <v>115</v>
      </c>
      <c r="E5" s="41" t="s">
        <v>116</v>
      </c>
      <c r="F5" s="41" t="s">
        <v>117</v>
      </c>
      <c r="G5" s="38">
        <v>43920</v>
      </c>
      <c r="H5" s="45" t="s">
        <v>40</v>
      </c>
      <c r="I5" s="37">
        <v>70</v>
      </c>
      <c r="J5" s="39">
        <v>12640</v>
      </c>
      <c r="K5" s="46" t="s">
        <v>119</v>
      </c>
      <c r="L5" s="41" t="s">
        <v>142</v>
      </c>
      <c r="M5" s="41" t="s">
        <v>120</v>
      </c>
      <c r="N5" s="41" t="s">
        <v>121</v>
      </c>
      <c r="O5" s="40">
        <v>45131</v>
      </c>
      <c r="P5" s="40">
        <v>45175</v>
      </c>
      <c r="Q5" s="45" t="s">
        <v>45</v>
      </c>
      <c r="R5" s="39">
        <v>1350</v>
      </c>
      <c r="S5" s="39">
        <v>0</v>
      </c>
      <c r="T5" s="39">
        <v>1350</v>
      </c>
      <c r="U5" s="40">
        <v>45177</v>
      </c>
      <c r="V5" s="39">
        <v>12137.16</v>
      </c>
      <c r="W5" s="39">
        <f>Шаблон_Формулы_2[[#This Row],[22]]*Шаблон_Формулы_2[[#This Row],[20]]</f>
        <v>16385166</v>
      </c>
      <c r="X5" s="41"/>
      <c r="Y5" s="39">
        <f>Шаблон_Формулы_2[[#This Row],[24]]+Шаблон_Формулы_2[[#This Row],[23]]</f>
        <v>16385166</v>
      </c>
      <c r="Z5" s="44" t="s">
        <v>143</v>
      </c>
    </row>
    <row r="6" spans="1:26" s="4" customFormat="1" ht="36.75" x14ac:dyDescent="0.25">
      <c r="A6" s="44">
        <v>2</v>
      </c>
      <c r="B6" s="41" t="s">
        <v>141</v>
      </c>
      <c r="C6" s="41" t="s">
        <v>113</v>
      </c>
      <c r="D6" s="41" t="s">
        <v>123</v>
      </c>
      <c r="E6" s="41" t="s">
        <v>116</v>
      </c>
      <c r="F6" s="41" t="s">
        <v>124</v>
      </c>
      <c r="G6" s="38">
        <v>43920</v>
      </c>
      <c r="H6" s="45" t="s">
        <v>40</v>
      </c>
      <c r="I6" s="37">
        <v>70</v>
      </c>
      <c r="J6" s="39">
        <v>12640</v>
      </c>
      <c r="K6" s="46" t="s">
        <v>119</v>
      </c>
      <c r="L6" s="41" t="s">
        <v>142</v>
      </c>
      <c r="M6" s="41" t="s">
        <v>120</v>
      </c>
      <c r="N6" s="41" t="s">
        <v>121</v>
      </c>
      <c r="O6" s="40">
        <v>45131</v>
      </c>
      <c r="P6" s="40">
        <v>45175</v>
      </c>
      <c r="Q6" s="45" t="s">
        <v>45</v>
      </c>
      <c r="R6" s="39">
        <v>1350</v>
      </c>
      <c r="S6" s="39">
        <v>0</v>
      </c>
      <c r="T6" s="39">
        <v>1350</v>
      </c>
      <c r="U6" s="40">
        <v>45177</v>
      </c>
      <c r="V6" s="39">
        <v>12137.16</v>
      </c>
      <c r="W6" s="39">
        <f>Шаблон_Формулы_2[[#This Row],[22]]*Шаблон_Формулы_2[[#This Row],[20]]</f>
        <v>16385166</v>
      </c>
      <c r="X6" s="41"/>
      <c r="Y6" s="39">
        <f>Шаблон_Формулы_2[[#This Row],[24]]+Шаблон_Формулы_2[[#This Row],[23]]</f>
        <v>16385166</v>
      </c>
      <c r="Z6" s="44" t="s">
        <v>143</v>
      </c>
    </row>
    <row r="7" spans="1:26" s="4" customFormat="1" ht="36.75" x14ac:dyDescent="0.25">
      <c r="A7" s="44">
        <v>3</v>
      </c>
      <c r="B7" s="41" t="s">
        <v>141</v>
      </c>
      <c r="C7" s="41" t="s">
        <v>113</v>
      </c>
      <c r="D7" s="41" t="s">
        <v>125</v>
      </c>
      <c r="E7" s="41" t="s">
        <v>116</v>
      </c>
      <c r="F7" s="41" t="s">
        <v>126</v>
      </c>
      <c r="G7" s="38">
        <v>43920</v>
      </c>
      <c r="H7" s="45" t="s">
        <v>40</v>
      </c>
      <c r="I7" s="37">
        <v>70</v>
      </c>
      <c r="J7" s="39">
        <v>12640</v>
      </c>
      <c r="K7" s="46" t="s">
        <v>119</v>
      </c>
      <c r="L7" s="41" t="s">
        <v>142</v>
      </c>
      <c r="M7" s="41" t="s">
        <v>120</v>
      </c>
      <c r="N7" s="41" t="s">
        <v>121</v>
      </c>
      <c r="O7" s="40">
        <v>45131</v>
      </c>
      <c r="P7" s="40">
        <v>45175</v>
      </c>
      <c r="Q7" s="45" t="s">
        <v>45</v>
      </c>
      <c r="R7" s="39">
        <v>1350</v>
      </c>
      <c r="S7" s="39">
        <v>0</v>
      </c>
      <c r="T7" s="39">
        <v>1350</v>
      </c>
      <c r="U7" s="40">
        <v>45177</v>
      </c>
      <c r="V7" s="39">
        <v>12137.16</v>
      </c>
      <c r="W7" s="39">
        <f>Шаблон_Формулы_2[[#This Row],[22]]*Шаблон_Формулы_2[[#This Row],[20]]</f>
        <v>16385166</v>
      </c>
      <c r="X7" s="41"/>
      <c r="Y7" s="39">
        <f>Шаблон_Формулы_2[[#This Row],[24]]+Шаблон_Формулы_2[[#This Row],[23]]</f>
        <v>16385166</v>
      </c>
      <c r="Z7" s="44" t="s">
        <v>143</v>
      </c>
    </row>
    <row r="8" spans="1:26" s="4" customFormat="1" ht="36.75" x14ac:dyDescent="0.25">
      <c r="A8" s="44">
        <v>4</v>
      </c>
      <c r="B8" s="41" t="s">
        <v>141</v>
      </c>
      <c r="C8" s="41" t="s">
        <v>113</v>
      </c>
      <c r="D8" s="41" t="s">
        <v>127</v>
      </c>
      <c r="E8" s="41" t="s">
        <v>116</v>
      </c>
      <c r="F8" s="41" t="s">
        <v>128</v>
      </c>
      <c r="G8" s="38">
        <v>43920</v>
      </c>
      <c r="H8" s="45" t="s">
        <v>40</v>
      </c>
      <c r="I8" s="37">
        <v>70</v>
      </c>
      <c r="J8" s="39">
        <v>12640</v>
      </c>
      <c r="K8" s="46" t="s">
        <v>119</v>
      </c>
      <c r="L8" s="41" t="s">
        <v>142</v>
      </c>
      <c r="M8" s="41" t="s">
        <v>120</v>
      </c>
      <c r="N8" s="41" t="s">
        <v>121</v>
      </c>
      <c r="O8" s="40">
        <v>45131</v>
      </c>
      <c r="P8" s="40">
        <v>45175</v>
      </c>
      <c r="Q8" s="45" t="s">
        <v>45</v>
      </c>
      <c r="R8" s="39">
        <v>1350</v>
      </c>
      <c r="S8" s="39">
        <v>0</v>
      </c>
      <c r="T8" s="39">
        <v>1350</v>
      </c>
      <c r="U8" s="40">
        <v>45177</v>
      </c>
      <c r="V8" s="39">
        <v>12137.16</v>
      </c>
      <c r="W8" s="39">
        <f>Шаблон_Формулы_2[[#This Row],[22]]*Шаблон_Формулы_2[[#This Row],[20]]</f>
        <v>16385166</v>
      </c>
      <c r="X8" s="41"/>
      <c r="Y8" s="39">
        <f>Шаблон_Формулы_2[[#This Row],[24]]+Шаблон_Формулы_2[[#This Row],[23]]</f>
        <v>16385166</v>
      </c>
      <c r="Z8" s="44" t="s">
        <v>143</v>
      </c>
    </row>
    <row r="9" spans="1:26" s="4" customFormat="1" ht="36.75" x14ac:dyDescent="0.25">
      <c r="A9" s="44">
        <v>5</v>
      </c>
      <c r="B9" s="41" t="s">
        <v>141</v>
      </c>
      <c r="C9" s="41" t="s">
        <v>113</v>
      </c>
      <c r="D9" s="41" t="s">
        <v>129</v>
      </c>
      <c r="E9" s="41" t="s">
        <v>116</v>
      </c>
      <c r="F9" s="41" t="s">
        <v>130</v>
      </c>
      <c r="G9" s="38">
        <v>43920</v>
      </c>
      <c r="H9" s="45" t="s">
        <v>40</v>
      </c>
      <c r="I9" s="37">
        <v>70</v>
      </c>
      <c r="J9" s="39">
        <v>12640</v>
      </c>
      <c r="K9" s="46" t="s">
        <v>119</v>
      </c>
      <c r="L9" s="41" t="s">
        <v>142</v>
      </c>
      <c r="M9" s="41" t="s">
        <v>120</v>
      </c>
      <c r="N9" s="41" t="s">
        <v>121</v>
      </c>
      <c r="O9" s="40">
        <v>45131</v>
      </c>
      <c r="P9" s="40">
        <v>45175</v>
      </c>
      <c r="Q9" s="45" t="s">
        <v>45</v>
      </c>
      <c r="R9" s="39">
        <v>1350</v>
      </c>
      <c r="S9" s="39">
        <v>0</v>
      </c>
      <c r="T9" s="39">
        <v>1350</v>
      </c>
      <c r="U9" s="40">
        <v>45177</v>
      </c>
      <c r="V9" s="39">
        <v>12137.16</v>
      </c>
      <c r="W9" s="39">
        <f>Шаблон_Формулы_2[[#This Row],[22]]*Шаблон_Формулы_2[[#This Row],[20]]</f>
        <v>16385166</v>
      </c>
      <c r="X9" s="41"/>
      <c r="Y9" s="39">
        <f>Шаблон_Формулы_2[[#This Row],[24]]+Шаблон_Формулы_2[[#This Row],[23]]</f>
        <v>16385166</v>
      </c>
      <c r="Z9" s="44" t="s">
        <v>143</v>
      </c>
    </row>
    <row r="10" spans="1:26" s="4" customFormat="1" ht="36.75" x14ac:dyDescent="0.25">
      <c r="A10" s="44">
        <v>6</v>
      </c>
      <c r="B10" s="41" t="s">
        <v>141</v>
      </c>
      <c r="C10" s="41" t="s">
        <v>113</v>
      </c>
      <c r="D10" s="41" t="s">
        <v>131</v>
      </c>
      <c r="E10" s="41" t="s">
        <v>116</v>
      </c>
      <c r="F10" s="41" t="s">
        <v>132</v>
      </c>
      <c r="G10" s="38">
        <v>43920</v>
      </c>
      <c r="H10" s="45" t="s">
        <v>40</v>
      </c>
      <c r="I10" s="37">
        <v>70</v>
      </c>
      <c r="J10" s="39">
        <v>12640</v>
      </c>
      <c r="K10" s="46" t="s">
        <v>119</v>
      </c>
      <c r="L10" s="41" t="s">
        <v>142</v>
      </c>
      <c r="M10" s="41" t="s">
        <v>120</v>
      </c>
      <c r="N10" s="41" t="s">
        <v>121</v>
      </c>
      <c r="O10" s="40">
        <v>45131</v>
      </c>
      <c r="P10" s="40">
        <v>45175</v>
      </c>
      <c r="Q10" s="45" t="s">
        <v>45</v>
      </c>
      <c r="R10" s="39">
        <v>1350</v>
      </c>
      <c r="S10" s="39">
        <v>0</v>
      </c>
      <c r="T10" s="39">
        <v>1350</v>
      </c>
      <c r="U10" s="40">
        <v>45177</v>
      </c>
      <c r="V10" s="39">
        <v>12137.16</v>
      </c>
      <c r="W10" s="39">
        <f>Шаблон_Формулы_2[[#This Row],[22]]*Шаблон_Формулы_2[[#This Row],[20]]</f>
        <v>16385166</v>
      </c>
      <c r="X10" s="41"/>
      <c r="Y10" s="39">
        <f>Шаблон_Формулы_2[[#This Row],[24]]+Шаблон_Формулы_2[[#This Row],[23]]</f>
        <v>16385166</v>
      </c>
      <c r="Z10" s="44" t="s">
        <v>143</v>
      </c>
    </row>
    <row r="11" spans="1:26" s="4" customFormat="1" ht="36.75" x14ac:dyDescent="0.25">
      <c r="A11" s="44">
        <v>7</v>
      </c>
      <c r="B11" s="41" t="s">
        <v>141</v>
      </c>
      <c r="C11" s="41" t="s">
        <v>113</v>
      </c>
      <c r="D11" s="41" t="s">
        <v>133</v>
      </c>
      <c r="E11" s="41" t="s">
        <v>116</v>
      </c>
      <c r="F11" s="41" t="s">
        <v>134</v>
      </c>
      <c r="G11" s="38">
        <v>43920</v>
      </c>
      <c r="H11" s="45" t="s">
        <v>40</v>
      </c>
      <c r="I11" s="37">
        <v>70</v>
      </c>
      <c r="J11" s="39">
        <v>12640</v>
      </c>
      <c r="K11" s="46" t="s">
        <v>119</v>
      </c>
      <c r="L11" s="41" t="s">
        <v>142</v>
      </c>
      <c r="M11" s="41" t="s">
        <v>120</v>
      </c>
      <c r="N11" s="41" t="s">
        <v>121</v>
      </c>
      <c r="O11" s="40">
        <v>45131</v>
      </c>
      <c r="P11" s="40">
        <v>45175</v>
      </c>
      <c r="Q11" s="45" t="s">
        <v>45</v>
      </c>
      <c r="R11" s="39">
        <v>1350</v>
      </c>
      <c r="S11" s="39">
        <v>0</v>
      </c>
      <c r="T11" s="39">
        <v>1350</v>
      </c>
      <c r="U11" s="40">
        <v>45177</v>
      </c>
      <c r="V11" s="39">
        <v>12137.16</v>
      </c>
      <c r="W11" s="39">
        <f>Шаблон_Формулы_2[[#This Row],[22]]*Шаблон_Формулы_2[[#This Row],[20]]</f>
        <v>16385166</v>
      </c>
      <c r="X11" s="41"/>
      <c r="Y11" s="39">
        <f>Шаблон_Формулы_2[[#This Row],[24]]+Шаблон_Формулы_2[[#This Row],[23]]</f>
        <v>16385166</v>
      </c>
      <c r="Z11" s="44" t="s">
        <v>143</v>
      </c>
    </row>
    <row r="12" spans="1:26" s="4" customFormat="1" ht="36.75" x14ac:dyDescent="0.25">
      <c r="A12" s="44">
        <v>8</v>
      </c>
      <c r="B12" s="41" t="s">
        <v>141</v>
      </c>
      <c r="C12" s="41" t="s">
        <v>113</v>
      </c>
      <c r="D12" s="41" t="s">
        <v>135</v>
      </c>
      <c r="E12" s="41" t="s">
        <v>116</v>
      </c>
      <c r="F12" s="41" t="s">
        <v>136</v>
      </c>
      <c r="G12" s="38">
        <v>43920</v>
      </c>
      <c r="H12" s="45" t="s">
        <v>40</v>
      </c>
      <c r="I12" s="37">
        <v>70</v>
      </c>
      <c r="J12" s="39">
        <v>12640</v>
      </c>
      <c r="K12" s="46" t="s">
        <v>119</v>
      </c>
      <c r="L12" s="41" t="s">
        <v>142</v>
      </c>
      <c r="M12" s="41" t="s">
        <v>120</v>
      </c>
      <c r="N12" s="41" t="s">
        <v>121</v>
      </c>
      <c r="O12" s="40">
        <v>45131</v>
      </c>
      <c r="P12" s="40">
        <v>45175</v>
      </c>
      <c r="Q12" s="45" t="s">
        <v>45</v>
      </c>
      <c r="R12" s="39">
        <v>1350</v>
      </c>
      <c r="S12" s="39">
        <v>0</v>
      </c>
      <c r="T12" s="39">
        <v>1350</v>
      </c>
      <c r="U12" s="40">
        <v>45177</v>
      </c>
      <c r="V12" s="39">
        <v>12137.16</v>
      </c>
      <c r="W12" s="39">
        <f>Шаблон_Формулы_2[[#This Row],[22]]*Шаблон_Формулы_2[[#This Row],[20]]</f>
        <v>16385166</v>
      </c>
      <c r="X12" s="41"/>
      <c r="Y12" s="39">
        <f>Шаблон_Формулы_2[[#This Row],[24]]+Шаблон_Формулы_2[[#This Row],[23]]</f>
        <v>16385166</v>
      </c>
      <c r="Z12" s="44" t="s">
        <v>143</v>
      </c>
    </row>
    <row r="13" spans="1:26" s="4" customFormat="1" ht="36.75" x14ac:dyDescent="0.25">
      <c r="A13" s="44">
        <v>9</v>
      </c>
      <c r="B13" s="41" t="s">
        <v>141</v>
      </c>
      <c r="C13" s="41" t="s">
        <v>113</v>
      </c>
      <c r="D13" s="41" t="s">
        <v>137</v>
      </c>
      <c r="E13" s="41" t="s">
        <v>116</v>
      </c>
      <c r="F13" s="41" t="s">
        <v>138</v>
      </c>
      <c r="G13" s="38">
        <v>43920</v>
      </c>
      <c r="H13" s="45" t="s">
        <v>40</v>
      </c>
      <c r="I13" s="37">
        <v>70</v>
      </c>
      <c r="J13" s="39">
        <v>12640</v>
      </c>
      <c r="K13" s="46" t="s">
        <v>119</v>
      </c>
      <c r="L13" s="41" t="s">
        <v>142</v>
      </c>
      <c r="M13" s="41" t="s">
        <v>120</v>
      </c>
      <c r="N13" s="41" t="s">
        <v>121</v>
      </c>
      <c r="O13" s="40">
        <v>45131</v>
      </c>
      <c r="P13" s="40">
        <v>45175</v>
      </c>
      <c r="Q13" s="45" t="s">
        <v>45</v>
      </c>
      <c r="R13" s="39">
        <v>1350</v>
      </c>
      <c r="S13" s="39">
        <v>0</v>
      </c>
      <c r="T13" s="39">
        <v>1350</v>
      </c>
      <c r="U13" s="40">
        <v>45177</v>
      </c>
      <c r="V13" s="39">
        <v>12137.16</v>
      </c>
      <c r="W13" s="39">
        <f>Шаблон_Формулы_2[[#This Row],[22]]*Шаблон_Формулы_2[[#This Row],[20]]</f>
        <v>16385166</v>
      </c>
      <c r="X13" s="41"/>
      <c r="Y13" s="39">
        <f>Шаблон_Формулы_2[[#This Row],[24]]+Шаблон_Формулы_2[[#This Row],[23]]</f>
        <v>16385166</v>
      </c>
      <c r="Z13" s="44" t="s">
        <v>143</v>
      </c>
    </row>
    <row r="14" spans="1:26" s="4" customFormat="1" ht="36.75" x14ac:dyDescent="0.25">
      <c r="A14" s="44">
        <v>10</v>
      </c>
      <c r="B14" s="41" t="s">
        <v>141</v>
      </c>
      <c r="C14" s="41" t="s">
        <v>113</v>
      </c>
      <c r="D14" s="41" t="s">
        <v>139</v>
      </c>
      <c r="E14" s="41" t="s">
        <v>116</v>
      </c>
      <c r="F14" s="41" t="s">
        <v>140</v>
      </c>
      <c r="G14" s="38">
        <v>43920</v>
      </c>
      <c r="H14" s="45" t="s">
        <v>40</v>
      </c>
      <c r="I14" s="37">
        <v>70</v>
      </c>
      <c r="J14" s="39">
        <v>12640</v>
      </c>
      <c r="K14" s="46" t="s">
        <v>119</v>
      </c>
      <c r="L14" s="41" t="s">
        <v>142</v>
      </c>
      <c r="M14" s="41" t="s">
        <v>120</v>
      </c>
      <c r="N14" s="41" t="s">
        <v>121</v>
      </c>
      <c r="O14" s="40">
        <v>45131</v>
      </c>
      <c r="P14" s="40">
        <v>45175</v>
      </c>
      <c r="Q14" s="45" t="s">
        <v>45</v>
      </c>
      <c r="R14" s="39">
        <v>1350</v>
      </c>
      <c r="S14" s="39">
        <v>0</v>
      </c>
      <c r="T14" s="39">
        <v>1350</v>
      </c>
      <c r="U14" s="40">
        <v>45177</v>
      </c>
      <c r="V14" s="39">
        <v>12137.16</v>
      </c>
      <c r="W14" s="39">
        <f>Шаблон_Формулы_2[[#This Row],[22]]*Шаблон_Формулы_2[[#This Row],[20]]</f>
        <v>16385166</v>
      </c>
      <c r="X14" s="41"/>
      <c r="Y14" s="39">
        <f>Шаблон_Формулы_2[[#This Row],[24]]+Шаблон_Формулы_2[[#This Row],[23]]</f>
        <v>16385166</v>
      </c>
      <c r="Z14" s="44" t="s">
        <v>143</v>
      </c>
    </row>
    <row r="15" spans="1:26" s="4" customFormat="1" x14ac:dyDescent="0.25"/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D4" sqref="D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46</v>
      </c>
      <c r="B1" s="30" t="str" cm="1">
        <f t="array" aca="1" ref="B1" ca="1">CELL("имяфайла")</f>
        <v>C:\Users\a.inoyatov\Desktop\GM реестр\[gm acts Октябрь.xlsx]Октябрь</v>
      </c>
    </row>
    <row r="2" spans="1:2" ht="24" customHeight="1" x14ac:dyDescent="0.25">
      <c r="A2" s="29" t="s">
        <v>74</v>
      </c>
      <c r="B2" s="31" t="str">
        <f ca="1">LEFT(B1,SEARCH("[",B1,1)-1)&amp;B3</f>
        <v>C:\Users\a.inoyatov\Desktop\GM реестр\CNT-K23070628P.xlsx</v>
      </c>
    </row>
    <row r="3" spans="1:2" ht="24" customHeight="1" x14ac:dyDescent="0.25">
      <c r="A3" s="29" t="s">
        <v>73</v>
      </c>
      <c r="B3" s="32" t="s">
        <v>112</v>
      </c>
    </row>
    <row r="4" spans="1:2" ht="31.9" customHeight="1" x14ac:dyDescent="0.25">
      <c r="A4" s="42" t="s">
        <v>102</v>
      </c>
      <c r="B4" s="43" t="str">
        <f ca="1">LEFT(B1,SEARCH("[",B1,1)-1)&amp;"Справочник курсов.xlsx"</f>
        <v>C:\Users\a.inoyatov\Desktop\GM реестр\Справочник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11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5" x14ac:dyDescent="0.25">
      <c r="A2" s="10" t="s">
        <v>44</v>
      </c>
      <c r="B2" s="10" t="s">
        <v>113</v>
      </c>
      <c r="C2" s="10" t="s">
        <v>114</v>
      </c>
      <c r="D2" s="10" t="s">
        <v>115</v>
      </c>
      <c r="E2" s="10" t="s">
        <v>116</v>
      </c>
      <c r="F2" s="10" t="s">
        <v>117</v>
      </c>
      <c r="G2" s="7" t="s">
        <v>118</v>
      </c>
      <c r="H2" s="10"/>
      <c r="I2" s="10" t="s">
        <v>119</v>
      </c>
      <c r="J2" s="10" t="s">
        <v>120</v>
      </c>
      <c r="K2" s="10" t="s">
        <v>121</v>
      </c>
      <c r="L2" s="47">
        <v>45131</v>
      </c>
      <c r="M2" s="47">
        <v>45175</v>
      </c>
      <c r="N2" s="19">
        <v>70</v>
      </c>
      <c r="O2" s="19">
        <v>12640</v>
      </c>
      <c r="P2" s="19">
        <v>10550</v>
      </c>
      <c r="Q2" s="19"/>
      <c r="R2" s="19">
        <v>10550</v>
      </c>
      <c r="S2" s="10" t="s">
        <v>45</v>
      </c>
      <c r="T2" s="19">
        <v>43920</v>
      </c>
      <c r="U2" s="10" t="s">
        <v>122</v>
      </c>
      <c r="V2" s="9">
        <v>1</v>
      </c>
    </row>
    <row r="3" spans="1:22" ht="15" x14ac:dyDescent="0.25">
      <c r="A3" s="10" t="s">
        <v>44</v>
      </c>
      <c r="B3" s="10" t="s">
        <v>113</v>
      </c>
      <c r="C3" s="10" t="s">
        <v>114</v>
      </c>
      <c r="D3" s="10" t="s">
        <v>123</v>
      </c>
      <c r="E3" s="10" t="s">
        <v>116</v>
      </c>
      <c r="F3" s="10" t="s">
        <v>124</v>
      </c>
      <c r="G3" s="7" t="s">
        <v>118</v>
      </c>
      <c r="H3" s="10"/>
      <c r="I3" s="10" t="s">
        <v>119</v>
      </c>
      <c r="J3" s="10" t="s">
        <v>120</v>
      </c>
      <c r="K3" s="10" t="s">
        <v>121</v>
      </c>
      <c r="L3" s="47">
        <v>45131</v>
      </c>
      <c r="M3" s="47">
        <v>45175</v>
      </c>
      <c r="N3" s="19">
        <v>70</v>
      </c>
      <c r="O3" s="19">
        <v>12640</v>
      </c>
      <c r="P3" s="19">
        <v>10550</v>
      </c>
      <c r="Q3" s="19"/>
      <c r="R3" s="19">
        <v>10550</v>
      </c>
      <c r="S3" s="10" t="s">
        <v>45</v>
      </c>
      <c r="T3" s="19">
        <v>43920</v>
      </c>
      <c r="U3" s="10" t="s">
        <v>122</v>
      </c>
      <c r="V3" s="9">
        <v>2</v>
      </c>
    </row>
    <row r="4" spans="1:22" ht="15" x14ac:dyDescent="0.25">
      <c r="A4" s="10" t="s">
        <v>44</v>
      </c>
      <c r="B4" s="10" t="s">
        <v>113</v>
      </c>
      <c r="C4" s="10" t="s">
        <v>114</v>
      </c>
      <c r="D4" s="10" t="s">
        <v>125</v>
      </c>
      <c r="E4" s="10" t="s">
        <v>116</v>
      </c>
      <c r="F4" s="10" t="s">
        <v>126</v>
      </c>
      <c r="G4" s="7" t="s">
        <v>118</v>
      </c>
      <c r="H4" s="10"/>
      <c r="I4" s="10" t="s">
        <v>119</v>
      </c>
      <c r="J4" s="10" t="s">
        <v>120</v>
      </c>
      <c r="K4" s="10" t="s">
        <v>121</v>
      </c>
      <c r="L4" s="47">
        <v>45131</v>
      </c>
      <c r="M4" s="47">
        <v>45175</v>
      </c>
      <c r="N4" s="19">
        <v>70</v>
      </c>
      <c r="O4" s="19">
        <v>12640</v>
      </c>
      <c r="P4" s="19">
        <v>10550</v>
      </c>
      <c r="Q4" s="19"/>
      <c r="R4" s="19">
        <v>10550</v>
      </c>
      <c r="S4" s="10" t="s">
        <v>45</v>
      </c>
      <c r="T4" s="19">
        <v>43920</v>
      </c>
      <c r="U4" s="10" t="s">
        <v>122</v>
      </c>
      <c r="V4" s="9">
        <v>3</v>
      </c>
    </row>
    <row r="5" spans="1:22" ht="15" x14ac:dyDescent="0.25">
      <c r="A5" s="10" t="s">
        <v>44</v>
      </c>
      <c r="B5" s="10" t="s">
        <v>113</v>
      </c>
      <c r="C5" s="10" t="s">
        <v>114</v>
      </c>
      <c r="D5" s="10" t="s">
        <v>127</v>
      </c>
      <c r="E5" s="10" t="s">
        <v>116</v>
      </c>
      <c r="F5" s="10" t="s">
        <v>128</v>
      </c>
      <c r="G5" s="7" t="s">
        <v>118</v>
      </c>
      <c r="H5" s="10"/>
      <c r="I5" s="10" t="s">
        <v>119</v>
      </c>
      <c r="J5" s="10" t="s">
        <v>120</v>
      </c>
      <c r="K5" s="10" t="s">
        <v>121</v>
      </c>
      <c r="L5" s="47">
        <v>45131</v>
      </c>
      <c r="M5" s="47">
        <v>45175</v>
      </c>
      <c r="N5" s="19">
        <v>70</v>
      </c>
      <c r="O5" s="19">
        <v>12640</v>
      </c>
      <c r="P5" s="19">
        <v>10550</v>
      </c>
      <c r="Q5" s="19"/>
      <c r="R5" s="19">
        <v>10550</v>
      </c>
      <c r="S5" s="10" t="s">
        <v>45</v>
      </c>
      <c r="T5" s="19">
        <v>43920</v>
      </c>
      <c r="U5" s="10" t="s">
        <v>122</v>
      </c>
      <c r="V5" s="9">
        <v>4</v>
      </c>
    </row>
    <row r="6" spans="1:22" ht="15" x14ac:dyDescent="0.25">
      <c r="A6" s="10" t="s">
        <v>44</v>
      </c>
      <c r="B6" s="10" t="s">
        <v>113</v>
      </c>
      <c r="C6" s="10" t="s">
        <v>114</v>
      </c>
      <c r="D6" s="10" t="s">
        <v>129</v>
      </c>
      <c r="E6" s="10" t="s">
        <v>116</v>
      </c>
      <c r="F6" s="10" t="s">
        <v>130</v>
      </c>
      <c r="G6" s="7" t="s">
        <v>118</v>
      </c>
      <c r="H6" s="10"/>
      <c r="I6" s="10" t="s">
        <v>119</v>
      </c>
      <c r="J6" s="10" t="s">
        <v>120</v>
      </c>
      <c r="K6" s="10" t="s">
        <v>121</v>
      </c>
      <c r="L6" s="47">
        <v>45131</v>
      </c>
      <c r="M6" s="47">
        <v>45175</v>
      </c>
      <c r="N6" s="19">
        <v>70</v>
      </c>
      <c r="O6" s="19">
        <v>12640</v>
      </c>
      <c r="P6" s="19">
        <v>10550</v>
      </c>
      <c r="Q6" s="19"/>
      <c r="R6" s="19">
        <v>10550</v>
      </c>
      <c r="S6" s="10" t="s">
        <v>45</v>
      </c>
      <c r="T6" s="19">
        <v>43920</v>
      </c>
      <c r="U6" s="10" t="s">
        <v>122</v>
      </c>
      <c r="V6" s="9">
        <v>5</v>
      </c>
    </row>
    <row r="7" spans="1:22" ht="15" x14ac:dyDescent="0.25">
      <c r="A7" s="10" t="s">
        <v>44</v>
      </c>
      <c r="B7" s="10" t="s">
        <v>113</v>
      </c>
      <c r="C7" s="10" t="s">
        <v>114</v>
      </c>
      <c r="D7" s="10" t="s">
        <v>131</v>
      </c>
      <c r="E7" s="10" t="s">
        <v>116</v>
      </c>
      <c r="F7" s="10" t="s">
        <v>132</v>
      </c>
      <c r="G7" s="7" t="s">
        <v>118</v>
      </c>
      <c r="H7" s="10"/>
      <c r="I7" s="10" t="s">
        <v>119</v>
      </c>
      <c r="J7" s="10" t="s">
        <v>120</v>
      </c>
      <c r="K7" s="10" t="s">
        <v>121</v>
      </c>
      <c r="L7" s="47">
        <v>45131</v>
      </c>
      <c r="M7" s="47">
        <v>45175</v>
      </c>
      <c r="N7" s="19">
        <v>70</v>
      </c>
      <c r="O7" s="19">
        <v>12640</v>
      </c>
      <c r="P7" s="19">
        <v>10550</v>
      </c>
      <c r="Q7" s="19"/>
      <c r="R7" s="19">
        <v>10550</v>
      </c>
      <c r="S7" s="10" t="s">
        <v>45</v>
      </c>
      <c r="T7" s="19">
        <v>43920</v>
      </c>
      <c r="U7" s="10" t="s">
        <v>122</v>
      </c>
      <c r="V7" s="9">
        <v>6</v>
      </c>
    </row>
    <row r="8" spans="1:22" ht="15" x14ac:dyDescent="0.25">
      <c r="A8" s="10" t="s">
        <v>44</v>
      </c>
      <c r="B8" s="10" t="s">
        <v>113</v>
      </c>
      <c r="C8" s="10" t="s">
        <v>114</v>
      </c>
      <c r="D8" s="10" t="s">
        <v>133</v>
      </c>
      <c r="E8" s="10" t="s">
        <v>116</v>
      </c>
      <c r="F8" s="10" t="s">
        <v>134</v>
      </c>
      <c r="G8" s="7" t="s">
        <v>118</v>
      </c>
      <c r="H8" s="10"/>
      <c r="I8" s="10" t="s">
        <v>119</v>
      </c>
      <c r="J8" s="10" t="s">
        <v>120</v>
      </c>
      <c r="K8" s="10" t="s">
        <v>121</v>
      </c>
      <c r="L8" s="47">
        <v>45131</v>
      </c>
      <c r="M8" s="47">
        <v>45175</v>
      </c>
      <c r="N8" s="19">
        <v>70</v>
      </c>
      <c r="O8" s="19">
        <v>12640</v>
      </c>
      <c r="P8" s="19">
        <v>10550</v>
      </c>
      <c r="Q8" s="19"/>
      <c r="R8" s="19">
        <v>10550</v>
      </c>
      <c r="S8" s="10" t="s">
        <v>45</v>
      </c>
      <c r="T8" s="19">
        <v>43920</v>
      </c>
      <c r="U8" s="10" t="s">
        <v>122</v>
      </c>
      <c r="V8" s="9">
        <v>7</v>
      </c>
    </row>
    <row r="9" spans="1:22" ht="15" x14ac:dyDescent="0.25">
      <c r="A9" s="10" t="s">
        <v>44</v>
      </c>
      <c r="B9" s="10" t="s">
        <v>113</v>
      </c>
      <c r="C9" s="10" t="s">
        <v>114</v>
      </c>
      <c r="D9" s="10" t="s">
        <v>135</v>
      </c>
      <c r="E9" s="10" t="s">
        <v>116</v>
      </c>
      <c r="F9" s="10" t="s">
        <v>136</v>
      </c>
      <c r="G9" s="7" t="s">
        <v>118</v>
      </c>
      <c r="H9" s="10"/>
      <c r="I9" s="10" t="s">
        <v>119</v>
      </c>
      <c r="J9" s="10" t="s">
        <v>120</v>
      </c>
      <c r="K9" s="10" t="s">
        <v>121</v>
      </c>
      <c r="L9" s="47">
        <v>45131</v>
      </c>
      <c r="M9" s="47">
        <v>45175</v>
      </c>
      <c r="N9" s="19">
        <v>70</v>
      </c>
      <c r="O9" s="19">
        <v>12640</v>
      </c>
      <c r="P9" s="19">
        <v>10550</v>
      </c>
      <c r="Q9" s="19"/>
      <c r="R9" s="19">
        <v>10550</v>
      </c>
      <c r="S9" s="10" t="s">
        <v>45</v>
      </c>
      <c r="T9" s="19">
        <v>43920</v>
      </c>
      <c r="U9" s="10" t="s">
        <v>122</v>
      </c>
      <c r="V9" s="9">
        <v>8</v>
      </c>
    </row>
    <row r="10" spans="1:22" ht="15" x14ac:dyDescent="0.25">
      <c r="A10" s="10" t="s">
        <v>44</v>
      </c>
      <c r="B10" s="10" t="s">
        <v>113</v>
      </c>
      <c r="C10" s="10" t="s">
        <v>114</v>
      </c>
      <c r="D10" s="10" t="s">
        <v>137</v>
      </c>
      <c r="E10" s="10" t="s">
        <v>116</v>
      </c>
      <c r="F10" s="10" t="s">
        <v>138</v>
      </c>
      <c r="G10" s="7" t="s">
        <v>118</v>
      </c>
      <c r="H10" s="10"/>
      <c r="I10" s="10" t="s">
        <v>119</v>
      </c>
      <c r="J10" s="10" t="s">
        <v>120</v>
      </c>
      <c r="K10" s="10" t="s">
        <v>121</v>
      </c>
      <c r="L10" s="47">
        <v>45131</v>
      </c>
      <c r="M10" s="47">
        <v>45175</v>
      </c>
      <c r="N10" s="19">
        <v>70</v>
      </c>
      <c r="O10" s="19">
        <v>12640</v>
      </c>
      <c r="P10" s="19">
        <v>10550</v>
      </c>
      <c r="Q10" s="19"/>
      <c r="R10" s="19">
        <v>10550</v>
      </c>
      <c r="S10" s="10" t="s">
        <v>45</v>
      </c>
      <c r="T10" s="19">
        <v>43920</v>
      </c>
      <c r="U10" s="10" t="s">
        <v>122</v>
      </c>
      <c r="V10" s="9">
        <v>9</v>
      </c>
    </row>
    <row r="11" spans="1:22" ht="15" x14ac:dyDescent="0.25">
      <c r="A11" s="10" t="s">
        <v>44</v>
      </c>
      <c r="B11" s="10" t="s">
        <v>113</v>
      </c>
      <c r="C11" s="10" t="s">
        <v>114</v>
      </c>
      <c r="D11" s="10" t="s">
        <v>139</v>
      </c>
      <c r="E11" s="10" t="s">
        <v>116</v>
      </c>
      <c r="F11" s="10" t="s">
        <v>140</v>
      </c>
      <c r="G11" s="7" t="s">
        <v>118</v>
      </c>
      <c r="H11" s="10"/>
      <c r="I11" s="10" t="s">
        <v>119</v>
      </c>
      <c r="J11" s="10" t="s">
        <v>120</v>
      </c>
      <c r="K11" s="10" t="s">
        <v>121</v>
      </c>
      <c r="L11" s="47">
        <v>45131</v>
      </c>
      <c r="M11" s="47">
        <v>45175</v>
      </c>
      <c r="N11" s="19">
        <v>70</v>
      </c>
      <c r="O11" s="19">
        <v>12640</v>
      </c>
      <c r="P11" s="19">
        <v>10550</v>
      </c>
      <c r="Q11" s="19"/>
      <c r="R11" s="19">
        <v>10550</v>
      </c>
      <c r="S11" s="10" t="s">
        <v>45</v>
      </c>
      <c r="T11" s="19">
        <v>43920</v>
      </c>
      <c r="U11" s="10" t="s">
        <v>122</v>
      </c>
      <c r="V11" s="9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8"/>
  <sheetViews>
    <sheetView workbookViewId="0">
      <selection activeCell="E8" sqref="E8"/>
    </sheetView>
  </sheetViews>
  <sheetFormatPr defaultRowHeight="15" x14ac:dyDescent="0.25"/>
  <cols>
    <col min="1" max="1" width="17.7109375" bestFit="1" customWidth="1"/>
    <col min="2" max="2" width="17.28515625" bestFit="1" customWidth="1"/>
    <col min="3" max="3" width="17.28515625" style="4" bestFit="1" customWidth="1"/>
    <col min="4" max="4" width="24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103</v>
      </c>
      <c r="B1" s="23" t="s">
        <v>68</v>
      </c>
      <c r="C1" s="23" t="s">
        <v>69</v>
      </c>
      <c r="D1" s="23" t="s">
        <v>109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45175</v>
      </c>
      <c r="B2" s="22">
        <f>MAX(Centrum[Date of arrival to Sary-Agach/ Дата прибытия на Сары-Агач])</f>
        <v>45175</v>
      </c>
      <c r="C2" s="22">
        <f ca="1">IF(WORKDAY(A2,15)&gt;=TODAY(),TODAY(),WORKDAY(A2,15))</f>
        <v>45196</v>
      </c>
      <c r="D2" s="48">
        <v>45177</v>
      </c>
      <c r="E2" s="13" t="s">
        <v>40</v>
      </c>
    </row>
    <row r="4" spans="1:5" ht="36" customHeight="1" x14ac:dyDescent="0.25">
      <c r="A4" s="33" t="str">
        <f>IF(B8="","Обновите курсы валюты в Справочнике","")</f>
        <v/>
      </c>
    </row>
    <row r="5" spans="1:5" s="25" customFormat="1" x14ac:dyDescent="0.25">
      <c r="A5" s="25" t="s">
        <v>70</v>
      </c>
      <c r="B5" s="25" t="s">
        <v>71</v>
      </c>
      <c r="C5" s="25" t="s">
        <v>107</v>
      </c>
      <c r="D5" s="23" t="s">
        <v>72</v>
      </c>
    </row>
    <row r="6" spans="1:5" x14ac:dyDescent="0.25">
      <c r="A6" s="24" t="s">
        <v>104</v>
      </c>
      <c r="B6" s="8">
        <v>45175</v>
      </c>
      <c r="C6" s="49">
        <v>12129.99</v>
      </c>
    </row>
    <row r="7" spans="1:5" x14ac:dyDescent="0.25">
      <c r="A7" s="24" t="s">
        <v>105</v>
      </c>
      <c r="B7" s="8">
        <v>45176</v>
      </c>
      <c r="C7" s="49">
        <v>12142.11</v>
      </c>
      <c r="D7" s="4" t="s">
        <v>108</v>
      </c>
    </row>
    <row r="8" spans="1:5" x14ac:dyDescent="0.25">
      <c r="A8" s="24" t="s">
        <v>106</v>
      </c>
      <c r="B8" s="8">
        <v>45177</v>
      </c>
      <c r="C8" s="49">
        <v>12137.16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76</v>
      </c>
      <c r="B2" s="20" t="s">
        <v>77</v>
      </c>
      <c r="C2" s="20" t="s">
        <v>78</v>
      </c>
      <c r="D2" s="20" t="s">
        <v>79</v>
      </c>
      <c r="E2" s="20" t="s">
        <v>80</v>
      </c>
      <c r="F2" s="20" t="s">
        <v>81</v>
      </c>
      <c r="G2" s="20" t="s">
        <v>82</v>
      </c>
      <c r="H2" s="20" t="s">
        <v>83</v>
      </c>
      <c r="I2" s="20" t="s">
        <v>84</v>
      </c>
      <c r="J2" s="20" t="s">
        <v>85</v>
      </c>
      <c r="K2" s="20" t="s">
        <v>86</v>
      </c>
      <c r="L2" s="20" t="s">
        <v>87</v>
      </c>
      <c r="M2" s="20" t="s">
        <v>88</v>
      </c>
      <c r="N2" s="20" t="s">
        <v>89</v>
      </c>
      <c r="O2" s="20" t="s">
        <v>90</v>
      </c>
      <c r="P2" s="20" t="s">
        <v>91</v>
      </c>
      <c r="Q2" s="20" t="s">
        <v>92</v>
      </c>
      <c r="R2" s="20" t="s">
        <v>93</v>
      </c>
      <c r="S2" s="20" t="s">
        <v>94</v>
      </c>
      <c r="T2" s="20" t="s">
        <v>95</v>
      </c>
      <c r="U2" s="20" t="s">
        <v>96</v>
      </c>
      <c r="V2" s="20" t="s">
        <v>97</v>
      </c>
      <c r="W2" s="20" t="s">
        <v>98</v>
      </c>
      <c r="X2" s="20" t="s">
        <v>99</v>
      </c>
      <c r="Y2" s="20" t="s">
        <v>100</v>
      </c>
      <c r="Z2" s="20" t="s">
        <v>101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105500</v>
      </c>
      <c r="U4" s="3"/>
      <c r="V4" s="26"/>
      <c r="W4" s="26"/>
      <c r="X4" s="5"/>
      <c r="Y4" s="6">
        <f>SUM(Y5:Y1048576)</f>
        <v>1280470380</v>
      </c>
      <c r="Z4" s="3" t="s">
        <v>110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KR</v>
      </c>
      <c r="D5" s="11" t="str">
        <f>_xlfn.XLOOKUP($A5,Centrum[Индекс],Centrum[Container num./ 
№ контейнера],"",0,1)</f>
        <v>CCLU7035525</v>
      </c>
      <c r="E5" s="11" t="str">
        <f>_xlfn.XLOOKUP($A5,Centrum[Индекс],Centrum[Supplier/
Поставщик],"",0,1)</f>
        <v>SHANDONG LINGLONG TYRE CO.,LTD</v>
      </c>
      <c r="F5" s="11" t="str">
        <f>_xlfn.XLOOKUP($A5,Centrum[Индекс],Centrum[Shippers invoice no/ 
Номер инвойса поставщика],"",1)</f>
        <v>6020230485203</v>
      </c>
      <c r="G5" s="15">
        <f>_xlfn.XLOOKUP($A5,Centrum[Индекс],Centrum[Invoice value / Стоимость груза в к-ре по инвойсу],"",0,1)</f>
        <v>43920</v>
      </c>
      <c r="H5" s="14" t="s">
        <v>40</v>
      </c>
      <c r="I5" s="11">
        <f>_xlfn.XLOOKUP($A5,Centrum[Индекс],Centrum[CBM on the shipper/ 
CBM по поставщику],"",0,1)</f>
        <v>70</v>
      </c>
      <c r="J5" s="16">
        <f>_xlfn.XLOOKUP($A5,Centrum[Индекс],Centrum[Gross weight of cont// 
Гросс.вес по конт.],"",0,1)</f>
        <v>12640</v>
      </c>
      <c r="K5" s="17" t="str">
        <f>_xlfn.XLOOKUP($A5,Centrum[Индекс],Centrum[Route/ Маршрут (TSR/TCR)],"",0,1)</f>
        <v>TSR-PITNYAK</v>
      </c>
      <c r="L5" s="11" t="str">
        <f>_xlfn.XLOOKUP($A5,Centrum[Индекс],Centrum[Условия поставки],"",0,1)</f>
        <v>BUSAN FOB / P-D</v>
      </c>
      <c r="M5" s="11" t="str">
        <f>_xlfn.XLOOKUP($A5,Centrum[Индекс],Centrum[№ HBL date / 
№/ дата коносамента],"",0,1)</f>
        <v>ULSO23070628</v>
      </c>
      <c r="N5" s="11" t="str">
        <f>_xlfn.XLOOKUP($A5,Centrum[Индекс],Centrum[№ MBL / 
№/ коносамента],"",0,1)</f>
        <v>JAWHFA067NS035</v>
      </c>
      <c r="O5" s="8">
        <f>(_xlfn.XLOOKUP($A5,Centrum[Индекс],Centrum[Date on board / Дата погрузки на судно],"",0,1))*1</f>
        <v>45131</v>
      </c>
      <c r="P5" s="8">
        <f>(_xlfn.XLOOKUP($A5,Centrum[Индекс],Centrum[Date of arrival to Sary-Agach/ Дата прибытия на Сары-Агач],"",0,1))*1</f>
        <v>45175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10550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10550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" s="16">
        <f>_xlfn.XLOOKUP(Шаблон_Формулы[[#This Row],[21]],Курс_USD[Дата],Курс_USD[Курс],,0,1)</f>
        <v>12137.16</v>
      </c>
      <c r="W5" s="16">
        <f>Шаблон_Формулы!$T5*Шаблон_Формулы!$V5</f>
        <v>128047038</v>
      </c>
      <c r="Y5" s="16">
        <f>Шаблон_Формулы!$W5+Шаблон_Формулы!$X5</f>
        <v>128047038</v>
      </c>
      <c r="Z5" s="14" t="str">
        <f>_xlfn.XLOOKUP($A5,Centrum[Индекс],Centrum[Transport co invoice no/ 
Номер инвойса ТК],"",0,1)</f>
        <v>CNT-K23070628P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EMCU9790027</v>
      </c>
      <c r="E6" s="11" t="str">
        <f>_xlfn.XLOOKUP($A6,Centrum[Индекс],Centrum[Supplier/
Поставщик],"",0,1)</f>
        <v>SHANDONG LINGLONG TYRE CO.,LTD</v>
      </c>
      <c r="F6" s="11" t="str">
        <f>_xlfn.XLOOKUP($A6,Centrum[Индекс],Centrum[Shippers invoice no/ 
Номер инвойса поставщика],"",1)</f>
        <v>6020230485204</v>
      </c>
      <c r="G6" s="15">
        <f>_xlfn.XLOOKUP($A6,Centrum[Индекс],Centrum[Invoice value / Стоимость груза в к-ре по инвойсу],"",0,1)</f>
        <v>43920</v>
      </c>
      <c r="H6" s="14" t="s">
        <v>40</v>
      </c>
      <c r="I6" s="11">
        <f>_xlfn.XLOOKUP($A6,Centrum[Индекс],Centrum[CBM on the shipper/ 
CBM по поставщику],"",0,1)</f>
        <v>70</v>
      </c>
      <c r="J6" s="16">
        <f>_xlfn.XLOOKUP($A6,Centrum[Индекс],Centrum[Gross weight of cont// 
Гросс.вес по конт.],"",0,1)</f>
        <v>12640</v>
      </c>
      <c r="K6" s="17" t="str">
        <f>_xlfn.XLOOKUP($A6,Centrum[Индекс],Centrum[Route/ Маршрут (TSR/TCR)],"",0,1)</f>
        <v>TSR-PITNYAK</v>
      </c>
      <c r="L6" s="11" t="str">
        <f>_xlfn.XLOOKUP($A6,Centrum[Индекс],Centrum[Условия поставки],"",0,1)</f>
        <v>BUSAN FOB / P-D</v>
      </c>
      <c r="M6" s="11" t="str">
        <f>_xlfn.XLOOKUP($A6,Centrum[Индекс],Centrum[№ HBL date / 
№/ дата коносамента],"",0,1)</f>
        <v>ULSO23070628</v>
      </c>
      <c r="N6" s="11" t="str">
        <f>_xlfn.XLOOKUP($A6,Centrum[Индекс],Centrum[№ MBL / 
№/ коносамента],"",0,1)</f>
        <v>JAWHFA067NS035</v>
      </c>
      <c r="O6" s="8">
        <f>(_xlfn.XLOOKUP($A6,Centrum[Индекс],Centrum[Date on board / Дата погрузки на судно],"",0,1))*1</f>
        <v>45131</v>
      </c>
      <c r="P6" s="8">
        <f>(_xlfn.XLOOKUP($A6,Centrum[Индекс],Centrum[Date of arrival to Sary-Agach/ Дата прибытия на Сары-Агач],"",0,1))*1</f>
        <v>45175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10550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10550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" s="16">
        <f>_xlfn.XLOOKUP(Шаблон_Формулы[[#This Row],[21]],Курс_USD[Дата],Курс_USD[Курс],,0,1)</f>
        <v>12137.16</v>
      </c>
      <c r="W6" s="16">
        <f>Шаблон_Формулы!$T6*Шаблон_Формулы!$V6</f>
        <v>128047038</v>
      </c>
      <c r="Y6" s="16">
        <f>Шаблон_Формулы!$W6+Шаблон_Формулы!$X6</f>
        <v>128047038</v>
      </c>
      <c r="Z6" s="14" t="str">
        <f>_xlfn.XLOOKUP($A6,Centrum[Индекс],Centrum[Transport co invoice no/ 
Номер инвойса ТК],"",0,1)</f>
        <v>CNT-K23070628P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IMTU9050797</v>
      </c>
      <c r="E7" s="11" t="str">
        <f>_xlfn.XLOOKUP($A7,Centrum[Индекс],Centrum[Supplier/
Поставщик],"",0,1)</f>
        <v>SHANDONG LINGLONG TYRE CO.,LTD</v>
      </c>
      <c r="F7" s="11" t="str">
        <f>_xlfn.XLOOKUP($A7,Centrum[Индекс],Centrum[Shippers invoice no/ 
Номер инвойса поставщика],"",1)</f>
        <v>6020230485202</v>
      </c>
      <c r="G7" s="15">
        <f>_xlfn.XLOOKUP($A7,Centrum[Индекс],Centrum[Invoice value / Стоимость груза в к-ре по инвойсу],"",0,1)</f>
        <v>43920</v>
      </c>
      <c r="H7" s="14" t="s">
        <v>40</v>
      </c>
      <c r="I7" s="11">
        <f>_xlfn.XLOOKUP($A7,Centrum[Индекс],Centrum[CBM on the shipper/ 
CBM по поставщику],"",0,1)</f>
        <v>70</v>
      </c>
      <c r="J7" s="16">
        <f>_xlfn.XLOOKUP($A7,Centrum[Индекс],Centrum[Gross weight of cont// 
Гросс.вес по конт.],"",0,1)</f>
        <v>12640</v>
      </c>
      <c r="K7" s="17" t="str">
        <f>_xlfn.XLOOKUP($A7,Centrum[Индекс],Centrum[Route/ Маршрут (TSR/TCR)],"",0,1)</f>
        <v>TSR-PITNYAK</v>
      </c>
      <c r="L7" s="11" t="str">
        <f>_xlfn.XLOOKUP($A7,Centrum[Индекс],Centrum[Условия поставки],"",0,1)</f>
        <v>BUSAN FOB / P-D</v>
      </c>
      <c r="M7" s="11" t="str">
        <f>_xlfn.XLOOKUP($A7,Centrum[Индекс],Centrum[№ HBL date / 
№/ дата коносамента],"",0,1)</f>
        <v>ULSO23070628</v>
      </c>
      <c r="N7" s="11" t="str">
        <f>_xlfn.XLOOKUP($A7,Centrum[Индекс],Centrum[№ MBL / 
№/ коносамента],"",0,1)</f>
        <v>JAWHFA067NS035</v>
      </c>
      <c r="O7" s="8">
        <f>(_xlfn.XLOOKUP($A7,Centrum[Индекс],Centrum[Date on board / Дата погрузки на судно],"",0,1))*1</f>
        <v>45131</v>
      </c>
      <c r="P7" s="8">
        <f>(_xlfn.XLOOKUP($A7,Centrum[Индекс],Centrum[Date of arrival to Sary-Agach/ Дата прибытия на Сары-Агач],"",0,1))*1</f>
        <v>45175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10550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10550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" s="16">
        <f>_xlfn.XLOOKUP(Шаблон_Формулы[[#This Row],[21]],Курс_USD[Дата],Курс_USD[Курс],,0,1)</f>
        <v>12137.16</v>
      </c>
      <c r="W7" s="16">
        <f>Шаблон_Формулы!$T7*Шаблон_Формулы!$V7</f>
        <v>128047038</v>
      </c>
      <c r="Y7" s="16">
        <f>Шаблон_Формулы!$W7+Шаблон_Формулы!$X7</f>
        <v>128047038</v>
      </c>
      <c r="Z7" s="14" t="str">
        <f>_xlfn.XLOOKUP($A7,Centrum[Индекс],Centrum[Transport co invoice no/ 
Номер инвойса ТК],"",0,1)</f>
        <v>CNT-K23070628P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MOTU0651809</v>
      </c>
      <c r="E8" s="11" t="str">
        <f>_xlfn.XLOOKUP($A8,Centrum[Индекс],Centrum[Supplier/
Поставщик],"",0,1)</f>
        <v>SHANDONG LINGLONG TYRE CO.,LTD</v>
      </c>
      <c r="F8" s="11" t="str">
        <f>_xlfn.XLOOKUP($A8,Centrum[Индекс],Centrum[Shippers invoice no/ 
Номер инвойса поставщика],"",1)</f>
        <v>6020230506903</v>
      </c>
      <c r="G8" s="15">
        <f>_xlfn.XLOOKUP($A8,Centrum[Индекс],Centrum[Invoice value / Стоимость груза в к-ре по инвойсу],"",0,1)</f>
        <v>43920</v>
      </c>
      <c r="H8" s="14" t="s">
        <v>40</v>
      </c>
      <c r="I8" s="11">
        <f>_xlfn.XLOOKUP($A8,Centrum[Индекс],Centrum[CBM on the shipper/ 
CBM по поставщику],"",0,1)</f>
        <v>70</v>
      </c>
      <c r="J8" s="16">
        <f>_xlfn.XLOOKUP($A8,Centrum[Индекс],Centrum[Gross weight of cont// 
Гросс.вес по конт.],"",0,1)</f>
        <v>12640</v>
      </c>
      <c r="K8" s="17" t="str">
        <f>_xlfn.XLOOKUP($A8,Centrum[Индекс],Centrum[Route/ Маршрут (TSR/TCR)],"",0,1)</f>
        <v>TSR-PITNYAK</v>
      </c>
      <c r="L8" s="11" t="str">
        <f>_xlfn.XLOOKUP($A8,Centrum[Индекс],Centrum[Условия поставки],"",0,1)</f>
        <v>BUSAN FOB / P-D</v>
      </c>
      <c r="M8" s="11" t="str">
        <f>_xlfn.XLOOKUP($A8,Centrum[Индекс],Centrum[№ HBL date / 
№/ дата коносамента],"",0,1)</f>
        <v>ULSO23070628</v>
      </c>
      <c r="N8" s="11" t="str">
        <f>_xlfn.XLOOKUP($A8,Centrum[Индекс],Centrum[№ MBL / 
№/ коносамента],"",0,1)</f>
        <v>JAWHFA067NS035</v>
      </c>
      <c r="O8" s="8">
        <f>(_xlfn.XLOOKUP($A8,Centrum[Индекс],Centrum[Date on board / Дата погрузки на судно],"",0,1))*1</f>
        <v>45131</v>
      </c>
      <c r="P8" s="8">
        <f>(_xlfn.XLOOKUP($A8,Centrum[Индекс],Centrum[Date of arrival to Sary-Agach/ Дата прибытия на Сары-Агач],"",0,1))*1</f>
        <v>45175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10550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10550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" s="16">
        <f>_xlfn.XLOOKUP(Шаблон_Формулы[[#This Row],[21]],Курс_USD[Дата],Курс_USD[Курс],,0,1)</f>
        <v>12137.16</v>
      </c>
      <c r="W8" s="16">
        <f>Шаблон_Формулы!$T8*Шаблон_Формулы!$V8</f>
        <v>128047038</v>
      </c>
      <c r="Y8" s="16">
        <f>Шаблон_Формулы!$W8+Шаблон_Формулы!$X8</f>
        <v>128047038</v>
      </c>
      <c r="Z8" s="14" t="str">
        <f>_xlfn.XLOOKUP($A8,Centrum[Индекс],Centrum[Transport co invoice no/ 
Номер инвойса ТК],"",0,1)</f>
        <v>CNT-K23070628P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KR</v>
      </c>
      <c r="D9" s="11" t="str">
        <f>_xlfn.XLOOKUP($A9,Centrum[Индекс],Centrum[Container num./ 
№ контейнера],"",0,1)</f>
        <v>MOTU0685990</v>
      </c>
      <c r="E9" s="11" t="str">
        <f>_xlfn.XLOOKUP($A9,Centrum[Индекс],Centrum[Supplier/
Поставщик],"",0,1)</f>
        <v>SHANDONG LINGLONG TYRE CO.,LTD</v>
      </c>
      <c r="F9" s="11" t="str">
        <f>_xlfn.XLOOKUP($A9,Centrum[Индекс],Centrum[Shippers invoice no/ 
Номер инвойса поставщика],"",1)</f>
        <v>6020230506902</v>
      </c>
      <c r="G9" s="15">
        <f>_xlfn.XLOOKUP($A9,Centrum[Индекс],Centrum[Invoice value / Стоимость груза в к-ре по инвойсу],"",0,1)</f>
        <v>43920</v>
      </c>
      <c r="H9" s="14" t="s">
        <v>40</v>
      </c>
      <c r="I9" s="11">
        <f>_xlfn.XLOOKUP($A9,Centrum[Индекс],Centrum[CBM on the shipper/ 
CBM по поставщику],"",0,1)</f>
        <v>70</v>
      </c>
      <c r="J9" s="16">
        <f>_xlfn.XLOOKUP($A9,Centrum[Индекс],Centrum[Gross weight of cont// 
Гросс.вес по конт.],"",0,1)</f>
        <v>12640</v>
      </c>
      <c r="K9" s="17" t="str">
        <f>_xlfn.XLOOKUP($A9,Centrum[Индекс],Centrum[Route/ Маршрут (TSR/TCR)],"",0,1)</f>
        <v>TSR-PITNYAK</v>
      </c>
      <c r="L9" s="11" t="str">
        <f>_xlfn.XLOOKUP($A9,Centrum[Индекс],Centrum[Условия поставки],"",0,1)</f>
        <v>BUSAN FOB / P-D</v>
      </c>
      <c r="M9" s="11" t="str">
        <f>_xlfn.XLOOKUP($A9,Centrum[Индекс],Centrum[№ HBL date / 
№/ дата коносамента],"",0,1)</f>
        <v>ULSO23070628</v>
      </c>
      <c r="N9" s="11" t="str">
        <f>_xlfn.XLOOKUP($A9,Centrum[Индекс],Centrum[№ MBL / 
№/ коносамента],"",0,1)</f>
        <v>JAWHFA067NS035</v>
      </c>
      <c r="O9" s="8">
        <f>(_xlfn.XLOOKUP($A9,Centrum[Индекс],Centrum[Date on board / Дата погрузки на судно],"",0,1))*1</f>
        <v>45131</v>
      </c>
      <c r="P9" s="8">
        <f>(_xlfn.XLOOKUP($A9,Centrum[Индекс],Centrum[Date of arrival to Sary-Agach/ Дата прибытия на Сары-Агач],"",0,1))*1</f>
        <v>45175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10550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10550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" s="16">
        <f>_xlfn.XLOOKUP(Шаблон_Формулы[[#This Row],[21]],Курс_USD[Дата],Курс_USD[Курс],,0,1)</f>
        <v>12137.16</v>
      </c>
      <c r="W9" s="16">
        <f>Шаблон_Формулы!$T9*Шаблон_Формулы!$V9</f>
        <v>128047038</v>
      </c>
      <c r="Y9" s="16">
        <f>Шаблон_Формулы!$W9+Шаблон_Формулы!$X9</f>
        <v>128047038</v>
      </c>
      <c r="Z9" s="14" t="str">
        <f>_xlfn.XLOOKUP($A9,Centrum[Индекс],Centrum[Transport co invoice no/ 
Номер инвойса ТК],"",0,1)</f>
        <v>CNT-K23070628P</v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KR</v>
      </c>
      <c r="D10" s="11" t="str">
        <f>_xlfn.XLOOKUP($A10,Centrum[Индекс],Centrum[Container num./ 
№ контейнера],"",0,1)</f>
        <v>TCNU8438703</v>
      </c>
      <c r="E10" s="11" t="str">
        <f>_xlfn.XLOOKUP($A10,Centrum[Индекс],Centrum[Supplier/
Поставщик],"",0,1)</f>
        <v>SHANDONG LINGLONG TYRE CO.,LTD</v>
      </c>
      <c r="F10" s="11" t="str">
        <f>_xlfn.XLOOKUP($A10,Centrum[Индекс],Centrum[Shippers invoice no/ 
Номер инвойса поставщика],"",1)</f>
        <v>6020230485205</v>
      </c>
      <c r="G10" s="15">
        <f>_xlfn.XLOOKUP($A10,Centrum[Индекс],Centrum[Invoice value / Стоимость груза в к-ре по инвойсу],"",0,1)</f>
        <v>43920</v>
      </c>
      <c r="H10" s="14" t="s">
        <v>40</v>
      </c>
      <c r="I10" s="11">
        <f>_xlfn.XLOOKUP($A10,Centrum[Индекс],Centrum[CBM on the shipper/ 
CBM по поставщику],"",0,1)</f>
        <v>70</v>
      </c>
      <c r="J10" s="16">
        <f>_xlfn.XLOOKUP($A10,Centrum[Индекс],Centrum[Gross weight of cont// 
Гросс.вес по конт.],"",0,1)</f>
        <v>12640</v>
      </c>
      <c r="K10" s="17" t="str">
        <f>_xlfn.XLOOKUP($A10,Centrum[Индекс],Centrum[Route/ Маршрут (TSR/TCR)],"",0,1)</f>
        <v>TSR-PITNYAK</v>
      </c>
      <c r="L10" s="11" t="str">
        <f>_xlfn.XLOOKUP($A10,Centrum[Индекс],Centrum[Условия поставки],"",0,1)</f>
        <v>BUSAN FOB / P-D</v>
      </c>
      <c r="M10" s="11" t="str">
        <f>_xlfn.XLOOKUP($A10,Centrum[Индекс],Centrum[№ HBL date / 
№/ дата коносамента],"",0,1)</f>
        <v>ULSO23070628</v>
      </c>
      <c r="N10" s="11" t="str">
        <f>_xlfn.XLOOKUP($A10,Centrum[Индекс],Centrum[№ MBL / 
№/ коносамента],"",0,1)</f>
        <v>JAWHFA067NS035</v>
      </c>
      <c r="O10" s="8">
        <f>(_xlfn.XLOOKUP($A10,Centrum[Индекс],Centrum[Date on board / Дата погрузки на судно],"",0,1))*1</f>
        <v>45131</v>
      </c>
      <c r="P10" s="8">
        <f>(_xlfn.XLOOKUP($A10,Centrum[Индекс],Centrum[Date of arrival to Sary-Agach/ Дата прибытия на Сары-Агач],"",0,1))*1</f>
        <v>45175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10550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10550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" s="16">
        <f>_xlfn.XLOOKUP(Шаблон_Формулы[[#This Row],[21]],Курс_USD[Дата],Курс_USD[Курс],,0,1)</f>
        <v>12137.16</v>
      </c>
      <c r="W10" s="16">
        <f>Шаблон_Формулы!$T10*Шаблон_Формулы!$V10</f>
        <v>128047038</v>
      </c>
      <c r="Y10" s="16">
        <f>Шаблон_Формулы!$W10+Шаблон_Формулы!$X10</f>
        <v>128047038</v>
      </c>
      <c r="Z10" s="14" t="str">
        <f>_xlfn.XLOOKUP($A10,Centrum[Индекс],Centrum[Transport co invoice no/ 
Номер инвойса ТК],"",0,1)</f>
        <v>CNT-K23070628P</v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KR</v>
      </c>
      <c r="D11" s="11" t="str">
        <f>_xlfn.XLOOKUP($A11,Centrum[Индекс],Centrum[Container num./ 
№ контейнера],"",0,1)</f>
        <v>TCNU9547885</v>
      </c>
      <c r="E11" s="11" t="str">
        <f>_xlfn.XLOOKUP($A11,Centrum[Индекс],Centrum[Supplier/
Поставщик],"",0,1)</f>
        <v>SHANDONG LINGLONG TYRE CO.,LTD</v>
      </c>
      <c r="F11" s="11" t="str">
        <f>_xlfn.XLOOKUP($A11,Centrum[Индекс],Centrum[Shippers invoice no/ 
Номер инвойса поставщика],"",1)</f>
        <v>6020230485201</v>
      </c>
      <c r="G11" s="15">
        <f>_xlfn.XLOOKUP($A11,Centrum[Индекс],Centrum[Invoice value / Стоимость груза в к-ре по инвойсу],"",0,1)</f>
        <v>43920</v>
      </c>
      <c r="H11" s="14" t="s">
        <v>40</v>
      </c>
      <c r="I11" s="11">
        <f>_xlfn.XLOOKUP($A11,Centrum[Индекс],Centrum[CBM on the shipper/ 
CBM по поставщику],"",0,1)</f>
        <v>70</v>
      </c>
      <c r="J11" s="16">
        <f>_xlfn.XLOOKUP($A11,Centrum[Индекс],Centrum[Gross weight of cont// 
Гросс.вес по конт.],"",0,1)</f>
        <v>12640</v>
      </c>
      <c r="K11" s="17" t="str">
        <f>_xlfn.XLOOKUP($A11,Centrum[Индекс],Centrum[Route/ Маршрут (TSR/TCR)],"",0,1)</f>
        <v>TSR-PITNYAK</v>
      </c>
      <c r="L11" s="11" t="str">
        <f>_xlfn.XLOOKUP($A11,Centrum[Индекс],Centrum[Условия поставки],"",0,1)</f>
        <v>BUSAN FOB / P-D</v>
      </c>
      <c r="M11" s="11" t="str">
        <f>_xlfn.XLOOKUP($A11,Centrum[Индекс],Centrum[№ HBL date / 
№/ дата коносамента],"",0,1)</f>
        <v>ULSO23070628</v>
      </c>
      <c r="N11" s="11" t="str">
        <f>_xlfn.XLOOKUP($A11,Centrum[Индекс],Centrum[№ MBL / 
№/ коносамента],"",0,1)</f>
        <v>JAWHFA067NS035</v>
      </c>
      <c r="O11" s="8">
        <f>(_xlfn.XLOOKUP($A11,Centrum[Индекс],Centrum[Date on board / Дата погрузки на судно],"",0,1))*1</f>
        <v>45131</v>
      </c>
      <c r="P11" s="8">
        <f>(_xlfn.XLOOKUP($A11,Centrum[Индекс],Centrum[Date of arrival to Sary-Agach/ Дата прибытия на Сары-Агач],"",0,1))*1</f>
        <v>45175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10550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10550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" s="16">
        <f>_xlfn.XLOOKUP(Шаблон_Формулы[[#This Row],[21]],Курс_USD[Дата],Курс_USD[Курс],,0,1)</f>
        <v>12137.16</v>
      </c>
      <c r="W11" s="16">
        <f>Шаблон_Формулы!$T11*Шаблон_Формулы!$V11</f>
        <v>128047038</v>
      </c>
      <c r="Y11" s="16">
        <f>Шаблон_Формулы!$W11+Шаблон_Формулы!$X11</f>
        <v>128047038</v>
      </c>
      <c r="Z11" s="14" t="str">
        <f>_xlfn.XLOOKUP($A11,Centrum[Индекс],Centrum[Transport co invoice no/ 
Номер инвойса ТК],"",0,1)</f>
        <v>CNT-K23070628P</v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KR</v>
      </c>
      <c r="D12" s="11" t="str">
        <f>_xlfn.XLOOKUP($A12,Centrum[Индекс],Centrum[Container num./ 
№ контейнера],"",0,1)</f>
        <v>TRLU5678111</v>
      </c>
      <c r="E12" s="11" t="str">
        <f>_xlfn.XLOOKUP($A12,Centrum[Индекс],Centrum[Supplier/
Поставщик],"",0,1)</f>
        <v>SHANDONG LINGLONG TYRE CO.,LTD</v>
      </c>
      <c r="F12" s="11" t="str">
        <f>_xlfn.XLOOKUP($A12,Centrum[Индекс],Centrum[Shippers invoice no/ 
Номер инвойса поставщика],"",1)</f>
        <v>6020230506905</v>
      </c>
      <c r="G12" s="15">
        <f>_xlfn.XLOOKUP($A12,Centrum[Индекс],Centrum[Invoice value / Стоимость груза в к-ре по инвойсу],"",0,1)</f>
        <v>43920</v>
      </c>
      <c r="H12" s="14" t="s">
        <v>40</v>
      </c>
      <c r="I12" s="11">
        <f>_xlfn.XLOOKUP($A12,Centrum[Индекс],Centrum[CBM on the shipper/ 
CBM по поставщику],"",0,1)</f>
        <v>70</v>
      </c>
      <c r="J12" s="16">
        <f>_xlfn.XLOOKUP($A12,Centrum[Индекс],Centrum[Gross weight of cont// 
Гросс.вес по конт.],"",0,1)</f>
        <v>12640</v>
      </c>
      <c r="K12" s="17" t="str">
        <f>_xlfn.XLOOKUP($A12,Centrum[Индекс],Centrum[Route/ Маршрут (TSR/TCR)],"",0,1)</f>
        <v>TSR-PITNYAK</v>
      </c>
      <c r="L12" s="11" t="str">
        <f>_xlfn.XLOOKUP($A12,Centrum[Индекс],Centrum[Условия поставки],"",0,1)</f>
        <v>BUSAN FOB / P-D</v>
      </c>
      <c r="M12" s="11" t="str">
        <f>_xlfn.XLOOKUP($A12,Centrum[Индекс],Centrum[№ HBL date / 
№/ дата коносамента],"",0,1)</f>
        <v>ULSO23070628</v>
      </c>
      <c r="N12" s="11" t="str">
        <f>_xlfn.XLOOKUP($A12,Centrum[Индекс],Centrum[№ MBL / 
№/ коносамента],"",0,1)</f>
        <v>JAWHFA067NS035</v>
      </c>
      <c r="O12" s="8">
        <f>(_xlfn.XLOOKUP($A12,Centrum[Индекс],Centrum[Date on board / Дата погрузки на судно],"",0,1))*1</f>
        <v>45131</v>
      </c>
      <c r="P12" s="8">
        <f>(_xlfn.XLOOKUP($A12,Centrum[Индекс],Centrum[Date of arrival to Sary-Agach/ Дата прибытия на Сары-Агач],"",0,1))*1</f>
        <v>45175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10550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10550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" s="16">
        <f>_xlfn.XLOOKUP(Шаблон_Формулы[[#This Row],[21]],Курс_USD[Дата],Курс_USD[Курс],,0,1)</f>
        <v>12137.16</v>
      </c>
      <c r="W12" s="16">
        <f>Шаблон_Формулы!$T12*Шаблон_Формулы!$V12</f>
        <v>128047038</v>
      </c>
      <c r="Y12" s="16">
        <f>Шаблон_Формулы!$W12+Шаблон_Формулы!$X12</f>
        <v>128047038</v>
      </c>
      <c r="Z12" s="14" t="str">
        <f>_xlfn.XLOOKUP($A12,Centrum[Индекс],Centrum[Transport co invoice no/ 
Номер инвойса ТК],"",0,1)</f>
        <v>CNT-K23070628P</v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KR</v>
      </c>
      <c r="D13" s="11" t="str">
        <f>_xlfn.XLOOKUP($A13,Centrum[Индекс],Centrum[Container num./ 
№ контейнера],"",0,1)</f>
        <v>TRLU7334650</v>
      </c>
      <c r="E13" s="11" t="str">
        <f>_xlfn.XLOOKUP($A13,Centrum[Индекс],Centrum[Supplier/
Поставщик],"",0,1)</f>
        <v>SHANDONG LINGLONG TYRE CO.,LTD</v>
      </c>
      <c r="F13" s="11" t="str">
        <f>_xlfn.XLOOKUP($A13,Centrum[Индекс],Centrum[Shippers invoice no/ 
Номер инвойса поставщика],"",1)</f>
        <v>6020230506904</v>
      </c>
      <c r="G13" s="15">
        <f>_xlfn.XLOOKUP($A13,Centrum[Индекс],Centrum[Invoice value / Стоимость груза в к-ре по инвойсу],"",0,1)</f>
        <v>43920</v>
      </c>
      <c r="H13" s="14" t="s">
        <v>40</v>
      </c>
      <c r="I13" s="11">
        <f>_xlfn.XLOOKUP($A13,Centrum[Индекс],Centrum[CBM on the shipper/ 
CBM по поставщику],"",0,1)</f>
        <v>70</v>
      </c>
      <c r="J13" s="16">
        <f>_xlfn.XLOOKUP($A13,Centrum[Индекс],Centrum[Gross weight of cont// 
Гросс.вес по конт.],"",0,1)</f>
        <v>12640</v>
      </c>
      <c r="K13" s="17" t="str">
        <f>_xlfn.XLOOKUP($A13,Centrum[Индекс],Centrum[Route/ Маршрут (TSR/TCR)],"",0,1)</f>
        <v>TSR-PITNYAK</v>
      </c>
      <c r="L13" s="11" t="str">
        <f>_xlfn.XLOOKUP($A13,Centrum[Индекс],Centrum[Условия поставки],"",0,1)</f>
        <v>BUSAN FOB / P-D</v>
      </c>
      <c r="M13" s="11" t="str">
        <f>_xlfn.XLOOKUP($A13,Centrum[Индекс],Centrum[№ HBL date / 
№/ дата коносамента],"",0,1)</f>
        <v>ULSO23070628</v>
      </c>
      <c r="N13" s="11" t="str">
        <f>_xlfn.XLOOKUP($A13,Centrum[Индекс],Centrum[№ MBL / 
№/ коносамента],"",0,1)</f>
        <v>JAWHFA067NS035</v>
      </c>
      <c r="O13" s="8">
        <f>(_xlfn.XLOOKUP($A13,Centrum[Индекс],Centrum[Date on board / Дата погрузки на судно],"",0,1))*1</f>
        <v>45131</v>
      </c>
      <c r="P13" s="8">
        <f>(_xlfn.XLOOKUP($A13,Centrum[Индекс],Centrum[Date of arrival to Sary-Agach/ Дата прибытия на Сары-Агач],"",0,1))*1</f>
        <v>45175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" s="16">
        <f>_xlfn.XLOOKUP(Шаблон_Формулы[[#This Row],[21]],Курс_USD[Дата],Курс_USD[Курс],,0,1)</f>
        <v>12137.16</v>
      </c>
      <c r="W13" s="16">
        <f>Шаблон_Формулы!$T13*Шаблон_Формулы!$V13</f>
        <v>128047038</v>
      </c>
      <c r="Y13" s="16">
        <f>Шаблон_Формулы!$W13+Шаблон_Формулы!$X13</f>
        <v>128047038</v>
      </c>
      <c r="Z13" s="14" t="str">
        <f>_xlfn.XLOOKUP($A13,Centrum[Индекс],Centrum[Transport co invoice no/ 
Номер инвойса ТК],"",0,1)</f>
        <v>CNT-K23070628P</v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KR</v>
      </c>
      <c r="D14" s="11" t="str">
        <f>_xlfn.XLOOKUP($A14,Centrum[Индекс],Centrum[Container num./ 
№ контейнера],"",0,1)</f>
        <v>TRLU7452308</v>
      </c>
      <c r="E14" s="11" t="str">
        <f>_xlfn.XLOOKUP($A14,Centrum[Индекс],Centrum[Supplier/
Поставщик],"",0,1)</f>
        <v>SHANDONG LINGLONG TYRE CO.,LTD</v>
      </c>
      <c r="F14" s="11" t="str">
        <f>_xlfn.XLOOKUP($A14,Centrum[Индекс],Centrum[Shippers invoice no/ 
Номер инвойса поставщика],"",1)</f>
        <v>6020230506901</v>
      </c>
      <c r="G14" s="15">
        <f>_xlfn.XLOOKUP($A14,Centrum[Индекс],Centrum[Invoice value / Стоимость груза в к-ре по инвойсу],"",0,1)</f>
        <v>43920</v>
      </c>
      <c r="H14" s="14" t="s">
        <v>40</v>
      </c>
      <c r="I14" s="11">
        <f>_xlfn.XLOOKUP($A14,Centrum[Индекс],Centrum[CBM on the shipper/ 
CBM по поставщику],"",0,1)</f>
        <v>70</v>
      </c>
      <c r="J14" s="16">
        <f>_xlfn.XLOOKUP($A14,Centrum[Индекс],Centrum[Gross weight of cont// 
Гросс.вес по конт.],"",0,1)</f>
        <v>12640</v>
      </c>
      <c r="K14" s="17" t="str">
        <f>_xlfn.XLOOKUP($A14,Centrum[Индекс],Centrum[Route/ Маршрут (TSR/TCR)],"",0,1)</f>
        <v>TSR-PITNYAK</v>
      </c>
      <c r="L14" s="11" t="str">
        <f>_xlfn.XLOOKUP($A14,Centrum[Индекс],Centrum[Условия поставки],"",0,1)</f>
        <v>BUSAN FOB / P-D</v>
      </c>
      <c r="M14" s="11" t="str">
        <f>_xlfn.XLOOKUP($A14,Centrum[Индекс],Centrum[№ HBL date / 
№/ дата коносамента],"",0,1)</f>
        <v>ULSO23070628</v>
      </c>
      <c r="N14" s="11" t="str">
        <f>_xlfn.XLOOKUP($A14,Centrum[Индекс],Centrum[№ MBL / 
№/ коносамента],"",0,1)</f>
        <v>JAWHFA067NS035</v>
      </c>
      <c r="O14" s="8">
        <f>(_xlfn.XLOOKUP($A14,Centrum[Индекс],Centrum[Date on board / Дата погрузки на судно],"",0,1))*1</f>
        <v>45131</v>
      </c>
      <c r="P14" s="8">
        <f>(_xlfn.XLOOKUP($A14,Centrum[Индекс],Centrum[Date of arrival to Sary-Agach/ Дата прибытия на Сары-Агач],"",0,1))*1</f>
        <v>45175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10550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10550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" s="16">
        <f>_xlfn.XLOOKUP(Шаблон_Формулы[[#This Row],[21]],Курс_USD[Дата],Курс_USD[Курс],,0,1)</f>
        <v>12137.16</v>
      </c>
      <c r="W14" s="16">
        <f>Шаблон_Формулы!$T14*Шаблон_Формулы!$V14</f>
        <v>128047038</v>
      </c>
      <c r="Y14" s="16">
        <f>Шаблон_Формулы!$W14+Шаблон_Формулы!$X14</f>
        <v>128047038</v>
      </c>
      <c r="Z14" s="14" t="str">
        <f>_xlfn.XLOOKUP($A14,Centrum[Индекс],Centrum[Transport co invoice no/ 
Номер инвойса ТК],"",0,1)</f>
        <v>CNT-K23070628P</v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" s="16">
        <f>_xlfn.XLOOKUP(Шаблон_Формулы[[#This Row],[21]],Курс_USD[Дата],Курс_USD[Курс],,0,1)</f>
        <v>12137.16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6" s="16">
        <f>_xlfn.XLOOKUP(Шаблон_Формулы[[#This Row],[21]],Курс_USD[Дата],Курс_USD[Курс],,0,1)</f>
        <v>12137.16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7" s="16">
        <f>_xlfn.XLOOKUP(Шаблон_Формулы[[#This Row],[21]],Курс_USD[Дата],Курс_USD[Курс],,0,1)</f>
        <v>12137.16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8" s="16">
        <f>_xlfn.XLOOKUP(Шаблон_Формулы[[#This Row],[21]],Курс_USD[Дата],Курс_USD[Курс],,0,1)</f>
        <v>12137.16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9" s="16">
        <f>_xlfn.XLOOKUP(Шаблон_Формулы[[#This Row],[21]],Курс_USD[Дата],Курс_USD[Курс],,0,1)</f>
        <v>12137.16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0" s="16">
        <f>_xlfn.XLOOKUP(Шаблон_Формулы[[#This Row],[21]],Курс_USD[Дата],Курс_USD[Курс],,0,1)</f>
        <v>12137.16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1" s="16">
        <f>_xlfn.XLOOKUP(Шаблон_Формулы[[#This Row],[21]],Курс_USD[Дата],Курс_USD[Курс],,0,1)</f>
        <v>12137.16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2" s="16">
        <f>_xlfn.XLOOKUP(Шаблон_Формулы[[#This Row],[21]],Курс_USD[Дата],Курс_USD[Курс],,0,1)</f>
        <v>12137.16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3" s="16">
        <f>_xlfn.XLOOKUP(Шаблон_Формулы[[#This Row],[21]],Курс_USD[Дата],Курс_USD[Курс],,0,1)</f>
        <v>12137.16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4" s="16">
        <f>_xlfn.XLOOKUP(Шаблон_Формулы[[#This Row],[21]],Курс_USD[Дата],Курс_USD[Курс],,0,1)</f>
        <v>12137.16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5" s="16">
        <f>_xlfn.XLOOKUP(Шаблон_Формулы[[#This Row],[21]],Курс_USD[Дата],Курс_USD[Курс],,0,1)</f>
        <v>12137.16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6" s="16">
        <f>_xlfn.XLOOKUP(Шаблон_Формулы[[#This Row],[21]],Курс_USD[Дата],Курс_USD[Курс],,0,1)</f>
        <v>12137.16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7" s="16">
        <f>_xlfn.XLOOKUP(Шаблон_Формулы[[#This Row],[21]],Курс_USD[Дата],Курс_USD[Курс],,0,1)</f>
        <v>12137.16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8" s="16">
        <f>_xlfn.XLOOKUP(Шаблон_Формулы[[#This Row],[21]],Курс_USD[Дата],Курс_USD[Курс],,0,1)</f>
        <v>12137.16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9" s="16">
        <f>_xlfn.XLOOKUP(Шаблон_Формулы[[#This Row],[21]],Курс_USD[Дата],Курс_USD[Курс],,0,1)</f>
        <v>12137.16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0" s="16">
        <f>_xlfn.XLOOKUP(Шаблон_Формулы[[#This Row],[21]],Курс_USD[Дата],Курс_USD[Курс],,0,1)</f>
        <v>12137.16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1" s="16">
        <f>_xlfn.XLOOKUP(Шаблон_Формулы[[#This Row],[21]],Курс_USD[Дата],Курс_USD[Курс],,0,1)</f>
        <v>12137.16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2" s="16">
        <f>_xlfn.XLOOKUP(Шаблон_Формулы[[#This Row],[21]],Курс_USD[Дата],Курс_USD[Курс],,0,1)</f>
        <v>12137.16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3" s="16">
        <f>_xlfn.XLOOKUP(Шаблон_Формулы[[#This Row],[21]],Курс_USD[Дата],Курс_USD[Курс],,0,1)</f>
        <v>12137.16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4" s="16">
        <f>_xlfn.XLOOKUP(Шаблон_Формулы[[#This Row],[21]],Курс_USD[Дата],Курс_USD[Курс],,0,1)</f>
        <v>12137.16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5" s="16">
        <f>_xlfn.XLOOKUP(Шаблон_Формулы[[#This Row],[21]],Курс_USD[Дата],Курс_USD[Курс],,0,1)</f>
        <v>12137.16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6" s="16">
        <f>_xlfn.XLOOKUP(Шаблон_Формулы[[#This Row],[21]],Курс_USD[Дата],Курс_USD[Курс],,0,1)</f>
        <v>12137.16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7" s="16">
        <f>_xlfn.XLOOKUP(Шаблон_Формулы[[#This Row],[21]],Курс_USD[Дата],Курс_USD[Курс],,0,1)</f>
        <v>12137.16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8" s="16">
        <f>_xlfn.XLOOKUP(Шаблон_Формулы[[#This Row],[21]],Курс_USD[Дата],Курс_USD[Курс],,0,1)</f>
        <v>12137.16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9" s="16">
        <f>_xlfn.XLOOKUP(Шаблон_Формулы[[#This Row],[21]],Курс_USD[Дата],Курс_USD[Курс],,0,1)</f>
        <v>12137.16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0" s="16">
        <f>_xlfn.XLOOKUP(Шаблон_Формулы[[#This Row],[21]],Курс_USD[Дата],Курс_USD[Курс],,0,1)</f>
        <v>12137.16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1" s="16">
        <f>_xlfn.XLOOKUP(Шаблон_Формулы[[#This Row],[21]],Курс_USD[Дата],Курс_USD[Курс],,0,1)</f>
        <v>12137.16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2" s="16">
        <f>_xlfn.XLOOKUP(Шаблон_Формулы[[#This Row],[21]],Курс_USD[Дата],Курс_USD[Курс],,0,1)</f>
        <v>12137.16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3" s="16">
        <f>_xlfn.XLOOKUP(Шаблон_Формулы[[#This Row],[21]],Курс_USD[Дата],Курс_USD[Курс],,0,1)</f>
        <v>12137.16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4" s="16">
        <f>_xlfn.XLOOKUP(Шаблон_Формулы[[#This Row],[21]],Курс_USD[Дата],Курс_USD[Курс],,0,1)</f>
        <v>12137.16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5" s="16">
        <f>_xlfn.XLOOKUP(Шаблон_Формулы[[#This Row],[21]],Курс_USD[Дата],Курс_USD[Курс],,0,1)</f>
        <v>12137.16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6" s="16">
        <f>_xlfn.XLOOKUP(Шаблон_Формулы[[#This Row],[21]],Курс_USD[Дата],Курс_USD[Курс],,0,1)</f>
        <v>12137.16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7" s="16">
        <f>_xlfn.XLOOKUP(Шаблон_Формулы[[#This Row],[21]],Курс_USD[Дата],Курс_USD[Курс],,0,1)</f>
        <v>12137.16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8" s="16">
        <f>_xlfn.XLOOKUP(Шаблон_Формулы[[#This Row],[21]],Курс_USD[Дата],Курс_USD[Курс],,0,1)</f>
        <v>12137.16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9" s="16">
        <f>_xlfn.XLOOKUP(Шаблон_Формулы[[#This Row],[21]],Курс_USD[Дата],Курс_USD[Курс],,0,1)</f>
        <v>12137.16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0" s="16">
        <f>_xlfn.XLOOKUP(Шаблон_Формулы[[#This Row],[21]],Курс_USD[Дата],Курс_USD[Курс],,0,1)</f>
        <v>12137.16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1" s="16">
        <f>_xlfn.XLOOKUP(Шаблон_Формулы[[#This Row],[21]],Курс_USD[Дата],Курс_USD[Курс],,0,1)</f>
        <v>12137.16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2" s="16">
        <f>_xlfn.XLOOKUP(Шаблон_Формулы[[#This Row],[21]],Курс_USD[Дата],Курс_USD[Курс],,0,1)</f>
        <v>12137.16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3" s="16">
        <f>_xlfn.XLOOKUP(Шаблон_Формулы[[#This Row],[21]],Курс_USD[Дата],Курс_USD[Курс],,0,1)</f>
        <v>12137.16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4" s="16">
        <f>_xlfn.XLOOKUP(Шаблон_Формулы[[#This Row],[21]],Курс_USD[Дата],Курс_USD[Курс],,0,1)</f>
        <v>12137.16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5" s="16">
        <f>_xlfn.XLOOKUP(Шаблон_Формулы[[#This Row],[21]],Курс_USD[Дата],Курс_USD[Курс],,0,1)</f>
        <v>12137.16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6" s="16">
        <f>_xlfn.XLOOKUP(Шаблон_Формулы[[#This Row],[21]],Курс_USD[Дата],Курс_USD[Курс],,0,1)</f>
        <v>12137.16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7" s="16">
        <f>_xlfn.XLOOKUP(Шаблон_Формулы[[#This Row],[21]],Курс_USD[Дата],Курс_USD[Курс],,0,1)</f>
        <v>12137.16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8" s="16">
        <f>_xlfn.XLOOKUP(Шаблон_Формулы[[#This Row],[21]],Курс_USD[Дата],Курс_USD[Курс],,0,1)</f>
        <v>12137.16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9" s="16">
        <f>_xlfn.XLOOKUP(Шаблон_Формулы[[#This Row],[21]],Курс_USD[Дата],Курс_USD[Курс],,0,1)</f>
        <v>12137.16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0" s="16">
        <f>_xlfn.XLOOKUP(Шаблон_Формулы[[#This Row],[21]],Курс_USD[Дата],Курс_USD[Курс],,0,1)</f>
        <v>12137.16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1" s="16">
        <f>_xlfn.XLOOKUP(Шаблон_Формулы[[#This Row],[21]],Курс_USD[Дата],Курс_USD[Курс],,0,1)</f>
        <v>12137.16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2" s="16">
        <f>_xlfn.XLOOKUP(Шаблон_Формулы[[#This Row],[21]],Курс_USD[Дата],Курс_USD[Курс],,0,1)</f>
        <v>12137.16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3" s="16">
        <f>_xlfn.XLOOKUP(Шаблон_Формулы[[#This Row],[21]],Курс_USD[Дата],Курс_USD[Курс],,0,1)</f>
        <v>12137.16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4" s="16">
        <f>_xlfn.XLOOKUP(Шаблон_Формулы[[#This Row],[21]],Курс_USD[Дата],Курс_USD[Курс],,0,1)</f>
        <v>12137.16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5" s="16">
        <f>_xlfn.XLOOKUP(Шаблон_Формулы[[#This Row],[21]],Курс_USD[Дата],Курс_USD[Курс],,0,1)</f>
        <v>12137.16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6" s="16">
        <f>_xlfn.XLOOKUP(Шаблон_Формулы[[#This Row],[21]],Курс_USD[Дата],Курс_USD[Курс],,0,1)</f>
        <v>12137.16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7" s="16">
        <f>_xlfn.XLOOKUP(Шаблон_Формулы[[#This Row],[21]],Курс_USD[Дата],Курс_USD[Курс],,0,1)</f>
        <v>12137.16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8" s="16">
        <f>_xlfn.XLOOKUP(Шаблон_Формулы[[#This Row],[21]],Курс_USD[Дата],Курс_USD[Курс],,0,1)</f>
        <v>12137.16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9" s="16">
        <f>_xlfn.XLOOKUP(Шаблон_Формулы[[#This Row],[21]],Курс_USD[Дата],Курс_USD[Курс],,0,1)</f>
        <v>12137.16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0" s="16">
        <f>_xlfn.XLOOKUP(Шаблон_Формулы[[#This Row],[21]],Курс_USD[Дата],Курс_USD[Курс],,0,1)</f>
        <v>12137.16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1" s="16">
        <f>_xlfn.XLOOKUP(Шаблон_Формулы[[#This Row],[21]],Курс_USD[Дата],Курс_USD[Курс],,0,1)</f>
        <v>12137.16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2" s="16">
        <f>_xlfn.XLOOKUP(Шаблон_Формулы[[#This Row],[21]],Курс_USD[Дата],Курс_USD[Курс],,0,1)</f>
        <v>12137.16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3" s="16">
        <f>_xlfn.XLOOKUP(Шаблон_Формулы[[#This Row],[21]],Курс_USD[Дата],Курс_USD[Курс],,0,1)</f>
        <v>12137.16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4" s="16">
        <f>_xlfn.XLOOKUP(Шаблон_Формулы[[#This Row],[21]],Курс_USD[Дата],Курс_USD[Курс],,0,1)</f>
        <v>12137.16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5" s="16">
        <f>_xlfn.XLOOKUP(Шаблон_Формулы[[#This Row],[21]],Курс_USD[Дата],Курс_USD[Курс],,0,1)</f>
        <v>12137.16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6" s="16">
        <f>_xlfn.XLOOKUP(Шаблон_Формулы[[#This Row],[21]],Курс_USD[Дата],Курс_USD[Курс],,0,1)</f>
        <v>12137.16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7" s="16">
        <f>_xlfn.XLOOKUP(Шаблон_Формулы[[#This Row],[21]],Курс_USD[Дата],Курс_USD[Курс],,0,1)</f>
        <v>12137.16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8" s="16">
        <f>_xlfn.XLOOKUP(Шаблон_Формулы[[#This Row],[21]],Курс_USD[Дата],Курс_USD[Курс],,0,1)</f>
        <v>12137.16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9" s="16">
        <f>_xlfn.XLOOKUP(Шаблон_Формулы[[#This Row],[21]],Курс_USD[Дата],Курс_USD[Курс],,0,1)</f>
        <v>12137.16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0" s="16">
        <f>_xlfn.XLOOKUP(Шаблон_Формулы[[#This Row],[21]],Курс_USD[Дата],Курс_USD[Курс],,0,1)</f>
        <v>12137.16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1" s="16">
        <f>_xlfn.XLOOKUP(Шаблон_Формулы[[#This Row],[21]],Курс_USD[Дата],Курс_USD[Курс],,0,1)</f>
        <v>12137.16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2" s="16">
        <f>_xlfn.XLOOKUP(Шаблон_Формулы[[#This Row],[21]],Курс_USD[Дата],Курс_USD[Курс],,0,1)</f>
        <v>12137.16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3" s="16">
        <f>_xlfn.XLOOKUP(Шаблон_Формулы[[#This Row],[21]],Курс_USD[Дата],Курс_USD[Курс],,0,1)</f>
        <v>12137.16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4" s="16">
        <f>_xlfn.XLOOKUP(Шаблон_Формулы[[#This Row],[21]],Курс_USD[Дата],Курс_USD[Курс],,0,1)</f>
        <v>12137.16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5" s="16">
        <f>_xlfn.XLOOKUP(Шаблон_Формулы[[#This Row],[21]],Курс_USD[Дата],Курс_USD[Курс],,0,1)</f>
        <v>12137.16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6" s="16">
        <f>_xlfn.XLOOKUP(Шаблон_Формулы[[#This Row],[21]],Курс_USD[Дата],Курс_USD[Курс],,0,1)</f>
        <v>12137.16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7" s="16">
        <f>_xlfn.XLOOKUP(Шаблон_Формулы[[#This Row],[21]],Курс_USD[Дата],Курс_USD[Курс],,0,1)</f>
        <v>12137.16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8" s="16">
        <f>_xlfn.XLOOKUP(Шаблон_Формулы[[#This Row],[21]],Курс_USD[Дата],Курс_USD[Курс],,0,1)</f>
        <v>12137.16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9" s="16">
        <f>_xlfn.XLOOKUP(Шаблон_Формулы[[#This Row],[21]],Курс_USD[Дата],Курс_USD[Курс],,0,1)</f>
        <v>12137.16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0" s="16">
        <f>_xlfn.XLOOKUP(Шаблон_Формулы[[#This Row],[21]],Курс_USD[Дата],Курс_USD[Курс],,0,1)</f>
        <v>12137.16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1" s="16">
        <f>_xlfn.XLOOKUP(Шаблон_Формулы[[#This Row],[21]],Курс_USD[Дата],Курс_USD[Курс],,0,1)</f>
        <v>12137.16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2" s="16">
        <f>_xlfn.XLOOKUP(Шаблон_Формулы[[#This Row],[21]],Курс_USD[Дата],Курс_USD[Курс],,0,1)</f>
        <v>12137.16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3" s="16">
        <f>_xlfn.XLOOKUP(Шаблон_Формулы[[#This Row],[21]],Курс_USD[Дата],Курс_USD[Курс],,0,1)</f>
        <v>12137.16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4" s="16">
        <f>_xlfn.XLOOKUP(Шаблон_Формулы[[#This Row],[21]],Курс_USD[Дата],Курс_USD[Курс],,0,1)</f>
        <v>12137.16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5" s="16">
        <f>_xlfn.XLOOKUP(Шаблон_Формулы[[#This Row],[21]],Курс_USD[Дата],Курс_USD[Курс],,0,1)</f>
        <v>12137.16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6" s="16">
        <f>_xlfn.XLOOKUP(Шаблон_Формулы[[#This Row],[21]],Курс_USD[Дата],Курс_USD[Курс],,0,1)</f>
        <v>12137.16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7" s="16">
        <f>_xlfn.XLOOKUP(Шаблон_Формулы[[#This Row],[21]],Курс_USD[Дата],Курс_USD[Курс],,0,1)</f>
        <v>12137.16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8" s="16">
        <f>_xlfn.XLOOKUP(Шаблон_Формулы[[#This Row],[21]],Курс_USD[Дата],Курс_USD[Курс],,0,1)</f>
        <v>12137.16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9" s="16">
        <f>_xlfn.XLOOKUP(Шаблон_Формулы[[#This Row],[21]],Курс_USD[Дата],Курс_USD[Курс],,0,1)</f>
        <v>12137.16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0" s="16">
        <f>_xlfn.XLOOKUP(Шаблон_Формулы[[#This Row],[21]],Курс_USD[Дата],Курс_USD[Курс],,0,1)</f>
        <v>12137.16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1" s="16">
        <f>_xlfn.XLOOKUP(Шаблон_Формулы[[#This Row],[21]],Курс_USD[Дата],Курс_USD[Курс],,0,1)</f>
        <v>12137.16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2" s="16">
        <f>_xlfn.XLOOKUP(Шаблон_Формулы[[#This Row],[21]],Курс_USD[Дата],Курс_USD[Курс],,0,1)</f>
        <v>12137.16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3" s="16">
        <f>_xlfn.XLOOKUP(Шаблон_Формулы[[#This Row],[21]],Курс_USD[Дата],Курс_USD[Курс],,0,1)</f>
        <v>12137.16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4" s="16">
        <f>_xlfn.XLOOKUP(Шаблон_Формулы[[#This Row],[21]],Курс_USD[Дата],Курс_USD[Курс],,0,1)</f>
        <v>12137.16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5" s="16">
        <f>_xlfn.XLOOKUP(Шаблон_Формулы[[#This Row],[21]],Курс_USD[Дата],Курс_USD[Курс],,0,1)</f>
        <v>12137.16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6" s="16">
        <f>_xlfn.XLOOKUP(Шаблон_Формулы[[#This Row],[21]],Курс_USD[Дата],Курс_USD[Курс],,0,1)</f>
        <v>12137.16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7" s="16">
        <f>_xlfn.XLOOKUP(Шаблон_Формулы[[#This Row],[21]],Курс_USD[Дата],Курс_USD[Курс],,0,1)</f>
        <v>12137.16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8" s="16">
        <f>_xlfn.XLOOKUP(Шаблон_Формулы[[#This Row],[21]],Курс_USD[Дата],Курс_USD[Курс],,0,1)</f>
        <v>12137.16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9" s="16">
        <f>_xlfn.XLOOKUP(Шаблон_Формулы[[#This Row],[21]],Курс_USD[Дата],Курс_USD[Курс],,0,1)</f>
        <v>12137.16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0" s="16">
        <f>_xlfn.XLOOKUP(Шаблон_Формулы[[#This Row],[21]],Курс_USD[Дата],Курс_USD[Курс],,0,1)</f>
        <v>12137.16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1" s="16">
        <f>_xlfn.XLOOKUP(Шаблон_Формулы[[#This Row],[21]],Курс_USD[Дата],Курс_USD[Курс],,0,1)</f>
        <v>12137.16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2" s="16">
        <f>_xlfn.XLOOKUP(Шаблон_Формулы[[#This Row],[21]],Курс_USD[Дата],Курс_USD[Курс],,0,1)</f>
        <v>12137.16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3" s="16">
        <f>_xlfn.XLOOKUP(Шаблон_Формулы[[#This Row],[21]],Курс_USD[Дата],Курс_USD[Курс],,0,1)</f>
        <v>12137.16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4" s="16">
        <f>_xlfn.XLOOKUP(Шаблон_Формулы[[#This Row],[21]],Курс_USD[Дата],Курс_USD[Курс],,0,1)</f>
        <v>12137.16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5" s="16">
        <f>_xlfn.XLOOKUP(Шаблон_Формулы[[#This Row],[21]],Курс_USD[Дата],Курс_USD[Курс],,0,1)</f>
        <v>12137.16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6" s="16">
        <f>_xlfn.XLOOKUP(Шаблон_Формулы[[#This Row],[21]],Курс_USD[Дата],Курс_USD[Курс],,0,1)</f>
        <v>12137.16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7" s="16">
        <f>_xlfn.XLOOKUP(Шаблон_Формулы[[#This Row],[21]],Курс_USD[Дата],Курс_USD[Курс],,0,1)</f>
        <v>12137.16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8" s="16">
        <f>_xlfn.XLOOKUP(Шаблон_Формулы[[#This Row],[21]],Курс_USD[Дата],Курс_USD[Курс],,0,1)</f>
        <v>12137.16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9" s="16">
        <f>_xlfn.XLOOKUP(Шаблон_Формулы[[#This Row],[21]],Курс_USD[Дата],Курс_USD[Курс],,0,1)</f>
        <v>12137.16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0" s="16">
        <f>_xlfn.XLOOKUP(Шаблон_Формулы[[#This Row],[21]],Курс_USD[Дата],Курс_USD[Курс],,0,1)</f>
        <v>12137.16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1" s="16">
        <f>_xlfn.XLOOKUP(Шаблон_Формулы[[#This Row],[21]],Курс_USD[Дата],Курс_USD[Курс],,0,1)</f>
        <v>12137.16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2" s="16">
        <f>_xlfn.XLOOKUP(Шаблон_Формулы[[#This Row],[21]],Курс_USD[Дата],Курс_USD[Курс],,0,1)</f>
        <v>12137.16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3" s="16">
        <f>_xlfn.XLOOKUP(Шаблон_Формулы[[#This Row],[21]],Курс_USD[Дата],Курс_USD[Курс],,0,1)</f>
        <v>12137.16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4" s="16">
        <f>_xlfn.XLOOKUP(Шаблон_Формулы[[#This Row],[21]],Курс_USD[Дата],Курс_USD[Курс],,0,1)</f>
        <v>12137.16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5" s="16">
        <f>_xlfn.XLOOKUP(Шаблон_Формулы[[#This Row],[21]],Курс_USD[Дата],Курс_USD[Курс],,0,1)</f>
        <v>12137.16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6" s="16">
        <f>_xlfn.XLOOKUP(Шаблон_Формулы[[#This Row],[21]],Курс_USD[Дата],Курс_USD[Курс],,0,1)</f>
        <v>12137.16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7" s="16">
        <f>_xlfn.XLOOKUP(Шаблон_Формулы[[#This Row],[21]],Курс_USD[Дата],Курс_USD[Курс],,0,1)</f>
        <v>12137.16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8" s="16">
        <f>_xlfn.XLOOKUP(Шаблон_Формулы[[#This Row],[21]],Курс_USD[Дата],Курс_USD[Курс],,0,1)</f>
        <v>12137.16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9" s="16">
        <f>_xlfn.XLOOKUP(Шаблон_Формулы[[#This Row],[21]],Курс_USD[Дата],Курс_USD[Курс],,0,1)</f>
        <v>12137.16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0" s="16">
        <f>_xlfn.XLOOKUP(Шаблон_Формулы[[#This Row],[21]],Курс_USD[Дата],Курс_USD[Курс],,0,1)</f>
        <v>12137.16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1" s="16">
        <f>_xlfn.XLOOKUP(Шаблон_Формулы[[#This Row],[21]],Курс_USD[Дата],Курс_USD[Курс],,0,1)</f>
        <v>12137.16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2" s="16">
        <f>_xlfn.XLOOKUP(Шаблон_Формулы[[#This Row],[21]],Курс_USD[Дата],Курс_USD[Курс],,0,1)</f>
        <v>12137.16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3" s="16">
        <f>_xlfn.XLOOKUP(Шаблон_Формулы[[#This Row],[21]],Курс_USD[Дата],Курс_USD[Курс],,0,1)</f>
        <v>12137.16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4" s="16">
        <f>_xlfn.XLOOKUP(Шаблон_Формулы[[#This Row],[21]],Курс_USD[Дата],Курс_USD[Курс],,0,1)</f>
        <v>12137.16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5" s="16">
        <f>_xlfn.XLOOKUP(Шаблон_Формулы[[#This Row],[21]],Курс_USD[Дата],Курс_USD[Курс],,0,1)</f>
        <v>12137.16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6" s="16">
        <f>_xlfn.XLOOKUP(Шаблон_Формулы[[#This Row],[21]],Курс_USD[Дата],Курс_USD[Курс],,0,1)</f>
        <v>12137.16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7" s="16">
        <f>_xlfn.XLOOKUP(Шаблон_Формулы[[#This Row],[21]],Курс_USD[Дата],Курс_USD[Курс],,0,1)</f>
        <v>12137.16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8" s="16">
        <f>_xlfn.XLOOKUP(Шаблон_Формулы[[#This Row],[21]],Курс_USD[Дата],Курс_USD[Курс],,0,1)</f>
        <v>12137.16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9" s="16">
        <f>_xlfn.XLOOKUP(Шаблон_Формулы[[#This Row],[21]],Курс_USD[Дата],Курс_USD[Курс],,0,1)</f>
        <v>12137.16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0" s="16">
        <f>_xlfn.XLOOKUP(Шаблон_Формулы[[#This Row],[21]],Курс_USD[Дата],Курс_USD[Курс],,0,1)</f>
        <v>12137.16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1" s="16">
        <f>_xlfn.XLOOKUP(Шаблон_Формулы[[#This Row],[21]],Курс_USD[Дата],Курс_USD[Курс],,0,1)</f>
        <v>12137.16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2" s="16">
        <f>_xlfn.XLOOKUP(Шаблон_Формулы[[#This Row],[21]],Курс_USD[Дата],Курс_USD[Курс],,0,1)</f>
        <v>12137.16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3" s="16">
        <f>_xlfn.XLOOKUP(Шаблон_Формулы[[#This Row],[21]],Курс_USD[Дата],Курс_USD[Курс],,0,1)</f>
        <v>12137.16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4" s="16">
        <f>_xlfn.XLOOKUP(Шаблон_Формулы[[#This Row],[21]],Курс_USD[Дата],Курс_USD[Курс],,0,1)</f>
        <v>12137.16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5" s="16">
        <f>_xlfn.XLOOKUP(Шаблон_Формулы[[#This Row],[21]],Курс_USD[Дата],Курс_USD[Курс],,0,1)</f>
        <v>12137.16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6" s="16">
        <f>_xlfn.XLOOKUP(Шаблон_Формулы[[#This Row],[21]],Курс_USD[Дата],Курс_USD[Курс],,0,1)</f>
        <v>12137.16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7" s="16">
        <f>_xlfn.XLOOKUP(Шаблон_Формулы[[#This Row],[21]],Курс_USD[Дата],Курс_USD[Курс],,0,1)</f>
        <v>12137.16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8" s="16">
        <f>_xlfn.XLOOKUP(Шаблон_Формулы[[#This Row],[21]],Курс_USD[Дата],Курс_USD[Курс],,0,1)</f>
        <v>12137.16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9" s="16">
        <f>_xlfn.XLOOKUP(Шаблон_Формулы[[#This Row],[21]],Курс_USD[Дата],Курс_USD[Курс],,0,1)</f>
        <v>12137.16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0" s="16">
        <f>_xlfn.XLOOKUP(Шаблон_Формулы[[#This Row],[21]],Курс_USD[Дата],Курс_USD[Курс],,0,1)</f>
        <v>12137.16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1" s="16">
        <f>_xlfn.XLOOKUP(Шаблон_Формулы[[#This Row],[21]],Курс_USD[Дата],Курс_USD[Курс],,0,1)</f>
        <v>12137.16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2" s="16">
        <f>_xlfn.XLOOKUP(Шаблон_Формулы[[#This Row],[21]],Курс_USD[Дата],Курс_USD[Курс],,0,1)</f>
        <v>12137.16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3" s="16">
        <f>_xlfn.XLOOKUP(Шаблон_Формулы[[#This Row],[21]],Курс_USD[Дата],Курс_USD[Курс],,0,1)</f>
        <v>12137.16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4" s="16">
        <f>_xlfn.XLOOKUP(Шаблон_Формулы[[#This Row],[21]],Курс_USD[Дата],Курс_USD[Курс],,0,1)</f>
        <v>12137.16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2023-10-25T07:09:02Z</dcterms:modified>
</cp:coreProperties>
</file>