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8B427CFC-56B2-46CF-AE78-FEEC6C890DEB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ACT gm" sheetId="12" r:id="rId2"/>
    <sheet name="Appendix" sheetId="11" r:id="rId3"/>
    <sheet name="Путь" sheetId="3" state="hidden" r:id="rId4"/>
    <sheet name="Курс" sheetId="7" state="hidden" r:id="rId5"/>
    <sheet name="ACT" sheetId="4" state="hidden" r:id="rId6"/>
    <sheet name="Шаблон_Формулы" sheetId="5" state="hidden" r:id="rId7"/>
    <sheet name="Лист2" sheetId="2" state="hidden" r:id="rId8"/>
  </sheets>
  <externalReferences>
    <externalReference r:id="rId9"/>
    <externalReference r:id="rId10"/>
  </externalReferences>
  <definedNames>
    <definedName name="_xlnm._FilterDatabase" localSheetId="1" hidden="1">'ACT gm'!$A$5:$AD$160</definedName>
    <definedName name="_xlnm._FilterDatabase" localSheetId="2" hidden="1">Appendix!$A$5:$O$164</definedName>
    <definedName name="Country">[2]LISTS!$C$2:$C$234</definedName>
    <definedName name="CurrencyCode">'[2]CURRENCY CODE'!$A$2:$A$51</definedName>
    <definedName name="ExternalData_1" localSheetId="5" hidden="1">ACT!$A$1:$AC$116</definedName>
    <definedName name="ExternalData_1" localSheetId="4" hidden="1">Курс!$A$5:$D$27</definedName>
    <definedName name="ExternalData_1" localSheetId="0" hidden="1">Лист1!$A$2:$AA$158</definedName>
    <definedName name="ExternalData_1" localSheetId="3" hidden="1">Путь!$A$7:$A$8</definedName>
    <definedName name="Mode">[2]LISTS!$A$2:$A$5</definedName>
    <definedName name="Rate">Путь!$B$5</definedName>
    <definedName name="Region">[2]LISTS!$D$2:$D$5</definedName>
    <definedName name="ServiceType">[2]LISTS!$B$2:$B$8</definedName>
    <definedName name="SRC">Путь!$B$2</definedName>
    <definedName name="_xlnm.Print_Titles" localSheetId="1">'ACT gm'!$4:$5</definedName>
    <definedName name="_xlnm.Print_Titles" localSheetId="2">Appendix!$5:$6</definedName>
    <definedName name="_xlnm.Print_Area" localSheetId="1">'ACT gm'!$A$1:$W$175</definedName>
    <definedName name="_xlnm.Print_Area" localSheetId="2">Appendix!$A$1:$N$168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60" i="12" l="1"/>
  <c r="X160" i="12"/>
  <c r="V160" i="12"/>
  <c r="M160" i="12"/>
  <c r="I160" i="12"/>
  <c r="H160" i="12"/>
  <c r="Y159" i="12"/>
  <c r="X159" i="12"/>
  <c r="Z159" i="12" s="1"/>
  <c r="Y158" i="12"/>
  <c r="X158" i="12"/>
  <c r="Z158" i="12" s="1"/>
  <c r="Z157" i="12"/>
  <c r="Y157" i="12"/>
  <c r="X157" i="12"/>
  <c r="Y156" i="12"/>
  <c r="X156" i="12"/>
  <c r="Z156" i="12" s="1"/>
  <c r="Y155" i="12"/>
  <c r="X155" i="12"/>
  <c r="Z155" i="12" s="1"/>
  <c r="Y154" i="12"/>
  <c r="X154" i="12"/>
  <c r="Z154" i="12" s="1"/>
  <c r="Z153" i="12"/>
  <c r="Y153" i="12"/>
  <c r="X153" i="12"/>
  <c r="Y152" i="12"/>
  <c r="X152" i="12"/>
  <c r="Z152" i="12" s="1"/>
  <c r="Y151" i="12"/>
  <c r="X151" i="12"/>
  <c r="Z151" i="12" s="1"/>
  <c r="Y150" i="12"/>
  <c r="X150" i="12"/>
  <c r="Z150" i="12" s="1"/>
  <c r="Z149" i="12"/>
  <c r="Y149" i="12"/>
  <c r="X149" i="12"/>
  <c r="Y148" i="12"/>
  <c r="X148" i="12"/>
  <c r="Z148" i="12" s="1"/>
  <c r="Y147" i="12"/>
  <c r="X147" i="12"/>
  <c r="Z147" i="12" s="1"/>
  <c r="Y146" i="12"/>
  <c r="X146" i="12"/>
  <c r="Z146" i="12" s="1"/>
  <c r="Z145" i="12"/>
  <c r="Y145" i="12"/>
  <c r="X145" i="12"/>
  <c r="Y144" i="12"/>
  <c r="X144" i="12"/>
  <c r="Z144" i="12" s="1"/>
  <c r="Y143" i="12"/>
  <c r="X143" i="12"/>
  <c r="Z143" i="12" s="1"/>
  <c r="Y142" i="12"/>
  <c r="X142" i="12"/>
  <c r="Z142" i="12" s="1"/>
  <c r="Z141" i="12"/>
  <c r="Y141" i="12"/>
  <c r="X141" i="12"/>
  <c r="Y140" i="12"/>
  <c r="X140" i="12"/>
  <c r="Z140" i="12" s="1"/>
  <c r="Y139" i="12"/>
  <c r="X139" i="12"/>
  <c r="Z139" i="12" s="1"/>
  <c r="Y138" i="12"/>
  <c r="X138" i="12"/>
  <c r="Z138" i="12" s="1"/>
  <c r="Z137" i="12"/>
  <c r="Y137" i="12"/>
  <c r="X137" i="12"/>
  <c r="Y136" i="12"/>
  <c r="X136" i="12"/>
  <c r="Z136" i="12" s="1"/>
  <c r="Y135" i="12"/>
  <c r="X135" i="12"/>
  <c r="Z135" i="12" s="1"/>
  <c r="Y134" i="12"/>
  <c r="X134" i="12"/>
  <c r="Z134" i="12" s="1"/>
  <c r="Z133" i="12"/>
  <c r="Y133" i="12"/>
  <c r="X133" i="12"/>
  <c r="Y132" i="12"/>
  <c r="X132" i="12"/>
  <c r="Z132" i="12" s="1"/>
  <c r="Y131" i="12"/>
  <c r="X131" i="12"/>
  <c r="Z131" i="12" s="1"/>
  <c r="Y130" i="12"/>
  <c r="X130" i="12"/>
  <c r="Z130" i="12" s="1"/>
  <c r="Z129" i="12"/>
  <c r="Y129" i="12"/>
  <c r="X129" i="12"/>
  <c r="Y128" i="12"/>
  <c r="X128" i="12"/>
  <c r="Z128" i="12" s="1"/>
  <c r="Y127" i="12"/>
  <c r="X127" i="12"/>
  <c r="Z127" i="12" s="1"/>
  <c r="Y126" i="12"/>
  <c r="X126" i="12"/>
  <c r="Z126" i="12" s="1"/>
  <c r="Z125" i="12"/>
  <c r="Y125" i="12"/>
  <c r="X125" i="12"/>
  <c r="Y124" i="12"/>
  <c r="X124" i="12"/>
  <c r="Z124" i="12" s="1"/>
  <c r="Y123" i="12"/>
  <c r="X123" i="12"/>
  <c r="Z123" i="12" s="1"/>
  <c r="Y122" i="12"/>
  <c r="X122" i="12"/>
  <c r="Z122" i="12" s="1"/>
  <c r="Z121" i="12"/>
  <c r="Y121" i="12"/>
  <c r="X121" i="12"/>
  <c r="Y120" i="12"/>
  <c r="X120" i="12"/>
  <c r="Z120" i="12" s="1"/>
  <c r="Y119" i="12"/>
  <c r="X119" i="12"/>
  <c r="Z119" i="12" s="1"/>
  <c r="Y118" i="12"/>
  <c r="X118" i="12"/>
  <c r="Z118" i="12" s="1"/>
  <c r="Z117" i="12"/>
  <c r="Y117" i="12"/>
  <c r="X117" i="12"/>
  <c r="Y116" i="12"/>
  <c r="X116" i="12"/>
  <c r="Z116" i="12" s="1"/>
  <c r="Y115" i="12"/>
  <c r="X115" i="12"/>
  <c r="Z115" i="12" s="1"/>
  <c r="Y114" i="12"/>
  <c r="X114" i="12"/>
  <c r="Z114" i="12" s="1"/>
  <c r="Z113" i="12"/>
  <c r="Y113" i="12"/>
  <c r="X113" i="12"/>
  <c r="Y112" i="12"/>
  <c r="X112" i="12"/>
  <c r="Z112" i="12" s="1"/>
  <c r="Y111" i="12"/>
  <c r="X111" i="12"/>
  <c r="Z111" i="12" s="1"/>
  <c r="Y110" i="12"/>
  <c r="X110" i="12"/>
  <c r="Z110" i="12" s="1"/>
  <c r="Z109" i="12"/>
  <c r="Y109" i="12"/>
  <c r="X109" i="12"/>
  <c r="Y108" i="12"/>
  <c r="X108" i="12"/>
  <c r="Z108" i="12" s="1"/>
  <c r="Y107" i="12"/>
  <c r="X107" i="12"/>
  <c r="Z107" i="12" s="1"/>
  <c r="Y106" i="12"/>
  <c r="X106" i="12"/>
  <c r="Z106" i="12" s="1"/>
  <c r="Z105" i="12"/>
  <c r="Y105" i="12"/>
  <c r="X105" i="12"/>
  <c r="Y104" i="12"/>
  <c r="X104" i="12"/>
  <c r="Z104" i="12" s="1"/>
  <c r="Y103" i="12"/>
  <c r="X103" i="12"/>
  <c r="Z103" i="12" s="1"/>
  <c r="Y102" i="12"/>
  <c r="X102" i="12"/>
  <c r="Z102" i="12" s="1"/>
  <c r="Z101" i="12"/>
  <c r="Y101" i="12"/>
  <c r="X101" i="12"/>
  <c r="Y100" i="12"/>
  <c r="X100" i="12"/>
  <c r="Z100" i="12" s="1"/>
  <c r="Y99" i="12"/>
  <c r="X99" i="12"/>
  <c r="Z99" i="12" s="1"/>
  <c r="Y98" i="12"/>
  <c r="X98" i="12"/>
  <c r="Z98" i="12" s="1"/>
  <c r="Z97" i="12"/>
  <c r="Y97" i="12"/>
  <c r="X97" i="12"/>
  <c r="Y96" i="12"/>
  <c r="X96" i="12"/>
  <c r="Z96" i="12" s="1"/>
  <c r="Y95" i="12"/>
  <c r="X95" i="12"/>
  <c r="Z95" i="12" s="1"/>
  <c r="Y94" i="12"/>
  <c r="X94" i="12"/>
  <c r="Z94" i="12" s="1"/>
  <c r="Z93" i="12"/>
  <c r="Y93" i="12"/>
  <c r="X93" i="12"/>
  <c r="Y92" i="12"/>
  <c r="X92" i="12"/>
  <c r="Z92" i="12" s="1"/>
  <c r="Y91" i="12"/>
  <c r="X91" i="12"/>
  <c r="Z91" i="12" s="1"/>
  <c r="Y90" i="12"/>
  <c r="X90" i="12"/>
  <c r="Z90" i="12" s="1"/>
  <c r="Z89" i="12"/>
  <c r="Y89" i="12"/>
  <c r="X89" i="12"/>
  <c r="Y88" i="12"/>
  <c r="X88" i="12"/>
  <c r="Z88" i="12" s="1"/>
  <c r="Y87" i="12"/>
  <c r="X87" i="12"/>
  <c r="Z87" i="12" s="1"/>
  <c r="Y86" i="12"/>
  <c r="X86" i="12"/>
  <c r="Z86" i="12" s="1"/>
  <c r="Z85" i="12"/>
  <c r="Y85" i="12"/>
  <c r="X85" i="12"/>
  <c r="Y84" i="12"/>
  <c r="X84" i="12"/>
  <c r="Z84" i="12" s="1"/>
  <c r="Y83" i="12"/>
  <c r="X83" i="12"/>
  <c r="Z83" i="12" s="1"/>
  <c r="Y82" i="12"/>
  <c r="X82" i="12"/>
  <c r="Z82" i="12" s="1"/>
  <c r="Z81" i="12"/>
  <c r="Y81" i="12"/>
  <c r="X81" i="12"/>
  <c r="Y80" i="12"/>
  <c r="X80" i="12"/>
  <c r="Z80" i="12" s="1"/>
  <c r="Y79" i="12"/>
  <c r="X79" i="12"/>
  <c r="Z79" i="12" s="1"/>
  <c r="Y78" i="12"/>
  <c r="X78" i="12"/>
  <c r="Z78" i="12" s="1"/>
  <c r="Z77" i="12"/>
  <c r="Y77" i="12"/>
  <c r="X77" i="12"/>
  <c r="Y76" i="12"/>
  <c r="X76" i="12"/>
  <c r="Z76" i="12" s="1"/>
  <c r="Y75" i="12"/>
  <c r="X75" i="12"/>
  <c r="Z75" i="12" s="1"/>
  <c r="Y74" i="12"/>
  <c r="X74" i="12"/>
  <c r="Z74" i="12" s="1"/>
  <c r="Z73" i="12"/>
  <c r="Y73" i="12"/>
  <c r="X73" i="12"/>
  <c r="Y72" i="12"/>
  <c r="X72" i="12"/>
  <c r="Z72" i="12" s="1"/>
  <c r="Y71" i="12"/>
  <c r="X71" i="12"/>
  <c r="Z71" i="12" s="1"/>
  <c r="Y70" i="12"/>
  <c r="X70" i="12"/>
  <c r="Z70" i="12" s="1"/>
  <c r="Z69" i="12"/>
  <c r="Y69" i="12"/>
  <c r="X69" i="12"/>
  <c r="Y68" i="12"/>
  <c r="X68" i="12"/>
  <c r="Z68" i="12" s="1"/>
  <c r="Y67" i="12"/>
  <c r="X67" i="12"/>
  <c r="Z67" i="12" s="1"/>
  <c r="Y66" i="12"/>
  <c r="X66" i="12"/>
  <c r="Z66" i="12" s="1"/>
  <c r="Z65" i="12"/>
  <c r="Y65" i="12"/>
  <c r="X65" i="12"/>
  <c r="Y64" i="12"/>
  <c r="X64" i="12"/>
  <c r="Z64" i="12" s="1"/>
  <c r="Y63" i="12"/>
  <c r="X63" i="12"/>
  <c r="Z63" i="12" s="1"/>
  <c r="Y62" i="12"/>
  <c r="X62" i="12"/>
  <c r="Z62" i="12" s="1"/>
  <c r="Z61" i="12"/>
  <c r="Y61" i="12"/>
  <c r="X61" i="12"/>
  <c r="Y60" i="12"/>
  <c r="X60" i="12"/>
  <c r="Z60" i="12" s="1"/>
  <c r="Y59" i="12"/>
  <c r="X59" i="12"/>
  <c r="Z59" i="12" s="1"/>
  <c r="Y58" i="12"/>
  <c r="X58" i="12"/>
  <c r="Z58" i="12" s="1"/>
  <c r="Z57" i="12"/>
  <c r="Y57" i="12"/>
  <c r="X57" i="12"/>
  <c r="Y56" i="12"/>
  <c r="X56" i="12"/>
  <c r="Z56" i="12" s="1"/>
  <c r="Y55" i="12"/>
  <c r="X55" i="12"/>
  <c r="Z55" i="12" s="1"/>
  <c r="Y54" i="12"/>
  <c r="X54" i="12"/>
  <c r="Z54" i="12" s="1"/>
  <c r="Z53" i="12"/>
  <c r="Y53" i="12"/>
  <c r="X53" i="12"/>
  <c r="Y52" i="12"/>
  <c r="X52" i="12"/>
  <c r="Z52" i="12" s="1"/>
  <c r="Y51" i="12"/>
  <c r="X51" i="12"/>
  <c r="Z51" i="12" s="1"/>
  <c r="Y50" i="12"/>
  <c r="X50" i="12"/>
  <c r="Z50" i="12" s="1"/>
  <c r="Z49" i="12"/>
  <c r="Y49" i="12"/>
  <c r="X49" i="12"/>
  <c r="Y48" i="12"/>
  <c r="X48" i="12"/>
  <c r="Z48" i="12" s="1"/>
  <c r="Y47" i="12"/>
  <c r="X47" i="12"/>
  <c r="Z47" i="12" s="1"/>
  <c r="Y46" i="12"/>
  <c r="X46" i="12"/>
  <c r="Z46" i="12" s="1"/>
  <c r="Z45" i="12"/>
  <c r="Y45" i="12"/>
  <c r="X45" i="12"/>
  <c r="Y44" i="12"/>
  <c r="X44" i="12"/>
  <c r="Z44" i="12" s="1"/>
  <c r="Y43" i="12"/>
  <c r="X43" i="12"/>
  <c r="Z43" i="12" s="1"/>
  <c r="Y42" i="12"/>
  <c r="X42" i="12"/>
  <c r="Z42" i="12" s="1"/>
  <c r="Z41" i="12"/>
  <c r="Y41" i="12"/>
  <c r="X41" i="12"/>
  <c r="Y40" i="12"/>
  <c r="X40" i="12"/>
  <c r="Z40" i="12" s="1"/>
  <c r="Y39" i="12"/>
  <c r="X39" i="12"/>
  <c r="Z39" i="12" s="1"/>
  <c r="Y38" i="12"/>
  <c r="X38" i="12"/>
  <c r="Z38" i="12" s="1"/>
  <c r="Z37" i="12"/>
  <c r="Y37" i="12"/>
  <c r="X37" i="12"/>
  <c r="Y36" i="12"/>
  <c r="X36" i="12"/>
  <c r="Z36" i="12" s="1"/>
  <c r="Y35" i="12"/>
  <c r="X35" i="12"/>
  <c r="Z35" i="12" s="1"/>
  <c r="Y34" i="12"/>
  <c r="X34" i="12"/>
  <c r="Z34" i="12" s="1"/>
  <c r="Z33" i="12"/>
  <c r="Y33" i="12"/>
  <c r="X33" i="12"/>
  <c r="Y32" i="12"/>
  <c r="X32" i="12"/>
  <c r="Z32" i="12" s="1"/>
  <c r="Y31" i="12"/>
  <c r="X31" i="12"/>
  <c r="Z31" i="12" s="1"/>
  <c r="Y30" i="12"/>
  <c r="X30" i="12"/>
  <c r="Z30" i="12" s="1"/>
  <c r="Y29" i="12"/>
  <c r="X29" i="12"/>
  <c r="Z29" i="12" s="1"/>
  <c r="Y28" i="12"/>
  <c r="X28" i="12"/>
  <c r="Z28" i="12" s="1"/>
  <c r="Y27" i="12"/>
  <c r="X27" i="12"/>
  <c r="Z27" i="12" s="1"/>
  <c r="Y26" i="12"/>
  <c r="X26" i="12"/>
  <c r="Z26" i="12" s="1"/>
  <c r="Y25" i="12"/>
  <c r="X25" i="12"/>
  <c r="Z25" i="12" s="1"/>
  <c r="Y24" i="12"/>
  <c r="X24" i="12"/>
  <c r="Z24" i="12" s="1"/>
  <c r="Y23" i="12"/>
  <c r="X23" i="12"/>
  <c r="Z23" i="12" s="1"/>
  <c r="Y22" i="12"/>
  <c r="X22" i="12"/>
  <c r="Z22" i="12" s="1"/>
  <c r="Y21" i="12"/>
  <c r="X21" i="12"/>
  <c r="Z21" i="12" s="1"/>
  <c r="Y20" i="12"/>
  <c r="X20" i="12"/>
  <c r="Z20" i="12" s="1"/>
  <c r="Y19" i="12"/>
  <c r="X19" i="12"/>
  <c r="Z19" i="12" s="1"/>
  <c r="Y18" i="12"/>
  <c r="X18" i="12"/>
  <c r="Z18" i="12" s="1"/>
  <c r="Y17" i="12"/>
  <c r="X17" i="12"/>
  <c r="Z17" i="12" s="1"/>
  <c r="Y16" i="12"/>
  <c r="X16" i="12"/>
  <c r="Z16" i="12" s="1"/>
  <c r="Y15" i="12"/>
  <c r="X15" i="12"/>
  <c r="Z15" i="12" s="1"/>
  <c r="Y14" i="12"/>
  <c r="X14" i="12"/>
  <c r="Z14" i="12" s="1"/>
  <c r="Y13" i="12"/>
  <c r="X13" i="12"/>
  <c r="Z13" i="12" s="1"/>
  <c r="Y12" i="12"/>
  <c r="X12" i="12"/>
  <c r="Z12" i="12" s="1"/>
  <c r="Y11" i="12"/>
  <c r="X11" i="12"/>
  <c r="Z11" i="12" s="1"/>
  <c r="Y10" i="12"/>
  <c r="X10" i="12"/>
  <c r="Z10" i="12" s="1"/>
  <c r="Y9" i="12"/>
  <c r="X9" i="12"/>
  <c r="Z9" i="12" s="1"/>
  <c r="Y8" i="12"/>
  <c r="X8" i="12"/>
  <c r="Z8" i="12" s="1"/>
  <c r="Y7" i="12"/>
  <c r="X7" i="12"/>
  <c r="Z7" i="12" s="1"/>
  <c r="Y6" i="12"/>
  <c r="X6" i="12"/>
  <c r="Z6" i="12" s="1"/>
  <c r="Z160" i="12" s="1"/>
  <c r="W160" i="12" s="1"/>
  <c r="D163" i="12" s="1"/>
  <c r="N1" i="12"/>
  <c r="N162" i="11"/>
  <c r="E162" i="11"/>
  <c r="I161" i="11"/>
  <c r="J161" i="11" s="1"/>
  <c r="O158" i="11"/>
  <c r="O154" i="11"/>
  <c r="O153" i="11"/>
  <c r="O150" i="11"/>
  <c r="O147" i="11"/>
  <c r="O146" i="11"/>
  <c r="O145" i="11"/>
  <c r="O143" i="11"/>
  <c r="O141" i="11"/>
  <c r="O140" i="11"/>
  <c r="O136" i="11"/>
  <c r="O130" i="11"/>
  <c r="O129" i="11"/>
  <c r="O128" i="11"/>
  <c r="O126" i="11"/>
  <c r="O125" i="11"/>
  <c r="O122" i="11"/>
  <c r="O121" i="11"/>
  <c r="O115" i="11"/>
  <c r="O112" i="11"/>
  <c r="O111" i="11"/>
  <c r="O110" i="11"/>
  <c r="O108" i="11"/>
  <c r="O106" i="11"/>
  <c r="O105" i="11"/>
  <c r="O104" i="11"/>
  <c r="O103" i="11"/>
  <c r="O102" i="11"/>
  <c r="O101" i="11"/>
  <c r="O100" i="11"/>
  <c r="O99" i="11"/>
  <c r="O98" i="11"/>
  <c r="O97" i="11"/>
  <c r="O96" i="11"/>
  <c r="O95" i="11"/>
  <c r="O94" i="11"/>
  <c r="O93" i="11"/>
  <c r="O92" i="11"/>
  <c r="O91" i="11"/>
  <c r="O90" i="11"/>
  <c r="O89" i="11"/>
  <c r="O88" i="11"/>
  <c r="O87" i="11"/>
  <c r="O86" i="11"/>
  <c r="O85" i="11"/>
  <c r="O84" i="11"/>
  <c r="O83" i="11"/>
  <c r="O79" i="11"/>
  <c r="O78" i="11"/>
  <c r="O76" i="11"/>
  <c r="O75" i="11"/>
  <c r="O73" i="11"/>
  <c r="O72" i="11"/>
  <c r="O71" i="11"/>
  <c r="O70" i="11"/>
  <c r="O69" i="11"/>
  <c r="O66" i="11"/>
  <c r="O64" i="11"/>
  <c r="O62" i="11"/>
  <c r="O61" i="11"/>
  <c r="O59" i="11"/>
  <c r="O58" i="11"/>
  <c r="O57" i="11"/>
  <c r="O56" i="11"/>
  <c r="O54" i="11"/>
  <c r="O53" i="11"/>
  <c r="O51" i="11"/>
  <c r="O49" i="11"/>
  <c r="O46" i="11"/>
  <c r="O45" i="11"/>
  <c r="O44" i="11"/>
  <c r="O41" i="11"/>
  <c r="O40" i="11"/>
  <c r="O35" i="11"/>
  <c r="O34" i="11"/>
  <c r="O31" i="11"/>
  <c r="O30" i="11"/>
  <c r="O27" i="11"/>
  <c r="O26" i="11"/>
  <c r="O25" i="11"/>
  <c r="O21" i="11"/>
  <c r="O19" i="11"/>
  <c r="O18" i="11"/>
  <c r="O14" i="11"/>
  <c r="O13" i="11"/>
  <c r="O11" i="11"/>
  <c r="O10" i="11"/>
  <c r="O8" i="11"/>
  <c r="F1" i="11"/>
  <c r="Z4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5" i="8"/>
  <c r="W4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5" i="8"/>
  <c r="X4" i="8"/>
  <c r="Z163" i="12" l="1"/>
  <c r="O7" i="11"/>
  <c r="O28" i="11"/>
  <c r="F162" i="11"/>
  <c r="O36" i="11"/>
  <c r="O9" i="11"/>
  <c r="O32" i="11"/>
  <c r="O52" i="11"/>
  <c r="O39" i="11"/>
  <c r="O17" i="11"/>
  <c r="O20" i="11"/>
  <c r="O42" i="11"/>
  <c r="O15" i="11"/>
  <c r="O22" i="11"/>
  <c r="O77" i="11"/>
  <c r="O24" i="11"/>
  <c r="O38" i="11"/>
  <c r="O55" i="11"/>
  <c r="O48" i="11"/>
  <c r="O50" i="11"/>
  <c r="O16" i="11"/>
  <c r="O23" i="11"/>
  <c r="O37" i="11"/>
  <c r="O33" i="11"/>
  <c r="O47" i="11"/>
  <c r="O60" i="11"/>
  <c r="O12" i="11"/>
  <c r="O29" i="11"/>
  <c r="O43" i="11"/>
  <c r="O63" i="11"/>
  <c r="O65" i="11"/>
  <c r="O68" i="11"/>
  <c r="O118" i="11"/>
  <c r="O82" i="11"/>
  <c r="O114" i="11"/>
  <c r="O133" i="11"/>
  <c r="O67" i="11"/>
  <c r="O74" i="11"/>
  <c r="O80" i="11"/>
  <c r="O107" i="11"/>
  <c r="O117" i="11"/>
  <c r="O119" i="11"/>
  <c r="O81" i="11"/>
  <c r="O137" i="11"/>
  <c r="O139" i="11"/>
  <c r="O142" i="11"/>
  <c r="O149" i="11"/>
  <c r="O132" i="11"/>
  <c r="O135" i="11"/>
  <c r="O124" i="11"/>
  <c r="O157" i="11"/>
  <c r="O113" i="11"/>
  <c r="O120" i="11"/>
  <c r="O131" i="11"/>
  <c r="O138" i="11"/>
  <c r="O152" i="11"/>
  <c r="O156" i="11"/>
  <c r="O160" i="11"/>
  <c r="O148" i="11"/>
  <c r="O109" i="11"/>
  <c r="O116" i="11"/>
  <c r="O123" i="11"/>
  <c r="O127" i="11"/>
  <c r="O134" i="11"/>
  <c r="O144" i="11"/>
  <c r="O151" i="11"/>
  <c r="O155" i="11"/>
  <c r="O159" i="11"/>
  <c r="Y4" i="8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B2" i="7"/>
  <c r="A2" i="7"/>
  <c r="C2" i="7" s="1"/>
  <c r="A4" i="7"/>
  <c r="F161" i="11" l="1"/>
  <c r="F163" i="11" s="1"/>
  <c r="E161" i="11"/>
  <c r="E163" i="11" s="1"/>
  <c r="F5" i="5" a="1"/>
  <c r="F5" i="5" s="1"/>
  <c r="B5" i="3" l="1"/>
  <c r="D1" i="8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N161" i="11" l="1"/>
  <c r="N163" i="11" s="1"/>
  <c r="B2" i="3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<sst xmlns="http://schemas.openxmlformats.org/spreadsheetml/2006/main" count="3878" uniqueCount="696">
  <si>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</si>
  <si>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</si>
  <si>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</si>
  <si>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</si>
  <si>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</si>
  <si>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</si>
  <si>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</si>
  <si>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</si>
  <si>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</si>
  <si>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</si>
  <si>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</si>
  <si>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</si>
  <si>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</si>
  <si>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</si>
  <si>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</si>
  <si>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</si>
  <si>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</si>
  <si>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</si>
  <si>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</si>
  <si>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</si>
  <si>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</si>
  <si>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</si>
  <si>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</si>
  <si>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</si>
  <si>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</si>
  <si>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</si>
  <si>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</si>
  <si>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</si>
  <si>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</si>
  <si>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</si>
  <si>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</si>
  <si>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</si>
  <si>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</si>
  <si>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</si>
  <si>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</si>
  <si>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</si>
  <si>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</si>
  <si>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</si>
  <si>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</si>
  <si>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</si>
  <si>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</si>
  <si>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</si>
  <si>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</si>
  <si>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</si>
  <si>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</si>
  <si>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</si>
  <si>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</si>
  <si>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</si>
  <si>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</si>
  <si>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</si>
  <si>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</si>
  <si>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</si>
  <si>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</si>
  <si>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</si>
  <si>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</si>
  <si>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</si>
  <si>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</si>
  <si>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</si>
  <si>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</si>
  <si>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</si>
  <si>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</si>
  <si>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</si>
  <si>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</si>
  <si>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</si>
  <si>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</si>
  <si>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</si>
  <si>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</si>
  <si>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</si>
  <si>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</si>
  <si>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</si>
  <si>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</si>
  <si>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</si>
  <si>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</si>
  <si>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</si>
  <si>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</si>
  <si>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</si>
  <si>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</si>
  <si>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</si>
  <si>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</si>
  <si>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</si>
  <si>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</si>
  <si>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</si>
  <si>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</si>
  <si>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</si>
  <si>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</si>
  <si>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</si>
  <si>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</si>
  <si>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</si>
  <si>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</si>
  <si>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</si>
  <si>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</si>
  <si>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</si>
  <si>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</si>
  <si>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</si>
  <si>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</si>
  <si>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</si>
  <si>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</si>
  <si>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</si>
  <si>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</si>
  <si>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</si>
  <si>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</si>
  <si>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</si>
  <si>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</si>
  <si>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</si>
  <si>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</si>
  <si>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</si>
  <si>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</si>
  <si>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</si>
  <si>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</si>
  <si>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</si>
  <si>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</si>
  <si>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</si>
  <si>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</si>
  <si>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</si>
  <si>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</si>
  <si>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</si>
  <si>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</si>
  <si>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</si>
  <si>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</si>
  <si>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</si>
  <si>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</si>
  <si>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</si>
  <si>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</si>
  <si>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</si>
  <si>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</si>
  <si>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</si>
  <si>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</si>
  <si>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</si>
  <si>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</si>
  <si>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</si>
  <si>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</si>
  <si>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</si>
  <si>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</si>
  <si>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</si>
  <si>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</si>
  <si>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</si>
  <si>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Вс</t>
  </si>
  <si>
    <t>Путь к Справочнику курсов</t>
  </si>
  <si>
    <t>Наиболее ранняя дата прибытия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</si>
  <si>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</si>
  <si>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Валюта</t>
  </si>
  <si>
    <t>Курс</t>
  </si>
  <si>
    <t>Пн</t>
  </si>
  <si>
    <t>Вт</t>
  </si>
  <si>
    <t>Ср</t>
  </si>
  <si>
    <t>Чт</t>
  </si>
  <si>
    <t>Пт</t>
  </si>
  <si>
    <t>Сб</t>
  </si>
  <si>
    <t>МАКС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</si>
  <si>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</si>
  <si>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</si>
  <si>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</si>
  <si>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</si>
  <si>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</si>
  <si>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</si>
  <si>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</si>
  <si>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</si>
  <si>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</si>
  <si>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</si>
  <si>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</si>
  <si>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</si>
  <si>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</si>
  <si>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</si>
  <si>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</si>
  <si>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</si>
  <si>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</si>
  <si>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</si>
  <si>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</si>
  <si>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</si>
  <si>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</si>
  <si>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</si>
  <si>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</si>
  <si>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</si>
  <si>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</si>
  <si>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</si>
  <si>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</si>
  <si>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</si>
  <si>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</si>
  <si>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</si>
  <si>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</si>
  <si>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</si>
  <si>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</si>
  <si>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</si>
  <si>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</si>
  <si>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</si>
  <si>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</si>
  <si>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</si>
  <si>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</si>
  <si>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</si>
  <si>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</si>
  <si>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</si>
  <si>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</si>
  <si>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</si>
  <si>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</si>
  <si>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</si>
  <si>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</si>
  <si>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</si>
  <si>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</si>
  <si>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</si>
  <si>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</si>
  <si>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</si>
  <si>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</si>
  <si>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</si>
  <si>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</si>
  <si>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</si>
  <si>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</si>
  <si>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</si>
  <si>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</si>
  <si>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</si>
  <si>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</si>
  <si>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</si>
  <si>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</si>
  <si>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</si>
  <si>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</si>
  <si>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</si>
  <si>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</si>
  <si>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</si>
  <si>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</si>
  <si>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</si>
  <si>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</si>
  <si>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</si>
  <si>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</si>
  <si>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</si>
  <si>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</si>
  <si>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</si>
  <si>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</si>
  <si>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</si>
  <si>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</si>
  <si>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</si>
  <si>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</si>
  <si>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</si>
  <si>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</si>
  <si>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</si>
  <si>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</si>
  <si>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</si>
  <si>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</si>
  <si>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</si>
  <si>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</si>
  <si>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</si>
  <si>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</si>
  <si>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</si>
  <si>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</si>
  <si>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</si>
  <si>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</si>
  <si>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</si>
  <si>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</si>
  <si>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</si>
  <si>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</si>
  <si>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</si>
  <si>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</si>
  <si>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</si>
  <si>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</si>
  <si>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</si>
  <si>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</si>
  <si>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</si>
  <si>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</si>
  <si>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</si>
  <si>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</si>
  <si>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</si>
  <si>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</si>
  <si>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</si>
  <si>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</si>
  <si>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</si>
  <si>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</si>
  <si>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</si>
  <si>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</si>
  <si>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</si>
  <si>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</si>
  <si>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</si>
  <si>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</si>
  <si>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</si>
  <si>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</si>
  <si>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</si>
  <si>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</si>
  <si>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</si>
  <si>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</si>
  <si>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</si>
  <si>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</si>
  <si>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</si>
  <si>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</si>
  <si>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</si>
  <si>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</si>
  <si>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</si>
  <si>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</si>
  <si>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</si>
  <si>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</si>
  <si>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</si>
  <si>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</si>
  <si>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</si>
  <si>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</si>
  <si>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</si>
  <si>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</si>
  <si>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</si>
  <si>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</si>
  <si>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</si>
  <si>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</si>
  <si>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</si>
  <si>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</si>
  <si>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</si>
  <si>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</si>
  <si>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</si>
  <si>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</si>
  <si>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</si>
  <si>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</si>
  <si>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</si>
  <si>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</si>
  <si>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</si>
  <si>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</si>
  <si>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</si>
  <si>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</si>
  <si>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</si>
  <si>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</si>
  <si>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</si>
  <si>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</si>
  <si>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</si>
  <si>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</si>
  <si>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</si>
  <si>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</si>
  <si>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</si>
  <si>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Erae AMS</t>
  </si>
  <si>
    <t>Chungwoo(GEM PROJECT)</t>
  </si>
  <si>
    <t>Erae CS</t>
  </si>
  <si>
    <t>Saeyoung Tech</t>
  </si>
  <si>
    <t>DMC</t>
  </si>
  <si>
    <t>Taeyang(GEM PROJECT)</t>
  </si>
  <si>
    <t>Uzauto Korea</t>
  </si>
  <si>
    <t>GENON UzEraeAlternator</t>
  </si>
  <si>
    <t>Taeyang Metal</t>
  </si>
  <si>
    <t>Punkang(GEM PROJECT)</t>
  </si>
  <si>
    <t>DAEKIE EST (GEM Project)</t>
  </si>
  <si>
    <t>BEAU6452793</t>
  </si>
  <si>
    <t>ULCU5014482</t>
  </si>
  <si>
    <t>FFAU4845159</t>
  </si>
  <si>
    <t>ULCU5069607</t>
  </si>
  <si>
    <t>TCKU9265296</t>
  </si>
  <si>
    <t>ULCU5034806</t>
  </si>
  <si>
    <t>ULCU5901487</t>
  </si>
  <si>
    <t>FFAU4925613</t>
  </si>
  <si>
    <t>SEGU4283612</t>
  </si>
  <si>
    <t>TWCU8029580</t>
  </si>
  <si>
    <t>ULCU5010044</t>
  </si>
  <si>
    <t>XINU8007208</t>
  </si>
  <si>
    <t>ULCU5011591</t>
  </si>
  <si>
    <t>ULCU5003718</t>
  </si>
  <si>
    <t>FFAU4679741</t>
  </si>
  <si>
    <t>BEAU6473029</t>
  </si>
  <si>
    <t>FFAU4852630</t>
  </si>
  <si>
    <t>TCNU8265640</t>
  </si>
  <si>
    <t>HDMU6539265</t>
  </si>
  <si>
    <t>BEAU6458600</t>
  </si>
  <si>
    <t>BEAU4620727</t>
  </si>
  <si>
    <t>ZONU8224316</t>
  </si>
  <si>
    <t>TCLU5092564</t>
  </si>
  <si>
    <t>FFAU4489192</t>
  </si>
  <si>
    <t>ULCU5003596</t>
  </si>
  <si>
    <t>ULCU5053750</t>
  </si>
  <si>
    <t>DFSU6033875</t>
  </si>
  <si>
    <t>SEGU6345673</t>
  </si>
  <si>
    <t>FFAU4682792</t>
  </si>
  <si>
    <t>TGHU9287326</t>
  </si>
  <si>
    <t>ULCU5010527</t>
  </si>
  <si>
    <t>ULCU5002136</t>
  </si>
  <si>
    <t>CAIU8561817</t>
  </si>
  <si>
    <t>ULCU5900310</t>
  </si>
  <si>
    <t>BENU6506180</t>
  </si>
  <si>
    <t>CAIU9094933</t>
  </si>
  <si>
    <t>ULCU5300315</t>
  </si>
  <si>
    <t>FFAU4852604</t>
  </si>
  <si>
    <t>FFAU4762157</t>
  </si>
  <si>
    <t>ECMU9066979</t>
  </si>
  <si>
    <t>Hanshin Tech</t>
  </si>
  <si>
    <t>CHO SUNG GI GONG for UzSungwoo</t>
  </si>
  <si>
    <t>United Engineering for Asaka</t>
  </si>
  <si>
    <t>Caravan for UZSW</t>
  </si>
  <si>
    <t>Hwasung</t>
  </si>
  <si>
    <t>Chungwoo (GEM Project)</t>
  </si>
  <si>
    <t>DMC(GEM PROJECT)</t>
  </si>
  <si>
    <t>Mahle Donghyun</t>
  </si>
  <si>
    <t>DK&amp;G</t>
  </si>
  <si>
    <t>Doowon for UzEraeCC</t>
  </si>
  <si>
    <t>Samwon Plastic</t>
  </si>
  <si>
    <t>Sungwoo Hitech for UzSungwoo</t>
  </si>
  <si>
    <t>KYUNGMIN (GEM Project)</t>
  </si>
  <si>
    <t>DM238AU04(1)</t>
  </si>
  <si>
    <t>DM238AU04(2)</t>
  </si>
  <si>
    <t>DM238AU04(3)</t>
  </si>
  <si>
    <t>DM238AU04(4)</t>
  </si>
  <si>
    <t>DM238AU04(5)</t>
  </si>
  <si>
    <t>DM238AU04(6)</t>
  </si>
  <si>
    <t>DM238AU04(7)</t>
  </si>
  <si>
    <t>DM238AU04(8)</t>
  </si>
  <si>
    <t>DM238AU04(9)</t>
  </si>
  <si>
    <t>DM238AU04(10)</t>
  </si>
  <si>
    <t>DM238AU04(11)</t>
  </si>
  <si>
    <t>DM238WO04(1)</t>
  </si>
  <si>
    <t>DM238WO04(2)</t>
  </si>
  <si>
    <t>DM238AU04(12)</t>
  </si>
  <si>
    <t>DM238AU04(13)</t>
  </si>
  <si>
    <t>DM238WO04(3)</t>
  </si>
  <si>
    <t>DM238WO04(4)</t>
  </si>
  <si>
    <t>DM238AU04(14)</t>
  </si>
  <si>
    <t>DM238AU04(15)</t>
  </si>
  <si>
    <t>DS238HF04(1)</t>
  </si>
  <si>
    <t>DS238HF04(2)</t>
  </si>
  <si>
    <t>DS238HF04(3)</t>
  </si>
  <si>
    <t>DM238AU04(16)</t>
  </si>
  <si>
    <t>DM238SA04</t>
  </si>
  <si>
    <t>DM238CS04</t>
  </si>
  <si>
    <t>HY230821U(2)</t>
  </si>
  <si>
    <t>F230831U1</t>
  </si>
  <si>
    <t>DM238AU04(17)</t>
  </si>
  <si>
    <t>DM238WO04(5)</t>
  </si>
  <si>
    <t>DM238WO04(6)</t>
  </si>
  <si>
    <t>DM238WO04(7)</t>
  </si>
  <si>
    <t>HY230828U(1)</t>
  </si>
  <si>
    <t>HY230828U(2)</t>
  </si>
  <si>
    <t>HY230821U(1)</t>
  </si>
  <si>
    <t>CKWJ2308042</t>
  </si>
  <si>
    <t>HY230828U(3)</t>
  </si>
  <si>
    <t>GMUZ23-023</t>
  </si>
  <si>
    <t>HY230828U(4)</t>
  </si>
  <si>
    <t>DWU230803</t>
  </si>
  <si>
    <t>J23083013</t>
  </si>
  <si>
    <t>J23083014</t>
  </si>
  <si>
    <t>UZST-C230801SW(1)</t>
  </si>
  <si>
    <t>UZST-C230801SW(2)</t>
  </si>
  <si>
    <t>UZST-C230802SW</t>
  </si>
  <si>
    <t>UZST-C230802AK</t>
  </si>
  <si>
    <t>SYI-230821</t>
  </si>
  <si>
    <t>TY230831-S</t>
  </si>
  <si>
    <t>HST-2306_GMU-56.2</t>
  </si>
  <si>
    <t>UZSUNG-CSGG-08/23</t>
  </si>
  <si>
    <t>UE-2023-0824</t>
  </si>
  <si>
    <t>UZST-C230802SM-45(1)</t>
  </si>
  <si>
    <t>UZST-C230802SM-45(2)</t>
  </si>
  <si>
    <t>UZST-C230802SM-45(3)</t>
  </si>
  <si>
    <t>UZST-C230802DW</t>
  </si>
  <si>
    <t>UZST-C230801AN</t>
  </si>
  <si>
    <t>HY230828U(5)</t>
  </si>
  <si>
    <t>GMUZ464</t>
  </si>
  <si>
    <t>HY230828U(6)</t>
  </si>
  <si>
    <t>IN80473578</t>
  </si>
  <si>
    <t>HY230828U(7)</t>
  </si>
  <si>
    <t>230902UZ-001 (SEA,2306)</t>
  </si>
  <si>
    <t>KCSW2306</t>
  </si>
  <si>
    <t>HY230828U(8)</t>
  </si>
  <si>
    <t>HGU310823</t>
  </si>
  <si>
    <t>CUZ230831</t>
  </si>
  <si>
    <t>HY230828U(9)</t>
  </si>
  <si>
    <t>HY230821U(3)</t>
  </si>
  <si>
    <t>UZA230831</t>
  </si>
  <si>
    <t>UZATK0065(1)</t>
  </si>
  <si>
    <t>UZATK0065(2)</t>
  </si>
  <si>
    <t>UZATK0065(3)</t>
  </si>
  <si>
    <t>UZATK0065(4)</t>
  </si>
  <si>
    <t>UZATK0065(5)</t>
  </si>
  <si>
    <t>UZATK0065(6)</t>
  </si>
  <si>
    <t>UZATK0065(7)</t>
  </si>
  <si>
    <t>GUZ230804-1</t>
  </si>
  <si>
    <t>GUZ230804-2</t>
  </si>
  <si>
    <t>UZ230804</t>
  </si>
  <si>
    <t>CU230804</t>
  </si>
  <si>
    <t>IJG-SH30GMUZ2</t>
  </si>
  <si>
    <t>SUZ-2023-0831</t>
  </si>
  <si>
    <t>UZA23032</t>
  </si>
  <si>
    <t>MDFS-GMU230831</t>
  </si>
  <si>
    <t>198536931</t>
  </si>
  <si>
    <t>0198537069</t>
  </si>
  <si>
    <t>HGU070923</t>
  </si>
  <si>
    <t>UZ3090701</t>
  </si>
  <si>
    <t>DM239SA01</t>
  </si>
  <si>
    <t>DM239AU01(1)</t>
  </si>
  <si>
    <t>DM239AU01(2)</t>
  </si>
  <si>
    <t>DM239AU01(3)</t>
  </si>
  <si>
    <t>DM239AU01(4)</t>
  </si>
  <si>
    <t>DM239AU01(5)</t>
  </si>
  <si>
    <t>DM239AU01(6)</t>
  </si>
  <si>
    <t>DM239AU01(7)</t>
  </si>
  <si>
    <t>DM239AU01(8)</t>
  </si>
  <si>
    <t>DM239AU01(9)</t>
  </si>
  <si>
    <t>DM239AU01(10)</t>
  </si>
  <si>
    <t>DM239AU01(11)</t>
  </si>
  <si>
    <t>DM239AU01(12)</t>
  </si>
  <si>
    <t>DM239AU01(13)</t>
  </si>
  <si>
    <t>DM239WO01(1)</t>
  </si>
  <si>
    <t>DM239WO01(2)</t>
  </si>
  <si>
    <t>DM239AU01(14)</t>
  </si>
  <si>
    <t>DM239WO01(3)</t>
  </si>
  <si>
    <t>DM239WO01(4)</t>
  </si>
  <si>
    <t>DM239AU01(15)</t>
  </si>
  <si>
    <t>DM239AU01(16)</t>
  </si>
  <si>
    <t>DM239WO01(5)</t>
  </si>
  <si>
    <t>DM239WO01(6)</t>
  </si>
  <si>
    <t>DM239WO01(7)</t>
  </si>
  <si>
    <t>GMUZ23-025A</t>
  </si>
  <si>
    <t>GNCI-230901-01</t>
  </si>
  <si>
    <t>DM239WO01(8)</t>
  </si>
  <si>
    <t>UZAUTO_230801</t>
  </si>
  <si>
    <t>UZAUTO_230901</t>
  </si>
  <si>
    <t>F230907U1</t>
  </si>
  <si>
    <t>F230907U2</t>
  </si>
  <si>
    <t>UEA 20230904-C1</t>
  </si>
  <si>
    <t>DK-SI-2023-08-200</t>
  </si>
  <si>
    <t>DW-230904</t>
  </si>
  <si>
    <t>DM239CS01-1</t>
  </si>
  <si>
    <t>DM239CS01-2</t>
  </si>
  <si>
    <t>IN80473586</t>
  </si>
  <si>
    <t>62158362</t>
  </si>
  <si>
    <t>DS239HF01(1)</t>
  </si>
  <si>
    <t>DS239HF01(2)</t>
  </si>
  <si>
    <t>DS239HF01(3)</t>
  </si>
  <si>
    <t>GM-UZ-239027</t>
  </si>
  <si>
    <t>23-0906-05</t>
  </si>
  <si>
    <t>SUZ-2023-0907</t>
  </si>
  <si>
    <t>SW-230915UZ-SPA</t>
  </si>
  <si>
    <t>GUZ230901-1</t>
  </si>
  <si>
    <t>GUZ230901-2</t>
  </si>
  <si>
    <t>UZ230901</t>
  </si>
  <si>
    <t>CU230901</t>
  </si>
  <si>
    <t>IJG-SI06GMUZ2</t>
  </si>
  <si>
    <t>UZA23033</t>
  </si>
  <si>
    <t>UZST-C230901AK</t>
  </si>
  <si>
    <t>UZST-C230901DW(1)</t>
  </si>
  <si>
    <t>UZST-C230901DW(2)</t>
  </si>
  <si>
    <t>UZST-C230901DW(3)</t>
  </si>
  <si>
    <t>GMUZ466</t>
  </si>
  <si>
    <t>UZA230907</t>
  </si>
  <si>
    <t>CUZ230907</t>
  </si>
  <si>
    <t>UZATK0066(1)</t>
  </si>
  <si>
    <t>UZATK0066(2)</t>
  </si>
  <si>
    <t>UZATK0066(3)</t>
  </si>
  <si>
    <t>UZATK0066(4)</t>
  </si>
  <si>
    <t>UZATK0066(5)</t>
  </si>
  <si>
    <t>UZATK0066(6)</t>
  </si>
  <si>
    <t>UZATK0066(7)</t>
  </si>
  <si>
    <t>UZATK0066(8)</t>
  </si>
  <si>
    <t>477 LCL</t>
  </si>
  <si>
    <t xml:space="preserve">ACT OF EXECUTED WORKS / АКТ ВЫПОЛНЕННЫХ РАБОТ </t>
    <phoneticPr fontId="5" type="noConversion"/>
  </si>
  <si>
    <t>according to the Contract /согласно Контракту No. UZL-UzautoK-001 dated / от 01.05.2020 between LLC «Uzlogistic» and Uzauto Korea Co., Ltd</t>
    <phoneticPr fontId="5" type="noConversion"/>
  </si>
  <si>
    <t>Date of Dispatch/ 
Дата отгрузки</t>
    <phoneticPr fontId="0" type="noConversion"/>
  </si>
  <si>
    <t>Name of goods/ 
Наименование товара</t>
  </si>
  <si>
    <r>
      <t xml:space="preserve">Supplier Invoice No/ </t>
    </r>
    <r>
      <rPr>
        <b/>
        <sz val="11"/>
        <color theme="1"/>
        <rFont val="Segoe UI Symbol"/>
        <family val="2"/>
      </rPr>
      <t>№</t>
    </r>
    <r>
      <rPr>
        <b/>
        <sz val="11"/>
        <color theme="1"/>
        <rFont val="Arial"/>
        <family val="2"/>
        <charset val="204"/>
      </rPr>
      <t xml:space="preserve"> Инвойса Поставщика</t>
    </r>
  </si>
  <si>
    <t>TRUCKING CHARGE</t>
    <phoneticPr fontId="5" type="noConversion"/>
  </si>
  <si>
    <t>INVOICE SUMM</t>
    <phoneticPr fontId="5" type="noConversion"/>
  </si>
  <si>
    <t>DK</t>
    <phoneticPr fontId="0" type="noConversion"/>
  </si>
  <si>
    <t>ADD</t>
    <phoneticPr fontId="5" type="noConversion"/>
  </si>
  <si>
    <t>BEAU6452793</t>
    <phoneticPr fontId="0" type="noConversion"/>
  </si>
  <si>
    <t>Erae AMS</t>
    <phoneticPr fontId="0" type="noConversion"/>
  </si>
  <si>
    <t>ULCU5014482</t>
    <phoneticPr fontId="0" type="noConversion"/>
  </si>
  <si>
    <t>FFAU4845159</t>
    <phoneticPr fontId="0" type="noConversion"/>
  </si>
  <si>
    <t>ULCU5069607</t>
    <phoneticPr fontId="0" type="noConversion"/>
  </si>
  <si>
    <t>TCKU9265296</t>
    <phoneticPr fontId="0" type="noConversion"/>
  </si>
  <si>
    <t>ULCU5034806</t>
    <phoneticPr fontId="0" type="noConversion"/>
  </si>
  <si>
    <t>ULCU5901487</t>
    <phoneticPr fontId="0" type="noConversion"/>
  </si>
  <si>
    <t>ALPS</t>
    <phoneticPr fontId="0" type="noConversion"/>
  </si>
  <si>
    <t>Pyeonghwa</t>
    <phoneticPr fontId="0" type="noConversion"/>
  </si>
  <si>
    <t>FFAU4925613</t>
    <phoneticPr fontId="0" type="noConversion"/>
  </si>
  <si>
    <t>SEGU4283612</t>
    <phoneticPr fontId="0" type="noConversion"/>
  </si>
  <si>
    <t>TWCU8029580</t>
    <phoneticPr fontId="0" type="noConversion"/>
  </si>
  <si>
    <t>ULCU5010044</t>
    <phoneticPr fontId="0" type="noConversion"/>
  </si>
  <si>
    <t>Mando Wonju</t>
    <phoneticPr fontId="0" type="noConversion"/>
  </si>
  <si>
    <t>XINU8007208</t>
    <phoneticPr fontId="0" type="noConversion"/>
  </si>
  <si>
    <t>ULCU5011591</t>
    <phoneticPr fontId="0" type="noConversion"/>
  </si>
  <si>
    <t>Daewonkangup (DWKU)</t>
    <phoneticPr fontId="0" type="noConversion"/>
  </si>
  <si>
    <t>UZST-C230801SW(1)</t>
    <phoneticPr fontId="0" type="noConversion"/>
  </si>
  <si>
    <t>Uzauto Korea</t>
    <phoneticPr fontId="0" type="noConversion"/>
  </si>
  <si>
    <t>UZST-C230801SW(2)</t>
    <phoneticPr fontId="0" type="noConversion"/>
  </si>
  <si>
    <t>ULCU5003718</t>
    <phoneticPr fontId="0" type="noConversion"/>
  </si>
  <si>
    <t>Saeyoung Tech</t>
    <phoneticPr fontId="0" type="noConversion"/>
  </si>
  <si>
    <t>Taeyang Metal</t>
    <phoneticPr fontId="0" type="noConversion"/>
  </si>
  <si>
    <t>CHO SUNG GI GONG for UzSungwoo</t>
    <phoneticPr fontId="0" type="noConversion"/>
  </si>
  <si>
    <t>UZST-C230802SM-45(1)</t>
    <phoneticPr fontId="0" type="noConversion"/>
  </si>
  <si>
    <t>UZST-C230802SM-45(2)</t>
    <phoneticPr fontId="0" type="noConversion"/>
  </si>
  <si>
    <t>UZST-C230802SM-45(3)</t>
    <phoneticPr fontId="0" type="noConversion"/>
  </si>
  <si>
    <t>FFAU4679741</t>
    <phoneticPr fontId="0" type="noConversion"/>
  </si>
  <si>
    <t>Namyang NEXMO</t>
    <phoneticPr fontId="0" type="noConversion"/>
  </si>
  <si>
    <t>BEAU6473029</t>
    <phoneticPr fontId="0" type="noConversion"/>
  </si>
  <si>
    <t>Humax Automotive</t>
    <phoneticPr fontId="0" type="noConversion"/>
  </si>
  <si>
    <t>FFAU4852630</t>
    <phoneticPr fontId="0" type="noConversion"/>
  </si>
  <si>
    <t>TCNU8265640</t>
    <phoneticPr fontId="0" type="noConversion"/>
  </si>
  <si>
    <t>Hwasung</t>
    <phoneticPr fontId="0" type="noConversion"/>
  </si>
  <si>
    <t>HDMU6539265</t>
    <phoneticPr fontId="0" type="noConversion"/>
  </si>
  <si>
    <t>Central</t>
    <phoneticPr fontId="0" type="noConversion"/>
  </si>
  <si>
    <t>UZATK0065(1)</t>
    <phoneticPr fontId="0" type="noConversion"/>
  </si>
  <si>
    <t>UZATK0065(2)</t>
    <phoneticPr fontId="0" type="noConversion"/>
  </si>
  <si>
    <t>UZATK0065(3)</t>
    <phoneticPr fontId="0" type="noConversion"/>
  </si>
  <si>
    <t>UZATK0065(4)</t>
    <phoneticPr fontId="0" type="noConversion"/>
  </si>
  <si>
    <t>Punkang(GEM PROJECT)</t>
    <phoneticPr fontId="34" type="noConversion"/>
  </si>
  <si>
    <t>UZATK0065(5)</t>
    <phoneticPr fontId="0" type="noConversion"/>
  </si>
  <si>
    <t>Taeyang(GEM PROJECT)</t>
    <phoneticPr fontId="34" type="noConversion"/>
  </si>
  <si>
    <t>UZATK0065(6)</t>
    <phoneticPr fontId="0" type="noConversion"/>
  </si>
  <si>
    <t>UZATK0065(7)</t>
    <phoneticPr fontId="0" type="noConversion"/>
  </si>
  <si>
    <t>DMC(GEM PROJECT)</t>
    <phoneticPr fontId="34" type="noConversion"/>
  </si>
  <si>
    <t>BEAU6458600</t>
    <phoneticPr fontId="0" type="noConversion"/>
  </si>
  <si>
    <t>BEAU4620727</t>
    <phoneticPr fontId="0" type="noConversion"/>
  </si>
  <si>
    <t>Iljin Global</t>
    <phoneticPr fontId="0" type="noConversion"/>
  </si>
  <si>
    <t>ZONU8224316</t>
    <phoneticPr fontId="0" type="noConversion"/>
  </si>
  <si>
    <t>Daedong System</t>
    <phoneticPr fontId="0" type="noConversion"/>
  </si>
  <si>
    <t>TCLU5092564</t>
    <phoneticPr fontId="0" type="noConversion"/>
  </si>
  <si>
    <t>Schaeffler Ansan</t>
    <phoneticPr fontId="0" type="noConversion"/>
  </si>
  <si>
    <t>FFAU4489192</t>
    <phoneticPr fontId="0" type="noConversion"/>
  </si>
  <si>
    <t>ULCU5003596</t>
    <phoneticPr fontId="0" type="noConversion"/>
  </si>
  <si>
    <t>ULCU5053750</t>
    <phoneticPr fontId="0" type="noConversion"/>
  </si>
  <si>
    <t>DFSU6033875</t>
    <phoneticPr fontId="0" type="noConversion"/>
  </si>
  <si>
    <t>SEGU6345673</t>
    <phoneticPr fontId="0" type="noConversion"/>
  </si>
  <si>
    <t>FFAU4682792</t>
    <phoneticPr fontId="0" type="noConversion"/>
  </si>
  <si>
    <t>TGHU9287326</t>
    <phoneticPr fontId="0" type="noConversion"/>
  </si>
  <si>
    <t>ULCU5010527</t>
    <phoneticPr fontId="0" type="noConversion"/>
  </si>
  <si>
    <t>ULCU5002136</t>
    <phoneticPr fontId="0" type="noConversion"/>
  </si>
  <si>
    <t>GENON UzEraeAlternator</t>
    <phoneticPr fontId="0" type="noConversion"/>
  </si>
  <si>
    <t>CAIU8561817</t>
    <phoneticPr fontId="0" type="noConversion"/>
  </si>
  <si>
    <t>Henkel</t>
    <phoneticPr fontId="0" type="noConversion"/>
  </si>
  <si>
    <t>Erae CS</t>
    <phoneticPr fontId="0" type="noConversion"/>
  </si>
  <si>
    <t>ULCU5900310</t>
    <phoneticPr fontId="0" type="noConversion"/>
  </si>
  <si>
    <t>BENU6506180</t>
    <phoneticPr fontId="0" type="noConversion"/>
  </si>
  <si>
    <t>Sungwoo Hitech for UzSungwoo</t>
    <phoneticPr fontId="0" type="noConversion"/>
  </si>
  <si>
    <t>CAIU9094933</t>
    <phoneticPr fontId="0" type="noConversion"/>
  </si>
  <si>
    <t>ULCU5300315</t>
    <phoneticPr fontId="0" type="noConversion"/>
  </si>
  <si>
    <t>FFAU4852604</t>
    <phoneticPr fontId="0" type="noConversion"/>
  </si>
  <si>
    <t>UZST-C230901DW(1)</t>
    <phoneticPr fontId="0" type="noConversion"/>
  </si>
  <si>
    <t>UZST-C230901DW(2)</t>
    <phoneticPr fontId="0" type="noConversion"/>
  </si>
  <si>
    <t>UZST-C230901DW(3)</t>
    <phoneticPr fontId="0" type="noConversion"/>
  </si>
  <si>
    <t>FFAU4762157</t>
    <phoneticPr fontId="0" type="noConversion"/>
  </si>
  <si>
    <t>ECMU9066979</t>
    <phoneticPr fontId="0" type="noConversion"/>
  </si>
  <si>
    <t>UZATK0066(1)</t>
    <phoneticPr fontId="0" type="noConversion"/>
  </si>
  <si>
    <t>Chungwoo(GEM PROJECT)</t>
    <phoneticPr fontId="6" type="noConversion"/>
  </si>
  <si>
    <t>UZATK0066(2)</t>
    <phoneticPr fontId="0" type="noConversion"/>
  </si>
  <si>
    <t>UZATK0066(3)</t>
    <phoneticPr fontId="0" type="noConversion"/>
  </si>
  <si>
    <t>UZATK0066(4)</t>
    <phoneticPr fontId="0" type="noConversion"/>
  </si>
  <si>
    <t>UZATK0066(5)</t>
    <phoneticPr fontId="0" type="noConversion"/>
  </si>
  <si>
    <t>UZATK0066(6)</t>
    <phoneticPr fontId="0" type="noConversion"/>
  </si>
  <si>
    <t>UZATK0066(7)</t>
    <phoneticPr fontId="0" type="noConversion"/>
  </si>
  <si>
    <t>UZATK0066(8)</t>
    <phoneticPr fontId="0" type="noConversion"/>
  </si>
  <si>
    <t>GRAND TOTAL/ИТОГО:</t>
  </si>
  <si>
    <t xml:space="preserve">Note/Примечание: GM exchange rate KRW/USD according to the date of dispatch/обменный курс ДжиЭм KRW/USD согласно дате отгрузки: </t>
    <phoneticPr fontId="6" type="noConversion"/>
  </si>
  <si>
    <t xml:space="preserve">September / Сентябрь: </t>
    <phoneticPr fontId="5" type="noConversion"/>
  </si>
  <si>
    <r>
      <rPr>
        <b/>
        <sz val="11"/>
        <rFont val="Arial"/>
        <family val="2"/>
        <charset val="204"/>
      </rPr>
      <t>Total amount:</t>
    </r>
    <r>
      <rPr>
        <sz val="11"/>
        <rFont val="Arial"/>
        <family val="2"/>
        <charset val="204"/>
      </rPr>
      <t xml:space="preserve"> </t>
    </r>
  </si>
  <si>
    <t>Fifty two thousand seven hundred fourty three US dollars and 94 cents</t>
  </si>
  <si>
    <t xml:space="preserve">Итого: </t>
  </si>
  <si>
    <t xml:space="preserve">Пятьдесят две тысячи семьсот сорок три доллара США  и 94 цента </t>
  </si>
  <si>
    <t>On behalf of the «UzLogistic»/ От имени «УзЛогистик»</t>
    <phoneticPr fontId="7" type="noConversion"/>
  </si>
  <si>
    <t>On behalf of the Logistics provider/От имени Поставщика логистических услуг</t>
    <phoneticPr fontId="7" type="noConversion"/>
  </si>
  <si>
    <t>Name/Имя: ___________________________________________________________</t>
    <phoneticPr fontId="7" type="noConversion"/>
  </si>
  <si>
    <t>Name/Имя: Eshanov B.G./ Эшанов Б.Г.</t>
    <phoneticPr fontId="7" type="noConversion"/>
  </si>
  <si>
    <t>Title/Должность: ____________________________________________________________________________</t>
    <phoneticPr fontId="7" type="noConversion"/>
  </si>
  <si>
    <t>Title/Должность:  CEO/ Генеральный директор</t>
    <phoneticPr fontId="7" type="noConversion"/>
  </si>
  <si>
    <t>According to the Power of Attorney No. / Согласно Доверенности №: ___________________________________</t>
  </si>
  <si>
    <t>Date of Act of Executed Works signing / Дата подписания Акта Выполненных Работ: "_____" _____________, 2023</t>
    <phoneticPr fontId="5" type="noConversion"/>
  </si>
  <si>
    <t>Appendix to the Act of Executed Works</t>
    <phoneticPr fontId="5" type="noConversion"/>
  </si>
  <si>
    <t>CHW</t>
  </si>
  <si>
    <t>Invoice No.</t>
  </si>
  <si>
    <t>Origin city/ Город происхождения</t>
  </si>
  <si>
    <t>Destination city/ Город назначения</t>
  </si>
  <si>
    <t>Service level/ Уровень услуги</t>
    <phoneticPr fontId="5" type="noConversion"/>
  </si>
  <si>
    <t>Rate/ Тариф, KRW</t>
  </si>
  <si>
    <t>Total amount/ Общая стоимость 
KRW</t>
  </si>
  <si>
    <t>Транспортировка по маршруту Incheon CFS→Busan CFS</t>
  </si>
  <si>
    <t>FTL inland freight cost per Invoice/ Стоимость внутренней наземной перевозки за инвойс KRW</t>
  </si>
  <si>
    <t>Chargeable Weight</t>
  </si>
  <si>
    <t>Service level/ Уровень услуги</t>
  </si>
  <si>
    <t>Total amount/ Общая стоимость</t>
  </si>
  <si>
    <t>On behalf of the «UzLogistic»/ От имени «УзЛогистик»</t>
    <phoneticPr fontId="5" type="noConversion"/>
  </si>
  <si>
    <t>On behalf of the Logistics Provider/ От имени Поставщика логистических услуг</t>
    <phoneticPr fontId="5" type="noConversion"/>
  </si>
  <si>
    <t>Name/Имя: ________________________________________________</t>
  </si>
  <si>
    <t>Name/Имя: Eshanov B.G./ Эшанов Б.Г.</t>
  </si>
  <si>
    <t>Title/Должность: _______________________________________________________</t>
  </si>
  <si>
    <t>Title/Должность: CEO/Генеральный директор</t>
    <phoneticPr fontId="5" type="noConversion"/>
  </si>
  <si>
    <t>According to the Power of Attorney No. / Согласно Доверенности №: ________________________</t>
  </si>
  <si>
    <t>Daegu</t>
  </si>
  <si>
    <t>Busan</t>
  </si>
  <si>
    <t>10T+1T TRUCK</t>
  </si>
  <si>
    <t>10T+5T TRUCK</t>
  </si>
  <si>
    <t>5T TRUCK</t>
  </si>
  <si>
    <t>10T TRUCK</t>
  </si>
  <si>
    <t>8T TRUCK</t>
  </si>
  <si>
    <t>2.5T TRUCK</t>
  </si>
  <si>
    <t>1T TRUCK</t>
  </si>
  <si>
    <t>Gimpo</t>
  </si>
  <si>
    <t>GungSan / Gunsan</t>
  </si>
  <si>
    <t>Seongju-gun / sungju</t>
  </si>
  <si>
    <t>10T+2.5T TRUCK</t>
  </si>
  <si>
    <t>10T+10T+1T TRUCK</t>
  </si>
  <si>
    <t>10T+8T TRUCK</t>
  </si>
  <si>
    <t>Jecheon</t>
  </si>
  <si>
    <t>Waeguan</t>
  </si>
  <si>
    <t>Chunan</t>
  </si>
  <si>
    <t>Yangsan</t>
  </si>
  <si>
    <t>Changwon</t>
  </si>
  <si>
    <t>Pyeongtaek</t>
  </si>
  <si>
    <t>Ansan</t>
  </si>
  <si>
    <t>Kyungkido Yongin</t>
  </si>
  <si>
    <t>10T+10T TRUCK</t>
  </si>
  <si>
    <t>Incheon</t>
  </si>
  <si>
    <t>Kyungsan</t>
  </si>
  <si>
    <t>Eumsung</t>
  </si>
  <si>
    <t>Siheung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</si>
</sst>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9" formatCode="_-* #,##0.000_-;\-* #,##0.000_-;_-* &quot;-&quot;_-;_-@_-"/>
    <numFmt numFmtId="170" formatCode="_-* #,##0.00_-;\-* #,##0.00_-;_-* &quot;-&quot;_-;_-@_-"/>
    <numFmt numFmtId="171" formatCode="_-[$$-409]* #,##0.00_ ;_-[$$-409]* \-#,##0.00\ ;_-[$$-409]* &quot;-&quot;??_ ;_-@_ "/>
    <numFmt numFmtId="172" formatCode="_-&quot;₩&quot;* #,##0_-;\-&quot;₩&quot;* #,##0_-;_-&quot;₩&quot;* &quot;-&quot;_-;_-@_-"/>
    <numFmt numFmtId="173" formatCode="_-&quot;₩&quot;* #,##0.00_-;\-&quot;₩&quot;* #,##0.00_-;_-&quot;₩&quot;* &quot;-&quot;_-;_-@_-"/>
    <numFmt numFmtId="174" formatCode="0.000000000"/>
    <numFmt numFmtId="175" formatCode="_-&quot;₩&quot;* #,##0.00_-;\-&quot;₩&quot;* #,##0.00_-;_-&quot;₩&quot;* &quot;-&quot;??_-;_-@_-"/>
    <numFmt numFmtId="176" formatCode="#,##0.00_ "/>
  </numFmts>
  <fonts count="49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Segoe UI Symbol"/>
      <family val="2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sz val="11"/>
      <color indexed="8"/>
      <name val="맑은 고딕"/>
      <family val="3"/>
      <charset val="129"/>
    </font>
    <font>
      <sz val="11"/>
      <name val="Tahoma"/>
      <family val="2"/>
    </font>
    <font>
      <sz val="11"/>
      <color rgb="FFFF0000"/>
      <name val="Arial"/>
      <family val="2"/>
      <charset val="204"/>
    </font>
    <font>
      <b/>
      <sz val="11"/>
      <name val="Arial"/>
      <family val="2"/>
    </font>
    <font>
      <b/>
      <i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name val="돋움"/>
      <family val="3"/>
      <charset val="129"/>
    </font>
    <font>
      <b/>
      <i/>
      <sz val="11"/>
      <name val="Arial"/>
      <family val="2"/>
      <charset val="204"/>
    </font>
    <font>
      <b/>
      <sz val="14"/>
      <name val="Calibri"/>
      <family val="3"/>
      <charset val="129"/>
      <scheme val="minor"/>
    </font>
    <font>
      <b/>
      <sz val="14"/>
      <color theme="1"/>
      <name val="Arial"/>
      <family val="2"/>
      <charset val="204"/>
    </font>
    <font>
      <b/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4"/>
      <name val="Calibri"/>
      <family val="3"/>
      <charset val="129"/>
      <scheme val="minor"/>
    </font>
    <font>
      <sz val="12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u/>
      <sz val="14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43" fontId="4" fillId="0" borderId="0" applyFont="0" applyFill="0" applyBorder="0" applyAlignment="0" applyProtection="0"/>
    <xf numFmtId="0" fontId="18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6" fillId="0" borderId="0"/>
    <xf numFmtId="41" fontId="18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6" fillId="0" borderId="0"/>
    <xf numFmtId="41" fontId="29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172" fontId="18" fillId="0" borderId="0" applyFont="0" applyFill="0" applyBorder="0" applyAlignment="0" applyProtection="0">
      <alignment vertical="center"/>
    </xf>
    <xf numFmtId="0" fontId="35" fillId="0" borderId="0"/>
    <xf numFmtId="0" fontId="35" fillId="0" borderId="0"/>
  </cellStyleXfs>
  <cellXfs count="3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14" fontId="8" fillId="0" borderId="0" xfId="0" applyNumberFormat="1" applyFont="1"/>
    <xf numFmtId="14" fontId="8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5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9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3" fontId="0" fillId="0" borderId="0" xfId="1" applyFont="1"/>
    <xf numFmtId="2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Alignment="1">
      <alignment wrapText="1"/>
    </xf>
    <xf numFmtId="0" fontId="19" fillId="0" borderId="0" xfId="2" applyFont="1" applyAlignment="1">
      <alignment horizontal="right" vertical="center"/>
    </xf>
    <xf numFmtId="0" fontId="19" fillId="0" borderId="0" xfId="2" applyFont="1">
      <alignment vertical="center"/>
    </xf>
    <xf numFmtId="0" fontId="20" fillId="0" borderId="0" xfId="2" applyFont="1">
      <alignment vertical="center"/>
    </xf>
    <xf numFmtId="0" fontId="20" fillId="0" borderId="0" xfId="2" applyFont="1" applyAlignment="1">
      <alignment horizontal="center" vertical="center"/>
    </xf>
    <xf numFmtId="0" fontId="21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21" fillId="0" borderId="0" xfId="2" applyFont="1" applyAlignment="1">
      <alignment horizontal="center" vertical="center"/>
    </xf>
    <xf numFmtId="0" fontId="21" fillId="0" borderId="0" xfId="2" applyFont="1" applyAlignment="1"/>
    <xf numFmtId="169" fontId="21" fillId="0" borderId="0" xfId="3" applyNumberFormat="1" applyFont="1" applyAlignment="1"/>
    <xf numFmtId="170" fontId="21" fillId="0" borderId="0" xfId="3" applyNumberFormat="1" applyFont="1" applyAlignment="1"/>
    <xf numFmtId="0" fontId="20" fillId="5" borderId="8" xfId="2" applyFont="1" applyFill="1" applyBorder="1" applyAlignment="1">
      <alignment horizontal="center" vertical="center" wrapText="1"/>
    </xf>
    <xf numFmtId="0" fontId="20" fillId="5" borderId="9" xfId="2" applyFont="1" applyFill="1" applyBorder="1" applyAlignment="1">
      <alignment horizontal="center" vertical="center" wrapText="1"/>
    </xf>
    <xf numFmtId="169" fontId="20" fillId="5" borderId="9" xfId="3" applyNumberFormat="1" applyFont="1" applyFill="1" applyBorder="1" applyAlignment="1">
      <alignment horizontal="center" vertical="center"/>
    </xf>
    <xf numFmtId="170" fontId="20" fillId="5" borderId="9" xfId="3" applyNumberFormat="1" applyFont="1" applyFill="1" applyBorder="1" applyAlignment="1">
      <alignment horizontal="center" vertical="center" wrapText="1"/>
    </xf>
    <xf numFmtId="170" fontId="20" fillId="5" borderId="10" xfId="3" applyNumberFormat="1" applyFont="1" applyFill="1" applyBorder="1" applyAlignment="1">
      <alignment horizontal="center" vertical="center" wrapText="1"/>
    </xf>
    <xf numFmtId="170" fontId="20" fillId="5" borderId="11" xfId="3" applyNumberFormat="1" applyFont="1" applyFill="1" applyBorder="1" applyAlignment="1">
      <alignment horizontal="center" vertical="center" wrapText="1"/>
    </xf>
    <xf numFmtId="170" fontId="20" fillId="0" borderId="11" xfId="3" applyNumberFormat="1" applyFont="1" applyFill="1" applyBorder="1" applyAlignment="1">
      <alignment horizontal="center" vertical="center" wrapText="1"/>
    </xf>
    <xf numFmtId="0" fontId="23" fillId="0" borderId="9" xfId="2" applyFont="1" applyBorder="1" applyAlignment="1">
      <alignment horizontal="center" vertical="center" wrapText="1"/>
    </xf>
    <xf numFmtId="0" fontId="20" fillId="0" borderId="9" xfId="2" applyFont="1" applyBorder="1" applyAlignment="1">
      <alignment horizontal="center" vertical="center" wrapText="1"/>
    </xf>
    <xf numFmtId="0" fontId="23" fillId="0" borderId="12" xfId="2" applyFont="1" applyBorder="1" applyAlignment="1">
      <alignment horizontal="center" vertical="center" wrapText="1"/>
    </xf>
    <xf numFmtId="0" fontId="23" fillId="0" borderId="0" xfId="2" applyFont="1" applyAlignment="1">
      <alignment horizontal="center" vertical="center" wrapText="1"/>
    </xf>
    <xf numFmtId="0" fontId="20" fillId="0" borderId="13" xfId="2" applyFont="1" applyBorder="1" applyAlignment="1">
      <alignment horizontal="center" vertical="center"/>
    </xf>
    <xf numFmtId="0" fontId="20" fillId="0" borderId="14" xfId="2" applyFont="1" applyBorder="1" applyAlignment="1">
      <alignment horizontal="center" vertical="center"/>
    </xf>
    <xf numFmtId="0" fontId="20" fillId="0" borderId="14" xfId="3" applyNumberFormat="1" applyFont="1" applyFill="1" applyBorder="1" applyAlignment="1">
      <alignment horizontal="center" vertical="center"/>
    </xf>
    <xf numFmtId="0" fontId="23" fillId="0" borderId="14" xfId="2" applyFont="1" applyBorder="1" applyAlignment="1">
      <alignment horizontal="center" vertical="center"/>
    </xf>
    <xf numFmtId="0" fontId="20" fillId="0" borderId="15" xfId="2" applyFont="1" applyBorder="1" applyAlignment="1">
      <alignment horizontal="center" vertical="center"/>
    </xf>
    <xf numFmtId="0" fontId="24" fillId="5" borderId="16" xfId="4" applyNumberFormat="1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0" fontId="24" fillId="5" borderId="2" xfId="2" applyFont="1" applyFill="1" applyBorder="1" applyAlignment="1">
      <alignment horizontal="center" vertical="center"/>
    </xf>
    <xf numFmtId="14" fontId="24" fillId="5" borderId="2" xfId="2" applyNumberFormat="1" applyFont="1" applyFill="1" applyBorder="1" applyAlignment="1">
      <alignment horizontal="center" vertical="center"/>
    </xf>
    <xf numFmtId="0" fontId="25" fillId="6" borderId="2" xfId="5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shrinkToFit="1"/>
    </xf>
    <xf numFmtId="169" fontId="25" fillId="5" borderId="2" xfId="6" applyNumberFormat="1" applyFont="1" applyFill="1" applyBorder="1" applyAlignment="1">
      <alignment horizontal="center" vertical="center"/>
    </xf>
    <xf numFmtId="170" fontId="25" fillId="5" borderId="17" xfId="6" applyNumberFormat="1" applyFont="1" applyFill="1" applyBorder="1" applyAlignment="1">
      <alignment horizontal="center" vertical="center"/>
    </xf>
    <xf numFmtId="169" fontId="24" fillId="5" borderId="2" xfId="3" applyNumberFormat="1" applyFont="1" applyFill="1" applyBorder="1" applyAlignment="1">
      <alignment horizontal="center" vertical="center"/>
    </xf>
    <xf numFmtId="4" fontId="24" fillId="5" borderId="2" xfId="2" applyNumberFormat="1" applyFont="1" applyFill="1" applyBorder="1" applyAlignment="1">
      <alignment horizontal="center" vertical="center"/>
    </xf>
    <xf numFmtId="4" fontId="24" fillId="5" borderId="18" xfId="2" applyNumberFormat="1" applyFont="1" applyFill="1" applyBorder="1" applyAlignment="1">
      <alignment horizontal="center" vertical="center"/>
    </xf>
    <xf numFmtId="4" fontId="24" fillId="5" borderId="0" xfId="2" applyNumberFormat="1" applyFont="1" applyFill="1" applyAlignment="1">
      <alignment horizontal="center" vertical="center"/>
    </xf>
    <xf numFmtId="0" fontId="24" fillId="5" borderId="0" xfId="2" applyFont="1" applyFill="1">
      <alignment vertical="center"/>
    </xf>
    <xf numFmtId="4" fontId="24" fillId="5" borderId="0" xfId="2" applyNumberFormat="1" applyFont="1" applyFill="1">
      <alignment vertical="center"/>
    </xf>
    <xf numFmtId="171" fontId="25" fillId="5" borderId="1" xfId="7" applyNumberFormat="1" applyFont="1" applyFill="1" applyBorder="1" applyAlignment="1">
      <alignment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24" fillId="5" borderId="1" xfId="2" applyFont="1" applyFill="1" applyBorder="1" applyAlignment="1">
      <alignment horizontal="center" vertical="center"/>
    </xf>
    <xf numFmtId="14" fontId="24" fillId="5" borderId="1" xfId="2" applyNumberFormat="1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shrinkToFit="1"/>
    </xf>
    <xf numFmtId="169" fontId="25" fillId="5" borderId="1" xfId="6" applyNumberFormat="1" applyFont="1" applyFill="1" applyBorder="1" applyAlignment="1">
      <alignment horizontal="center" vertical="center"/>
    </xf>
    <xf numFmtId="170" fontId="25" fillId="5" borderId="1" xfId="6" applyNumberFormat="1" applyFont="1" applyFill="1" applyBorder="1" applyAlignment="1">
      <alignment horizontal="center" vertical="center"/>
    </xf>
    <xf numFmtId="169" fontId="24" fillId="5" borderId="1" xfId="3" applyNumberFormat="1" applyFont="1" applyFill="1" applyBorder="1" applyAlignment="1">
      <alignment horizontal="center" vertical="center"/>
    </xf>
    <xf numFmtId="4" fontId="24" fillId="5" borderId="1" xfId="2" applyNumberFormat="1" applyFont="1" applyFill="1" applyBorder="1" applyAlignment="1">
      <alignment horizontal="center" vertical="center"/>
    </xf>
    <xf numFmtId="4" fontId="24" fillId="5" borderId="19" xfId="2" applyNumberFormat="1" applyFont="1" applyFill="1" applyBorder="1" applyAlignment="1">
      <alignment horizontal="center" vertical="center"/>
    </xf>
    <xf numFmtId="0" fontId="24" fillId="5" borderId="20" xfId="4" applyNumberFormat="1" applyFont="1" applyFill="1" applyBorder="1" applyAlignment="1">
      <alignment horizontal="center" vertical="center"/>
    </xf>
    <xf numFmtId="169" fontId="25" fillId="5" borderId="1" xfId="8" applyNumberFormat="1" applyFont="1" applyFill="1" applyBorder="1" applyAlignment="1">
      <alignment horizontal="center" vertical="center"/>
    </xf>
    <xf numFmtId="170" fontId="25" fillId="5" borderId="1" xfId="8" applyNumberFormat="1" applyFont="1" applyFill="1" applyBorder="1" applyAlignment="1">
      <alignment horizontal="center" vertical="center"/>
    </xf>
    <xf numFmtId="0" fontId="24" fillId="5" borderId="21" xfId="4" applyNumberFormat="1" applyFont="1" applyFill="1" applyBorder="1" applyAlignment="1">
      <alignment horizontal="center" vertical="center"/>
    </xf>
    <xf numFmtId="171" fontId="25" fillId="5" borderId="1" xfId="7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169" fontId="25" fillId="5" borderId="1" xfId="9" applyNumberFormat="1" applyFont="1" applyFill="1" applyBorder="1" applyAlignment="1">
      <alignment horizontal="center" vertical="center"/>
    </xf>
    <xf numFmtId="170" fontId="25" fillId="5" borderId="1" xfId="9" applyNumberFormat="1" applyFont="1" applyFill="1" applyBorder="1" applyAlignment="1">
      <alignment horizontal="center" vertical="center"/>
    </xf>
    <xf numFmtId="171" fontId="25" fillId="5" borderId="1" xfId="0" applyNumberFormat="1" applyFont="1" applyFill="1" applyBorder="1" applyAlignment="1">
      <alignment vertical="center"/>
    </xf>
    <xf numFmtId="0" fontId="24" fillId="5" borderId="0" xfId="2" applyFont="1" applyFill="1" applyAlignment="1">
      <alignment horizontal="center" vertical="center"/>
    </xf>
    <xf numFmtId="171" fontId="25" fillId="5" borderId="1" xfId="3" applyNumberFormat="1" applyFont="1" applyFill="1" applyBorder="1" applyAlignment="1">
      <alignment vertical="center"/>
    </xf>
    <xf numFmtId="170" fontId="25" fillId="5" borderId="1" xfId="3" applyNumberFormat="1" applyFont="1" applyFill="1" applyBorder="1" applyAlignment="1">
      <alignment horizontal="center" vertical="center"/>
    </xf>
    <xf numFmtId="169" fontId="25" fillId="5" borderId="1" xfId="0" applyNumberFormat="1" applyFont="1" applyFill="1" applyBorder="1" applyAlignment="1">
      <alignment horizontal="right" vertical="center"/>
    </xf>
    <xf numFmtId="170" fontId="25" fillId="5" borderId="1" xfId="3" applyNumberFormat="1" applyFont="1" applyFill="1" applyBorder="1" applyAlignment="1">
      <alignment horizontal="right" vertical="center"/>
    </xf>
    <xf numFmtId="171" fontId="25" fillId="5" borderId="1" xfId="3" applyNumberFormat="1" applyFont="1" applyFill="1" applyBorder="1" applyAlignment="1">
      <alignment horizontal="center" vertical="center"/>
    </xf>
    <xf numFmtId="169" fontId="28" fillId="5" borderId="1" xfId="3" applyNumberFormat="1" applyFont="1" applyFill="1" applyBorder="1" applyAlignment="1">
      <alignment horizontal="center" vertical="center"/>
    </xf>
    <xf numFmtId="4" fontId="28" fillId="5" borderId="1" xfId="2" applyNumberFormat="1" applyFont="1" applyFill="1" applyBorder="1" applyAlignment="1">
      <alignment horizontal="center" vertical="center"/>
    </xf>
    <xf numFmtId="4" fontId="28" fillId="5" borderId="19" xfId="2" applyNumberFormat="1" applyFont="1" applyFill="1" applyBorder="1" applyAlignment="1">
      <alignment horizontal="center" vertical="center"/>
    </xf>
    <xf numFmtId="0" fontId="28" fillId="5" borderId="0" xfId="2" applyFont="1" applyFill="1">
      <alignment vertical="center"/>
    </xf>
    <xf numFmtId="0" fontId="25" fillId="5" borderId="1" xfId="1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/>
    </xf>
    <xf numFmtId="169" fontId="25" fillId="5" borderId="1" xfId="11" applyNumberFormat="1" applyFont="1" applyFill="1" applyBorder="1" applyAlignment="1">
      <alignment horizontal="center" vertical="center"/>
    </xf>
    <xf numFmtId="170" fontId="25" fillId="5" borderId="1" xfId="11" applyNumberFormat="1" applyFont="1" applyFill="1" applyBorder="1" applyAlignment="1">
      <alignment horizontal="center" vertical="center"/>
    </xf>
    <xf numFmtId="169" fontId="25" fillId="5" borderId="1" xfId="3" applyNumberFormat="1" applyFont="1" applyFill="1" applyBorder="1" applyAlignment="1">
      <alignment horizontal="center" vertical="center"/>
    </xf>
    <xf numFmtId="0" fontId="24" fillId="5" borderId="22" xfId="4" applyNumberFormat="1" applyFont="1" applyFill="1" applyBorder="1" applyAlignment="1">
      <alignment horizontal="center" vertical="center"/>
    </xf>
    <xf numFmtId="0" fontId="28" fillId="5" borderId="1" xfId="2" applyFont="1" applyFill="1" applyBorder="1" applyAlignment="1">
      <alignment horizontal="center" vertical="center"/>
    </xf>
    <xf numFmtId="0" fontId="25" fillId="7" borderId="1" xfId="10" applyFont="1" applyFill="1" applyBorder="1" applyAlignment="1">
      <alignment horizontal="center" vertical="center" wrapText="1"/>
    </xf>
    <xf numFmtId="0" fontId="24" fillId="7" borderId="1" xfId="2" applyFont="1" applyFill="1" applyBorder="1" applyAlignment="1">
      <alignment horizontal="center" vertical="center"/>
    </xf>
    <xf numFmtId="14" fontId="24" fillId="7" borderId="1" xfId="2" applyNumberFormat="1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 shrinkToFit="1"/>
    </xf>
    <xf numFmtId="169" fontId="25" fillId="7" borderId="1" xfId="6" applyNumberFormat="1" applyFont="1" applyFill="1" applyBorder="1" applyAlignment="1">
      <alignment horizontal="center" vertical="center"/>
    </xf>
    <xf numFmtId="170" fontId="25" fillId="7" borderId="1" xfId="6" applyNumberFormat="1" applyFont="1" applyFill="1" applyBorder="1" applyAlignment="1">
      <alignment horizontal="center" vertical="center"/>
    </xf>
    <xf numFmtId="4" fontId="24" fillId="7" borderId="2" xfId="2" applyNumberFormat="1" applyFont="1" applyFill="1" applyBorder="1" applyAlignment="1">
      <alignment horizontal="center" vertical="center"/>
    </xf>
    <xf numFmtId="4" fontId="24" fillId="7" borderId="1" xfId="2" applyNumberFormat="1" applyFont="1" applyFill="1" applyBorder="1" applyAlignment="1">
      <alignment horizontal="center" vertical="center"/>
    </xf>
    <xf numFmtId="4" fontId="24" fillId="7" borderId="19" xfId="2" applyNumberFormat="1" applyFont="1" applyFill="1" applyBorder="1" applyAlignment="1">
      <alignment horizontal="center" vertical="center"/>
    </xf>
    <xf numFmtId="169" fontId="25" fillId="7" borderId="1" xfId="8" applyNumberFormat="1" applyFont="1" applyFill="1" applyBorder="1" applyAlignment="1">
      <alignment horizontal="center" vertical="center"/>
    </xf>
    <xf numFmtId="171" fontId="30" fillId="5" borderId="1" xfId="0" applyNumberFormat="1" applyFont="1" applyFill="1" applyBorder="1" applyAlignment="1">
      <alignment vertical="center"/>
    </xf>
    <xf numFmtId="0" fontId="30" fillId="6" borderId="1" xfId="0" applyFont="1" applyFill="1" applyBorder="1" applyAlignment="1">
      <alignment horizontal="center" vertical="center"/>
    </xf>
    <xf numFmtId="0" fontId="28" fillId="7" borderId="1" xfId="2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169" fontId="25" fillId="7" borderId="1" xfId="9" applyNumberFormat="1" applyFont="1" applyFill="1" applyBorder="1" applyAlignment="1">
      <alignment horizontal="center" vertical="center"/>
    </xf>
    <xf numFmtId="170" fontId="25" fillId="7" borderId="1" xfId="9" applyNumberFormat="1" applyFont="1" applyFill="1" applyBorder="1" applyAlignment="1">
      <alignment horizontal="center" vertical="center"/>
    </xf>
    <xf numFmtId="170" fontId="25" fillId="7" borderId="1" xfId="8" applyNumberFormat="1" applyFont="1" applyFill="1" applyBorder="1" applyAlignment="1">
      <alignment horizontal="center" vertical="center"/>
    </xf>
    <xf numFmtId="169" fontId="25" fillId="7" borderId="1" xfId="11" applyNumberFormat="1" applyFont="1" applyFill="1" applyBorder="1" applyAlignment="1">
      <alignment horizontal="center" vertical="center"/>
    </xf>
    <xf numFmtId="170" fontId="25" fillId="7" borderId="1" xfId="11" applyNumberFormat="1" applyFont="1" applyFill="1" applyBorder="1" applyAlignment="1">
      <alignment horizontal="center" vertical="center"/>
    </xf>
    <xf numFmtId="169" fontId="25" fillId="7" borderId="1" xfId="9" applyNumberFormat="1" applyFont="1" applyFill="1" applyBorder="1" applyAlignment="1">
      <alignment vertical="center"/>
    </xf>
    <xf numFmtId="170" fontId="25" fillId="7" borderId="1" xfId="8" applyNumberFormat="1" applyFont="1" applyFill="1" applyBorder="1" applyAlignment="1">
      <alignment vertical="center"/>
    </xf>
    <xf numFmtId="169" fontId="25" fillId="7" borderId="1" xfId="12" applyNumberFormat="1" applyFont="1" applyFill="1" applyBorder="1" applyAlignment="1">
      <alignment horizontal="center" vertical="center"/>
    </xf>
    <xf numFmtId="170" fontId="25" fillId="7" borderId="1" xfId="12" applyNumberFormat="1" applyFont="1" applyFill="1" applyBorder="1" applyAlignment="1">
      <alignment horizontal="center" vertical="center"/>
    </xf>
    <xf numFmtId="171" fontId="25" fillId="5" borderId="1" xfId="6" applyNumberFormat="1" applyFont="1" applyFill="1" applyBorder="1" applyAlignment="1">
      <alignment vertical="center" wrapText="1"/>
    </xf>
    <xf numFmtId="169" fontId="25" fillId="5" borderId="1" xfId="9" applyNumberFormat="1" applyFont="1" applyFill="1" applyBorder="1" applyAlignment="1">
      <alignment vertical="center"/>
    </xf>
    <xf numFmtId="170" fontId="25" fillId="5" borderId="1" xfId="8" applyNumberFormat="1" applyFont="1" applyFill="1" applyBorder="1" applyAlignment="1">
      <alignment vertical="center"/>
    </xf>
    <xf numFmtId="171" fontId="25" fillId="5" borderId="3" xfId="3" applyNumberFormat="1" applyFont="1" applyFill="1" applyBorder="1" applyAlignment="1">
      <alignment horizontal="center" vertical="center"/>
    </xf>
    <xf numFmtId="171" fontId="25" fillId="5" borderId="4" xfId="3" applyNumberFormat="1" applyFont="1" applyFill="1" applyBorder="1" applyAlignment="1">
      <alignment horizontal="center" vertical="center"/>
    </xf>
    <xf numFmtId="169" fontId="28" fillId="5" borderId="1" xfId="12" applyNumberFormat="1" applyFont="1" applyFill="1" applyBorder="1" applyAlignment="1">
      <alignment horizontal="center" vertical="center"/>
    </xf>
    <xf numFmtId="170" fontId="25" fillId="5" borderId="1" xfId="12" applyNumberFormat="1" applyFont="1" applyFill="1" applyBorder="1" applyAlignment="1">
      <alignment horizontal="center" vertical="center"/>
    </xf>
    <xf numFmtId="171" fontId="25" fillId="5" borderId="2" xfId="3" applyNumberFormat="1" applyFont="1" applyFill="1" applyBorder="1" applyAlignment="1">
      <alignment horizontal="center" vertical="center"/>
    </xf>
    <xf numFmtId="169" fontId="25" fillId="5" borderId="1" xfId="6" applyNumberFormat="1" applyFont="1" applyFill="1" applyBorder="1" applyAlignment="1">
      <alignment vertical="center"/>
    </xf>
    <xf numFmtId="0" fontId="25" fillId="5" borderId="1" xfId="2" applyFont="1" applyFill="1" applyBorder="1" applyAlignment="1">
      <alignment horizontal="center" vertical="center"/>
    </xf>
    <xf numFmtId="170" fontId="28" fillId="5" borderId="1" xfId="12" applyNumberFormat="1" applyFont="1" applyFill="1" applyBorder="1" applyAlignment="1">
      <alignment horizontal="center" vertical="center"/>
    </xf>
    <xf numFmtId="169" fontId="25" fillId="7" borderId="1" xfId="3" applyNumberFormat="1" applyFont="1" applyFill="1" applyBorder="1" applyAlignment="1">
      <alignment horizontal="center" vertical="center"/>
    </xf>
    <xf numFmtId="170" fontId="25" fillId="7" borderId="1" xfId="3" applyNumberFormat="1" applyFont="1" applyFill="1" applyBorder="1" applyAlignment="1">
      <alignment horizontal="center" vertical="center"/>
    </xf>
    <xf numFmtId="0" fontId="24" fillId="3" borderId="0" xfId="2" applyFont="1" applyFill="1">
      <alignment vertical="center"/>
    </xf>
    <xf numFmtId="0" fontId="31" fillId="3" borderId="0" xfId="2" applyFont="1" applyFill="1">
      <alignment vertical="center"/>
    </xf>
    <xf numFmtId="0" fontId="21" fillId="5" borderId="2" xfId="2" applyFont="1" applyFill="1" applyBorder="1" applyAlignment="1">
      <alignment horizontal="center" vertical="center"/>
    </xf>
    <xf numFmtId="0" fontId="21" fillId="5" borderId="0" xfId="2" applyFont="1" applyFill="1">
      <alignment vertical="center"/>
    </xf>
    <xf numFmtId="4" fontId="21" fillId="5" borderId="0" xfId="2" applyNumberFormat="1" applyFont="1" applyFill="1">
      <alignment vertical="center"/>
    </xf>
    <xf numFmtId="169" fontId="25" fillId="5" borderId="1" xfId="12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4" fillId="0" borderId="2" xfId="2" applyFont="1" applyBorder="1" applyAlignment="1">
      <alignment horizontal="center" vertical="center"/>
    </xf>
    <xf numFmtId="169" fontId="24" fillId="0" borderId="1" xfId="3" applyNumberFormat="1" applyFont="1" applyFill="1" applyBorder="1" applyAlignment="1">
      <alignment horizontal="center" vertical="center"/>
    </xf>
    <xf numFmtId="4" fontId="24" fillId="0" borderId="2" xfId="2" applyNumberFormat="1" applyFont="1" applyBorder="1" applyAlignment="1">
      <alignment horizontal="center" vertical="center"/>
    </xf>
    <xf numFmtId="4" fontId="24" fillId="0" borderId="1" xfId="2" applyNumberFormat="1" applyFont="1" applyBorder="1" applyAlignment="1">
      <alignment horizontal="center" vertical="center"/>
    </xf>
    <xf numFmtId="4" fontId="24" fillId="0" borderId="19" xfId="2" applyNumberFormat="1" applyFont="1" applyBorder="1" applyAlignment="1">
      <alignment horizontal="center" vertical="center"/>
    </xf>
    <xf numFmtId="0" fontId="20" fillId="8" borderId="23" xfId="2" applyFont="1" applyFill="1" applyBorder="1" applyAlignment="1">
      <alignment horizontal="center" vertical="center"/>
    </xf>
    <xf numFmtId="0" fontId="20" fillId="8" borderId="24" xfId="2" applyFont="1" applyFill="1" applyBorder="1" applyAlignment="1">
      <alignment horizontal="center" vertical="center"/>
    </xf>
    <xf numFmtId="0" fontId="20" fillId="8" borderId="24" xfId="2" applyFont="1" applyFill="1" applyBorder="1" applyAlignment="1">
      <alignment horizontal="center" vertical="center"/>
    </xf>
    <xf numFmtId="0" fontId="20" fillId="8" borderId="25" xfId="2" applyFont="1" applyFill="1" applyBorder="1">
      <alignment vertical="center"/>
    </xf>
    <xf numFmtId="170" fontId="21" fillId="8" borderId="26" xfId="3" applyNumberFormat="1" applyFont="1" applyFill="1" applyBorder="1" applyAlignment="1">
      <alignment horizontal="center" vertical="center"/>
    </xf>
    <xf numFmtId="170" fontId="21" fillId="8" borderId="26" xfId="3" applyNumberFormat="1" applyFont="1" applyFill="1" applyBorder="1" applyAlignment="1">
      <alignment horizontal="center"/>
    </xf>
    <xf numFmtId="4" fontId="21" fillId="8" borderId="26" xfId="2" applyNumberFormat="1" applyFont="1" applyFill="1" applyBorder="1" applyAlignment="1">
      <alignment horizontal="center"/>
    </xf>
    <xf numFmtId="173" fontId="20" fillId="8" borderId="26" xfId="13" applyNumberFormat="1" applyFont="1" applyFill="1" applyBorder="1" applyAlignment="1">
      <alignment horizontal="center" vertical="center"/>
    </xf>
    <xf numFmtId="171" fontId="20" fillId="8" borderId="27" xfId="2" applyNumberFormat="1" applyFont="1" applyFill="1" applyBorder="1" applyAlignment="1">
      <alignment horizontal="center" vertical="center"/>
    </xf>
    <xf numFmtId="169" fontId="21" fillId="0" borderId="0" xfId="3" applyNumberFormat="1" applyFont="1" applyFill="1" applyAlignment="1">
      <alignment vertical="center"/>
    </xf>
    <xf numFmtId="170" fontId="21" fillId="0" borderId="0" xfId="3" applyNumberFormat="1" applyFont="1" applyFill="1" applyAlignment="1">
      <alignment vertical="center"/>
    </xf>
    <xf numFmtId="4" fontId="31" fillId="0" borderId="0" xfId="2" applyNumberFormat="1" applyFont="1">
      <alignment vertical="center"/>
    </xf>
    <xf numFmtId="0" fontId="21" fillId="0" borderId="0" xfId="2" applyFont="1" applyAlignment="1">
      <alignment horizontal="left" vertical="center"/>
    </xf>
    <xf numFmtId="4" fontId="21" fillId="0" borderId="0" xfId="2" applyNumberFormat="1" applyFont="1">
      <alignment vertical="center"/>
    </xf>
    <xf numFmtId="0" fontId="32" fillId="5" borderId="1" xfId="0" applyFont="1" applyFill="1" applyBorder="1" applyAlignment="1">
      <alignment horizontal="center" vertical="center" wrapText="1"/>
    </xf>
    <xf numFmtId="174" fontId="33" fillId="0" borderId="1" xfId="2" applyNumberFormat="1" applyFont="1" applyBorder="1">
      <alignment vertical="center"/>
    </xf>
    <xf numFmtId="171" fontId="21" fillId="0" borderId="1" xfId="2" applyNumberFormat="1" applyFont="1" applyBorder="1">
      <alignment vertical="center"/>
    </xf>
    <xf numFmtId="0" fontId="31" fillId="0" borderId="0" xfId="2" applyFont="1">
      <alignment vertical="center"/>
    </xf>
    <xf numFmtId="41" fontId="21" fillId="0" borderId="0" xfId="4" applyFont="1" applyFill="1" applyAlignment="1">
      <alignment vertical="center"/>
    </xf>
    <xf numFmtId="175" fontId="21" fillId="0" borderId="0" xfId="2" applyNumberFormat="1" applyFont="1">
      <alignment vertical="center"/>
    </xf>
    <xf numFmtId="171" fontId="21" fillId="0" borderId="0" xfId="2" applyNumberFormat="1" applyFont="1">
      <alignment vertical="center"/>
    </xf>
    <xf numFmtId="2" fontId="21" fillId="0" borderId="0" xfId="2" applyNumberFormat="1" applyFont="1">
      <alignment vertical="center"/>
    </xf>
    <xf numFmtId="0" fontId="34" fillId="0" borderId="0" xfId="2" applyFont="1" applyAlignment="1">
      <alignment horizontal="center" vertical="center"/>
    </xf>
    <xf numFmtId="0" fontId="24" fillId="0" borderId="0" xfId="2" applyFont="1" applyAlignment="1">
      <alignment horizontal="left" vertical="center"/>
    </xf>
    <xf numFmtId="0" fontId="21" fillId="7" borderId="0" xfId="2" applyFont="1" applyFill="1">
      <alignment vertical="center"/>
    </xf>
    <xf numFmtId="0" fontId="24" fillId="7" borderId="0" xfId="2" applyFont="1" applyFill="1">
      <alignment vertical="center"/>
    </xf>
    <xf numFmtId="0" fontId="23" fillId="0" borderId="0" xfId="2" applyFont="1" applyAlignment="1">
      <alignment horizontal="left" vertical="center"/>
    </xf>
    <xf numFmtId="43" fontId="21" fillId="0" borderId="0" xfId="2" applyNumberFormat="1" applyFont="1">
      <alignment vertical="center"/>
    </xf>
    <xf numFmtId="0" fontId="24" fillId="0" borderId="0" xfId="2" applyFont="1" applyAlignment="1">
      <alignment horizontal="center" vertical="center"/>
    </xf>
    <xf numFmtId="0" fontId="24" fillId="0" borderId="0" xfId="2" applyFont="1">
      <alignment vertical="center"/>
    </xf>
    <xf numFmtId="169" fontId="24" fillId="0" borderId="0" xfId="3" applyNumberFormat="1" applyFont="1" applyFill="1" applyAlignment="1">
      <alignment vertical="center"/>
    </xf>
    <xf numFmtId="0" fontId="24" fillId="0" borderId="28" xfId="14" applyFont="1" applyBorder="1" applyAlignment="1">
      <alignment horizontal="left" vertical="center"/>
    </xf>
    <xf numFmtId="0" fontId="24" fillId="0" borderId="28" xfId="14" applyFont="1" applyBorder="1" applyAlignment="1">
      <alignment vertical="center" wrapText="1"/>
    </xf>
    <xf numFmtId="0" fontId="24" fillId="0" borderId="0" xfId="14" applyFont="1" applyAlignment="1">
      <alignment vertical="center" wrapText="1"/>
    </xf>
    <xf numFmtId="0" fontId="24" fillId="0" borderId="0" xfId="14" applyFont="1" applyAlignment="1">
      <alignment horizontal="center" vertical="center" wrapText="1"/>
    </xf>
    <xf numFmtId="169" fontId="24" fillId="0" borderId="0" xfId="3" applyNumberFormat="1" applyFont="1" applyFill="1" applyAlignment="1">
      <alignment vertical="center" wrapText="1"/>
    </xf>
    <xf numFmtId="0" fontId="21" fillId="0" borderId="28" xfId="2" applyFont="1" applyBorder="1">
      <alignment vertical="center"/>
    </xf>
    <xf numFmtId="0" fontId="24" fillId="0" borderId="28" xfId="14" applyFont="1" applyBorder="1" applyAlignment="1">
      <alignment vertical="center"/>
    </xf>
    <xf numFmtId="0" fontId="24" fillId="0" borderId="0" xfId="14" applyFont="1" applyAlignment="1">
      <alignment horizontal="left" vertical="center"/>
    </xf>
    <xf numFmtId="0" fontId="24" fillId="0" borderId="0" xfId="14" applyFont="1" applyAlignment="1">
      <alignment vertical="center"/>
    </xf>
    <xf numFmtId="0" fontId="24" fillId="0" borderId="0" xfId="15" applyFont="1" applyAlignment="1">
      <alignment horizontal="center" vertical="center"/>
    </xf>
    <xf numFmtId="0" fontId="24" fillId="0" borderId="0" xfId="14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33" fillId="0" borderId="0" xfId="2" applyFont="1" applyAlignment="1">
      <alignment horizontal="left" vertical="center"/>
    </xf>
    <xf numFmtId="169" fontId="21" fillId="0" borderId="0" xfId="3" applyNumberFormat="1" applyFont="1">
      <alignment vertical="center"/>
    </xf>
    <xf numFmtId="170" fontId="21" fillId="0" borderId="0" xfId="3" applyNumberFormat="1" applyFont="1">
      <alignment vertical="center"/>
    </xf>
    <xf numFmtId="0" fontId="37" fillId="0" borderId="0" xfId="2" applyFont="1" applyAlignment="1">
      <alignment horizontal="right" vertical="center"/>
    </xf>
    <xf numFmtId="0" fontId="37" fillId="0" borderId="0" xfId="2" applyFont="1">
      <alignment vertical="center"/>
    </xf>
    <xf numFmtId="0" fontId="27" fillId="0" borderId="0" xfId="2" applyFont="1">
      <alignment vertical="center"/>
    </xf>
    <xf numFmtId="0" fontId="38" fillId="0" borderId="0" xfId="2" applyFont="1" applyAlignment="1">
      <alignment horizontal="center" vertical="center"/>
    </xf>
    <xf numFmtId="0" fontId="37" fillId="0" borderId="0" xfId="2" applyFont="1" applyAlignment="1">
      <alignment horizontal="center" vertical="center"/>
    </xf>
    <xf numFmtId="169" fontId="37" fillId="0" borderId="0" xfId="3" applyNumberFormat="1" applyFont="1" applyAlignment="1">
      <alignment horizontal="center" vertical="center"/>
    </xf>
    <xf numFmtId="170" fontId="37" fillId="0" borderId="0" xfId="3" applyNumberFormat="1" applyFont="1" applyAlignment="1">
      <alignment horizontal="center" vertical="center"/>
    </xf>
    <xf numFmtId="0" fontId="39" fillId="0" borderId="0" xfId="2" applyFont="1" applyAlignment="1">
      <alignment horizontal="center" vertical="center"/>
    </xf>
    <xf numFmtId="0" fontId="25" fillId="0" borderId="0" xfId="2" applyFont="1">
      <alignment vertical="center"/>
    </xf>
    <xf numFmtId="169" fontId="27" fillId="0" borderId="0" xfId="3" applyNumberFormat="1" applyFont="1" applyAlignment="1">
      <alignment vertical="center"/>
    </xf>
    <xf numFmtId="170" fontId="27" fillId="0" borderId="0" xfId="3" applyNumberFormat="1" applyFont="1" applyAlignment="1">
      <alignment vertical="center"/>
    </xf>
    <xf numFmtId="0" fontId="27" fillId="0" borderId="0" xfId="2" applyFont="1" applyAlignment="1">
      <alignment horizontal="center" vertical="center"/>
    </xf>
    <xf numFmtId="0" fontId="39" fillId="0" borderId="29" xfId="2" applyFont="1" applyBorder="1" applyAlignment="1">
      <alignment horizontal="center" vertical="center"/>
    </xf>
    <xf numFmtId="0" fontId="40" fillId="0" borderId="30" xfId="2" applyFont="1" applyBorder="1" applyAlignment="1">
      <alignment horizontal="center" vertical="center"/>
    </xf>
    <xf numFmtId="0" fontId="40" fillId="0" borderId="30" xfId="2" applyFont="1" applyBorder="1" applyAlignment="1">
      <alignment horizontal="center" vertical="center" wrapText="1"/>
    </xf>
    <xf numFmtId="169" fontId="40" fillId="0" borderId="30" xfId="3" applyNumberFormat="1" applyFont="1" applyFill="1" applyBorder="1" applyAlignment="1">
      <alignment horizontal="center" vertical="center"/>
    </xf>
    <xf numFmtId="170" fontId="40" fillId="0" borderId="30" xfId="3" applyNumberFormat="1" applyFont="1" applyFill="1" applyBorder="1" applyAlignment="1">
      <alignment horizontal="center" vertical="center" wrapText="1"/>
    </xf>
    <xf numFmtId="0" fontId="40" fillId="0" borderId="9" xfId="2" applyFont="1" applyBorder="1" applyAlignment="1">
      <alignment horizontal="center" vertical="center" wrapText="1"/>
    </xf>
    <xf numFmtId="0" fontId="40" fillId="0" borderId="9" xfId="2" applyFont="1" applyBorder="1" applyAlignment="1">
      <alignment horizontal="center" vertical="center" wrapText="1"/>
    </xf>
    <xf numFmtId="0" fontId="40" fillId="0" borderId="31" xfId="2" applyFont="1" applyBorder="1" applyAlignment="1">
      <alignment horizontal="center" vertical="center" wrapText="1"/>
    </xf>
    <xf numFmtId="0" fontId="27" fillId="0" borderId="32" xfId="2" applyFont="1" applyBorder="1" applyAlignment="1">
      <alignment horizontal="center" vertical="center" wrapText="1"/>
    </xf>
    <xf numFmtId="0" fontId="40" fillId="0" borderId="3" xfId="2" applyFont="1" applyBorder="1" applyAlignment="1">
      <alignment horizontal="center" vertical="center" wrapText="1"/>
    </xf>
    <xf numFmtId="0" fontId="41" fillId="0" borderId="3" xfId="2" applyFont="1" applyBorder="1" applyAlignment="1">
      <alignment horizontal="center" vertical="center" wrapText="1"/>
    </xf>
    <xf numFmtId="0" fontId="40" fillId="0" borderId="6" xfId="2" applyFont="1" applyBorder="1" applyAlignment="1">
      <alignment horizontal="center" vertical="center" wrapText="1"/>
    </xf>
    <xf numFmtId="0" fontId="40" fillId="0" borderId="5" xfId="2" applyFont="1" applyBorder="1" applyAlignment="1">
      <alignment horizontal="center" vertical="center" wrapText="1"/>
    </xf>
    <xf numFmtId="0" fontId="40" fillId="0" borderId="7" xfId="2" applyFont="1" applyBorder="1" applyAlignment="1">
      <alignment horizontal="center" vertical="center" wrapText="1"/>
    </xf>
    <xf numFmtId="0" fontId="39" fillId="0" borderId="33" xfId="2" applyFont="1" applyBorder="1" applyAlignment="1">
      <alignment horizontal="center" vertical="center"/>
    </xf>
    <xf numFmtId="0" fontId="40" fillId="0" borderId="34" xfId="2" applyFont="1" applyBorder="1" applyAlignment="1">
      <alignment horizontal="center" vertical="center"/>
    </xf>
    <xf numFmtId="0" fontId="40" fillId="0" borderId="34" xfId="2" applyFont="1" applyBorder="1" applyAlignment="1">
      <alignment horizontal="center" vertical="center" wrapText="1"/>
    </xf>
    <xf numFmtId="169" fontId="40" fillId="0" borderId="34" xfId="3" applyNumberFormat="1" applyFont="1" applyFill="1" applyBorder="1" applyAlignment="1">
      <alignment horizontal="center" vertical="center"/>
    </xf>
    <xf numFmtId="170" fontId="40" fillId="0" borderId="34" xfId="3" applyNumberFormat="1" applyFont="1" applyFill="1" applyBorder="1" applyAlignment="1">
      <alignment horizontal="center" vertical="center" wrapText="1"/>
    </xf>
    <xf numFmtId="0" fontId="40" fillId="0" borderId="14" xfId="2" applyFont="1" applyBorder="1" applyAlignment="1">
      <alignment horizontal="center" vertical="center" wrapText="1"/>
    </xf>
    <xf numFmtId="0" fontId="40" fillId="0" borderId="35" xfId="2" applyFont="1" applyBorder="1" applyAlignment="1">
      <alignment horizontal="center" vertical="center" wrapText="1"/>
    </xf>
    <xf numFmtId="0" fontId="40" fillId="0" borderId="2" xfId="2" applyFont="1" applyBorder="1" applyAlignment="1">
      <alignment horizontal="center" vertical="center" wrapText="1"/>
    </xf>
    <xf numFmtId="0" fontId="41" fillId="0" borderId="2" xfId="2" applyFont="1" applyBorder="1" applyAlignment="1">
      <alignment horizontal="center" vertical="center" wrapText="1"/>
    </xf>
    <xf numFmtId="0" fontId="40" fillId="0" borderId="36" xfId="2" applyFont="1" applyBorder="1" applyAlignment="1">
      <alignment horizontal="center" vertical="center" wrapText="1"/>
    </xf>
    <xf numFmtId="0" fontId="40" fillId="0" borderId="28" xfId="2" applyFont="1" applyBorder="1" applyAlignment="1">
      <alignment horizontal="center" vertical="center" wrapText="1"/>
    </xf>
    <xf numFmtId="0" fontId="40" fillId="0" borderId="37" xfId="2" applyFont="1" applyBorder="1" applyAlignment="1">
      <alignment horizontal="center" vertical="center" wrapText="1"/>
    </xf>
    <xf numFmtId="0" fontId="25" fillId="5" borderId="16" xfId="0" applyFont="1" applyFill="1" applyBorder="1" applyAlignment="1">
      <alignment horizontal="center" vertical="center"/>
    </xf>
    <xf numFmtId="170" fontId="27" fillId="5" borderId="2" xfId="3" applyNumberFormat="1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/>
    </xf>
    <xf numFmtId="0" fontId="25" fillId="5" borderId="4" xfId="2" applyFont="1" applyFill="1" applyBorder="1" applyAlignment="1">
      <alignment horizontal="center" vertical="center"/>
    </xf>
    <xf numFmtId="169" fontId="25" fillId="5" borderId="4" xfId="3" applyNumberFormat="1" applyFont="1" applyFill="1" applyBorder="1" applyAlignment="1">
      <alignment horizontal="center" vertical="center"/>
    </xf>
    <xf numFmtId="170" fontId="25" fillId="5" borderId="4" xfId="3" applyNumberFormat="1" applyFont="1" applyFill="1" applyBorder="1" applyAlignment="1">
      <alignment horizontal="center" vertical="center"/>
    </xf>
    <xf numFmtId="4" fontId="25" fillId="5" borderId="2" xfId="2" applyNumberFormat="1" applyFont="1" applyFill="1" applyBorder="1" applyAlignment="1">
      <alignment horizontal="center" vertical="center"/>
    </xf>
    <xf numFmtId="2" fontId="25" fillId="5" borderId="4" xfId="2" applyNumberFormat="1" applyFont="1" applyFill="1" applyBorder="1" applyAlignment="1">
      <alignment horizontal="center" vertical="center"/>
    </xf>
    <xf numFmtId="4" fontId="25" fillId="0" borderId="2" xfId="2" applyNumberFormat="1" applyFont="1" applyBorder="1" applyAlignment="1">
      <alignment horizontal="center" vertical="center"/>
    </xf>
    <xf numFmtId="4" fontId="25" fillId="0" borderId="18" xfId="2" applyNumberFormat="1" applyFont="1" applyBorder="1" applyAlignment="1">
      <alignment horizontal="center" vertical="center"/>
    </xf>
    <xf numFmtId="4" fontId="27" fillId="0" borderId="1" xfId="2" applyNumberFormat="1" applyFont="1" applyBorder="1">
      <alignment vertical="center"/>
    </xf>
    <xf numFmtId="4" fontId="42" fillId="0" borderId="1" xfId="2" applyNumberFormat="1" applyFont="1" applyBorder="1">
      <alignment vertical="center"/>
    </xf>
    <xf numFmtId="0" fontId="27" fillId="0" borderId="1" xfId="2" applyFont="1" applyBorder="1">
      <alignment vertical="center"/>
    </xf>
    <xf numFmtId="0" fontId="25" fillId="5" borderId="21" xfId="0" applyFont="1" applyFill="1" applyBorder="1" applyAlignment="1">
      <alignment horizontal="center" vertical="center"/>
    </xf>
    <xf numFmtId="170" fontId="27" fillId="5" borderId="1" xfId="3" applyNumberFormat="1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/>
    </xf>
    <xf numFmtId="0" fontId="25" fillId="5" borderId="3" xfId="2" applyFont="1" applyFill="1" applyBorder="1" applyAlignment="1">
      <alignment horizontal="center" vertical="center"/>
    </xf>
    <xf numFmtId="169" fontId="25" fillId="5" borderId="3" xfId="3" applyNumberFormat="1" applyFont="1" applyFill="1" applyBorder="1" applyAlignment="1">
      <alignment horizontal="center" vertical="center"/>
    </xf>
    <xf numFmtId="170" fontId="25" fillId="5" borderId="3" xfId="3" applyNumberFormat="1" applyFont="1" applyFill="1" applyBorder="1" applyAlignment="1">
      <alignment horizontal="center" vertical="center"/>
    </xf>
    <xf numFmtId="4" fontId="25" fillId="5" borderId="1" xfId="2" applyNumberFormat="1" applyFont="1" applyFill="1" applyBorder="1" applyAlignment="1">
      <alignment horizontal="center" vertical="center"/>
    </xf>
    <xf numFmtId="2" fontId="25" fillId="5" borderId="3" xfId="2" applyNumberFormat="1" applyFont="1" applyFill="1" applyBorder="1" applyAlignment="1">
      <alignment horizontal="center" vertical="center"/>
    </xf>
    <xf numFmtId="4" fontId="25" fillId="0" borderId="1" xfId="2" applyNumberFormat="1" applyFont="1" applyBorder="1" applyAlignment="1">
      <alignment horizontal="center" vertical="center"/>
    </xf>
    <xf numFmtId="4" fontId="25" fillId="0" borderId="19" xfId="2" applyNumberFormat="1" applyFont="1" applyBorder="1" applyAlignment="1">
      <alignment horizontal="center" vertical="center"/>
    </xf>
    <xf numFmtId="0" fontId="27" fillId="5" borderId="1" xfId="3" applyNumberFormat="1" applyFont="1" applyFill="1" applyBorder="1" applyAlignment="1">
      <alignment horizontal="center" vertical="center" wrapText="1"/>
    </xf>
    <xf numFmtId="4" fontId="25" fillId="0" borderId="4" xfId="2" applyNumberFormat="1" applyFont="1" applyBorder="1" applyAlignment="1">
      <alignment horizontal="center" vertical="center"/>
    </xf>
    <xf numFmtId="4" fontId="25" fillId="0" borderId="38" xfId="2" applyNumberFormat="1" applyFont="1" applyBorder="1" applyAlignment="1">
      <alignment horizontal="center" vertical="center"/>
    </xf>
    <xf numFmtId="4" fontId="25" fillId="0" borderId="32" xfId="2" applyNumberFormat="1" applyFont="1" applyBorder="1" applyAlignment="1">
      <alignment horizontal="center" vertical="center"/>
    </xf>
    <xf numFmtId="4" fontId="25" fillId="0" borderId="39" xfId="2" applyNumberFormat="1" applyFont="1" applyBorder="1" applyAlignment="1">
      <alignment horizontal="center" vertical="center"/>
    </xf>
    <xf numFmtId="4" fontId="25" fillId="5" borderId="19" xfId="2" applyNumberFormat="1" applyFont="1" applyFill="1" applyBorder="1" applyAlignment="1">
      <alignment horizontal="center" vertical="center"/>
    </xf>
    <xf numFmtId="0" fontId="27" fillId="5" borderId="0" xfId="2" applyFont="1" applyFill="1">
      <alignment vertical="center"/>
    </xf>
    <xf numFmtId="4" fontId="27" fillId="5" borderId="1" xfId="2" applyNumberFormat="1" applyFont="1" applyFill="1" applyBorder="1">
      <alignment vertical="center"/>
    </xf>
    <xf numFmtId="0" fontId="27" fillId="5" borderId="1" xfId="2" applyFont="1" applyFill="1" applyBorder="1">
      <alignment vertical="center"/>
    </xf>
    <xf numFmtId="170" fontId="27" fillId="5" borderId="4" xfId="3" applyNumberFormat="1" applyFont="1" applyFill="1" applyBorder="1" applyAlignment="1">
      <alignment horizontal="center" vertical="center" wrapText="1"/>
    </xf>
    <xf numFmtId="4" fontId="25" fillId="5" borderId="3" xfId="2" applyNumberFormat="1" applyFont="1" applyFill="1" applyBorder="1" applyAlignment="1">
      <alignment horizontal="center" vertical="center"/>
    </xf>
    <xf numFmtId="4" fontId="25" fillId="0" borderId="3" xfId="2" applyNumberFormat="1" applyFont="1" applyBorder="1" applyAlignment="1">
      <alignment horizontal="center" vertical="center"/>
    </xf>
    <xf numFmtId="0" fontId="39" fillId="0" borderId="23" xfId="2" applyFont="1" applyBorder="1">
      <alignment vertical="center"/>
    </xf>
    <xf numFmtId="0" fontId="39" fillId="0" borderId="24" xfId="2" applyFont="1" applyBorder="1">
      <alignment vertical="center"/>
    </xf>
    <xf numFmtId="0" fontId="39" fillId="0" borderId="25" xfId="2" applyFont="1" applyBorder="1">
      <alignment vertical="center"/>
    </xf>
    <xf numFmtId="169" fontId="40" fillId="0" borderId="26" xfId="3" applyNumberFormat="1" applyFont="1" applyFill="1" applyBorder="1" applyAlignment="1">
      <alignment horizontal="right" vertical="center"/>
    </xf>
    <xf numFmtId="2" fontId="40" fillId="0" borderId="26" xfId="2" applyNumberFormat="1" applyFont="1" applyBorder="1" applyAlignment="1">
      <alignment horizontal="right" vertical="center"/>
    </xf>
    <xf numFmtId="2" fontId="27" fillId="0" borderId="40" xfId="2" applyNumberFormat="1" applyFont="1" applyBorder="1">
      <alignment vertical="center"/>
    </xf>
    <xf numFmtId="4" fontId="25" fillId="0" borderId="26" xfId="2" applyNumberFormat="1" applyFont="1" applyBorder="1" applyAlignment="1">
      <alignment horizontal="center" vertical="center"/>
    </xf>
    <xf numFmtId="4" fontId="27" fillId="0" borderId="26" xfId="2" applyNumberFormat="1" applyFont="1" applyBorder="1" applyAlignment="1">
      <alignment horizontal="center" vertical="center"/>
    </xf>
    <xf numFmtId="4" fontId="40" fillId="0" borderId="27" xfId="2" applyNumberFormat="1" applyFont="1" applyBorder="1" applyAlignment="1">
      <alignment horizontal="center" vertical="center"/>
    </xf>
    <xf numFmtId="169" fontId="43" fillId="0" borderId="0" xfId="3" applyNumberFormat="1" applyFont="1" applyAlignment="1">
      <alignment vertical="center"/>
    </xf>
    <xf numFmtId="0" fontId="43" fillId="0" borderId="0" xfId="2" applyFont="1">
      <alignment vertical="center"/>
    </xf>
    <xf numFmtId="4" fontId="43" fillId="0" borderId="0" xfId="2" applyNumberFormat="1" applyFont="1">
      <alignment vertical="center"/>
    </xf>
    <xf numFmtId="170" fontId="43" fillId="0" borderId="0" xfId="3" applyNumberFormat="1" applyFont="1" applyAlignment="1">
      <alignment vertical="center"/>
    </xf>
    <xf numFmtId="176" fontId="43" fillId="0" borderId="0" xfId="2" applyNumberFormat="1" applyFont="1">
      <alignment vertical="center"/>
    </xf>
    <xf numFmtId="0" fontId="44" fillId="0" borderId="0" xfId="2" applyFont="1" applyAlignment="1">
      <alignment horizontal="left" vertical="center" wrapText="1"/>
    </xf>
    <xf numFmtId="0" fontId="44" fillId="0" borderId="0" xfId="2" applyFont="1" applyAlignment="1">
      <alignment vertical="center" wrapText="1"/>
    </xf>
    <xf numFmtId="0" fontId="44" fillId="0" borderId="0" xfId="2" applyFont="1" applyAlignment="1">
      <alignment horizontal="center" vertical="center" wrapText="1"/>
    </xf>
    <xf numFmtId="0" fontId="45" fillId="0" borderId="28" xfId="15" applyFont="1" applyBorder="1" applyAlignment="1">
      <alignment vertical="top"/>
    </xf>
    <xf numFmtId="0" fontId="45" fillId="0" borderId="28" xfId="15" applyFont="1" applyBorder="1" applyAlignment="1">
      <alignment vertical="top" wrapText="1"/>
    </xf>
    <xf numFmtId="0" fontId="45" fillId="0" borderId="0" xfId="2" applyFont="1">
      <alignment vertical="center"/>
    </xf>
    <xf numFmtId="0" fontId="46" fillId="0" borderId="0" xfId="2" applyFont="1">
      <alignment vertical="center"/>
    </xf>
    <xf numFmtId="0" fontId="46" fillId="0" borderId="28" xfId="2" applyFont="1" applyBorder="1">
      <alignment vertical="center"/>
    </xf>
    <xf numFmtId="176" fontId="27" fillId="0" borderId="0" xfId="2" applyNumberFormat="1" applyFont="1">
      <alignment vertical="center"/>
    </xf>
    <xf numFmtId="0" fontId="44" fillId="0" borderId="0" xfId="14" applyFont="1"/>
    <xf numFmtId="0" fontId="47" fillId="0" borderId="0" xfId="14" applyFont="1"/>
    <xf numFmtId="0" fontId="44" fillId="0" borderId="0" xfId="14" applyFont="1" applyAlignment="1">
      <alignment vertical="center" wrapText="1"/>
    </xf>
    <xf numFmtId="0" fontId="45" fillId="0" borderId="0" xfId="14" applyFont="1" applyAlignment="1">
      <alignment horizontal="left" vertical="center" wrapText="1"/>
    </xf>
    <xf numFmtId="0" fontId="44" fillId="0" borderId="0" xfId="14" applyFont="1" applyAlignment="1">
      <alignment wrapText="1"/>
    </xf>
    <xf numFmtId="0" fontId="48" fillId="0" borderId="0" xfId="2" applyFont="1" applyAlignment="1"/>
    <xf numFmtId="0" fontId="48" fillId="0" borderId="0" xfId="2" applyFont="1">
      <alignment vertical="center"/>
    </xf>
    <xf numFmtId="169" fontId="48" fillId="0" borderId="0" xfId="3" applyNumberFormat="1" applyFont="1" applyAlignment="1"/>
    <xf numFmtId="170" fontId="48" fillId="0" borderId="0" xfId="3" applyNumberFormat="1" applyFont="1" applyAlignment="1"/>
    <xf numFmtId="0" fontId="27" fillId="0" borderId="0" xfId="2" applyFont="1" applyAlignment="1"/>
    <xf numFmtId="169" fontId="27" fillId="0" borderId="0" xfId="3" applyNumberFormat="1" applyFont="1">
      <alignment vertical="center"/>
    </xf>
    <xf numFmtId="170" fontId="27" fillId="0" borderId="0" xfId="3" applyNumberFormat="1" applyFont="1">
      <alignment vertical="center"/>
    </xf>
  </cellXfs>
  <cellStyles count="16">
    <cellStyle name="Normal_(3) CEVA SRF V1.0" xfId="5" xr:uid="{5120AF90-D6A9-424A-B84B-1CA6464C50D2}"/>
    <cellStyle name="Обычный" xfId="0" builtinId="0"/>
    <cellStyle name="Обычный 2" xfId="12" xr:uid="{0E1E6C4E-44B8-4F60-B647-6A2553C6F85B}"/>
    <cellStyle name="Финансовый" xfId="1" builtinId="3"/>
    <cellStyle name="Финансовый [0] 101 2" xfId="7" xr:uid="{07F576F1-D4AC-4C7B-9970-FCDB22B1B7F5}"/>
    <cellStyle name="Финансовый [0] 124 2 2" xfId="6" xr:uid="{73B06B6E-A55F-4255-8695-9E630E0E0DAE}"/>
    <cellStyle name="Финансовый [0] 13 10" xfId="8" xr:uid="{60DDEABA-6C13-4B37-AF8A-8DE25067FE58}"/>
    <cellStyle name="Финансовый [0] 2" xfId="3" xr:uid="{604F4629-819E-4120-BE77-C4B5C9149372}"/>
    <cellStyle name="쉼표 [0] 10 6 10 2 2" xfId="9" xr:uid="{8863CC3F-A535-4479-9568-5799E0BCAADC}"/>
    <cellStyle name="쉼표 [0] 11 13" xfId="11" xr:uid="{6CCAD848-15E6-4616-A586-0BF905DDA653}"/>
    <cellStyle name="쉼표 [0] 3" xfId="4" xr:uid="{EE5EB999-850B-4BF3-AA92-88949DC944C5}"/>
    <cellStyle name="통화 [0] 2" xfId="13" xr:uid="{30F6FF5B-FE9A-4BB9-B9B3-BD9D19BC91E9}"/>
    <cellStyle name="표준 2" xfId="2" xr:uid="{887CEA96-0F3F-45C8-AE87-DBF98F0787E2}"/>
    <cellStyle name="표준 4 2 15" xfId="10" xr:uid="{57E1C27B-76EF-4B25-8E6C-C89A802BB93F}"/>
    <cellStyle name="표준_Sheet1_UZ AUG. 03" xfId="15" xr:uid="{38A4FBBE-152C-43FD-8995-2E9D9068EE18}"/>
    <cellStyle name="표준_Sheet1_UZAUG.04_UZ AUG. 03" xfId="14" xr:uid="{86AF37DB-7EBE-482A-BF48-14E3023F20E9}"/>
  </cellStyles>
  <dxfs count="1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s%20Sept/AEW%20-%20No.477%20(LCL)_SEPTEMBER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>
        <row r="21">
          <cell r="E21" t="str">
            <v>No. 477 LCL</v>
          </cell>
        </row>
      </sheetData>
      <sheetData sheetId="1"/>
      <sheetData sheetId="2">
        <row r="1">
          <cell r="N1" t="str">
            <v>No. 477 LCL</v>
          </cell>
        </row>
        <row r="160">
          <cell r="H160">
            <v>2296.2600000000002</v>
          </cell>
          <cell r="M160">
            <v>65240800</v>
          </cell>
        </row>
      </sheetData>
      <sheetData sheetId="3"/>
      <sheetData sheetId="4"/>
      <sheetData sheetId="5"/>
      <sheetData sheetId="6"/>
      <sheetData sheetId="7">
        <row r="3">
          <cell r="A3" t="str">
            <v>KIMSCO</v>
          </cell>
          <cell r="C3" t="str">
            <v>Busan</v>
          </cell>
        </row>
        <row r="4">
          <cell r="A4" t="str">
            <v>Addchem</v>
          </cell>
          <cell r="C4" t="str">
            <v>Busan</v>
          </cell>
          <cell r="D4" t="str">
            <v>FOB</v>
          </cell>
        </row>
        <row r="5">
          <cell r="A5" t="str">
            <v>ALPS</v>
          </cell>
          <cell r="B5" t="str">
            <v>GungSan / Gunsan</v>
          </cell>
          <cell r="C5" t="str">
            <v>Busan</v>
          </cell>
          <cell r="D5" t="str">
            <v>FCA</v>
          </cell>
        </row>
        <row r="6">
          <cell r="A6" t="str">
            <v>A-Tech Solution</v>
          </cell>
          <cell r="C6" t="str">
            <v>Busan</v>
          </cell>
          <cell r="D6" t="str">
            <v>FOB</v>
          </cell>
        </row>
        <row r="7">
          <cell r="A7" t="str">
            <v>Base Carrier</v>
          </cell>
          <cell r="C7" t="str">
            <v>Busan</v>
          </cell>
          <cell r="D7" t="str">
            <v>FOB</v>
          </cell>
        </row>
        <row r="8">
          <cell r="A8" t="str">
            <v>Bawoo Auto</v>
          </cell>
          <cell r="C8" t="str">
            <v>Busan</v>
          </cell>
          <cell r="D8" t="str">
            <v>FOB</v>
          </cell>
        </row>
        <row r="9">
          <cell r="A9" t="str">
            <v>Central</v>
          </cell>
          <cell r="B9" t="str">
            <v>Changwon</v>
          </cell>
          <cell r="C9" t="str">
            <v>Busan</v>
          </cell>
          <cell r="D9" t="str">
            <v>FOB</v>
          </cell>
        </row>
        <row r="10">
          <cell r="A10" t="str">
            <v>Changjin</v>
          </cell>
          <cell r="C10" t="str">
            <v>Busan</v>
          </cell>
          <cell r="D10" t="str">
            <v>FOB</v>
          </cell>
        </row>
        <row r="11">
          <cell r="A11" t="str">
            <v>Changwon</v>
          </cell>
          <cell r="B11" t="str">
            <v>Juan / Incheon</v>
          </cell>
          <cell r="C11" t="str">
            <v>Busan</v>
          </cell>
          <cell r="D11" t="str">
            <v>FCA</v>
          </cell>
        </row>
        <row r="12">
          <cell r="A12" t="str">
            <v>Chunil Eng</v>
          </cell>
          <cell r="B12" t="str">
            <v>Juan / Incheon</v>
          </cell>
          <cell r="C12" t="str">
            <v>Busan</v>
          </cell>
          <cell r="D12" t="str">
            <v>FCA</v>
          </cell>
        </row>
        <row r="13">
          <cell r="A13" t="str">
            <v>Contitech Fluid</v>
          </cell>
          <cell r="B13" t="str">
            <v>Chunan</v>
          </cell>
          <cell r="C13" t="str">
            <v>Busan</v>
          </cell>
          <cell r="D13" t="str">
            <v>FCA</v>
          </cell>
        </row>
        <row r="14">
          <cell r="A14" t="str">
            <v>Cosmo Eng</v>
          </cell>
          <cell r="B14" t="str">
            <v>Gimpo</v>
          </cell>
          <cell r="C14" t="str">
            <v>Busan</v>
          </cell>
          <cell r="D14" t="str">
            <v>FCA</v>
          </cell>
        </row>
        <row r="15">
          <cell r="A15" t="str">
            <v>Daeshin</v>
          </cell>
          <cell r="B15" t="str">
            <v>Hwasung</v>
          </cell>
          <cell r="C15" t="str">
            <v>Busan</v>
          </cell>
          <cell r="D15" t="str">
            <v>FCA</v>
          </cell>
        </row>
        <row r="16">
          <cell r="A16" t="str">
            <v>Daewonkangup (DWKU)</v>
          </cell>
          <cell r="B16" t="str">
            <v>Chunan</v>
          </cell>
          <cell r="C16" t="str">
            <v>Busan</v>
          </cell>
          <cell r="D16" t="str">
            <v>FCA</v>
          </cell>
        </row>
        <row r="17">
          <cell r="A17" t="str">
            <v>Deerfos</v>
          </cell>
          <cell r="C17" t="str">
            <v>Busan</v>
          </cell>
          <cell r="D17" t="str">
            <v>FOB</v>
          </cell>
        </row>
        <row r="18">
          <cell r="A18" t="str">
            <v>DEKO ENGINEERING</v>
          </cell>
          <cell r="C18" t="str">
            <v>Busan</v>
          </cell>
          <cell r="D18" t="str">
            <v>FOB</v>
          </cell>
        </row>
        <row r="19">
          <cell r="A19" t="str">
            <v>DMC</v>
          </cell>
          <cell r="B19" t="str">
            <v>Waeguan</v>
          </cell>
          <cell r="C19" t="str">
            <v>Busan</v>
          </cell>
          <cell r="D19" t="str">
            <v>FCA</v>
          </cell>
        </row>
        <row r="20">
          <cell r="A20" t="str">
            <v>Doolim Yaskawa</v>
          </cell>
          <cell r="C20" t="str">
            <v>Busan</v>
          </cell>
          <cell r="D20" t="str">
            <v>FOB</v>
          </cell>
        </row>
        <row r="21">
          <cell r="A21" t="str">
            <v>Erae AMS</v>
          </cell>
          <cell r="B21" t="str">
            <v>Daegu</v>
          </cell>
          <cell r="C21" t="str">
            <v>Busan</v>
          </cell>
          <cell r="D21" t="str">
            <v>FCA</v>
          </cell>
        </row>
        <row r="22">
          <cell r="A22" t="str">
            <v>Erae Automotive Systems (KDAC)</v>
          </cell>
          <cell r="C22" t="str">
            <v>Busan</v>
          </cell>
        </row>
        <row r="23">
          <cell r="A23" t="str">
            <v>Evergreen Motors</v>
          </cell>
          <cell r="C23" t="str">
            <v>Busan</v>
          </cell>
        </row>
        <row r="24">
          <cell r="A24" t="str">
            <v>Exq company</v>
          </cell>
          <cell r="C24" t="str">
            <v>Busan</v>
          </cell>
          <cell r="D24" t="str">
            <v>FOB</v>
          </cell>
        </row>
        <row r="25">
          <cell r="A25" t="str">
            <v>Exq Korea</v>
          </cell>
          <cell r="C25" t="str">
            <v>Busan</v>
          </cell>
          <cell r="D25" t="str">
            <v>FOB</v>
          </cell>
        </row>
        <row r="26">
          <cell r="A26" t="str">
            <v>Hands Corporation [Donghwa]</v>
          </cell>
          <cell r="C26" t="str">
            <v>Busan</v>
          </cell>
          <cell r="D26" t="str">
            <v>FCA</v>
          </cell>
        </row>
        <row r="27">
          <cell r="A27" t="str">
            <v>Hansung</v>
          </cell>
          <cell r="B27" t="str">
            <v>Juan / Incheon</v>
          </cell>
          <cell r="C27" t="str">
            <v>Busan</v>
          </cell>
          <cell r="D27" t="str">
            <v>FCA</v>
          </cell>
        </row>
        <row r="28">
          <cell r="A28" t="str">
            <v>HKC</v>
          </cell>
          <cell r="C28" t="str">
            <v>Busan</v>
          </cell>
          <cell r="D28" t="str">
            <v>FOB</v>
          </cell>
        </row>
        <row r="29">
          <cell r="A29" t="str">
            <v>Humax Automotive</v>
          </cell>
          <cell r="B29" t="str">
            <v>Kyungkido Yongin</v>
          </cell>
          <cell r="C29" t="str">
            <v>Busan</v>
          </cell>
          <cell r="D29" t="str">
            <v>FCA</v>
          </cell>
        </row>
        <row r="30">
          <cell r="A30" t="str">
            <v>Hutchinson Korea</v>
          </cell>
          <cell r="B30" t="str">
            <v>Eumsung</v>
          </cell>
          <cell r="C30" t="str">
            <v>Busan</v>
          </cell>
          <cell r="D30" t="str">
            <v>FCA</v>
          </cell>
        </row>
        <row r="31">
          <cell r="A31" t="str">
            <v>Hwaseung R&amp;A</v>
          </cell>
          <cell r="B31" t="str">
            <v>Yangsan</v>
          </cell>
          <cell r="C31" t="str">
            <v>Busan</v>
          </cell>
          <cell r="D31" t="str">
            <v>FCA</v>
          </cell>
        </row>
        <row r="32">
          <cell r="A32" t="str">
            <v>HWASUNG</v>
          </cell>
          <cell r="B32" t="str">
            <v>Daegu</v>
          </cell>
          <cell r="C32" t="str">
            <v>Busan</v>
          </cell>
          <cell r="D32" t="str">
            <v>FCA</v>
          </cell>
        </row>
        <row r="33">
          <cell r="A33" t="str">
            <v>Hyundai Wia</v>
          </cell>
          <cell r="B33" t="str">
            <v>Changwon</v>
          </cell>
          <cell r="C33" t="str">
            <v>Busan</v>
          </cell>
          <cell r="D33" t="str">
            <v>FCA</v>
          </cell>
        </row>
        <row r="34">
          <cell r="A34" t="str">
            <v>Iljin Global</v>
          </cell>
          <cell r="B34" t="str">
            <v>Jecheon</v>
          </cell>
          <cell r="C34" t="str">
            <v>Busan</v>
          </cell>
          <cell r="D34" t="str">
            <v>FCA</v>
          </cell>
        </row>
        <row r="35">
          <cell r="A35" t="str">
            <v>Jeio Tech</v>
          </cell>
          <cell r="C35" t="str">
            <v>Busan</v>
          </cell>
        </row>
        <row r="36">
          <cell r="A36" t="str">
            <v xml:space="preserve">JPC </v>
          </cell>
          <cell r="C36" t="str">
            <v>Busan</v>
          </cell>
        </row>
        <row r="37">
          <cell r="A37" t="str">
            <v>KAD Korea</v>
          </cell>
          <cell r="C37" t="str">
            <v>Busan</v>
          </cell>
          <cell r="D37" t="str">
            <v>FOB</v>
          </cell>
        </row>
        <row r="38">
          <cell r="A38" t="str">
            <v>KDS</v>
          </cell>
          <cell r="B38" t="str">
            <v>Kyungsan</v>
          </cell>
          <cell r="C38" t="str">
            <v>Busan</v>
          </cell>
          <cell r="D38" t="str">
            <v>FCA</v>
          </cell>
        </row>
        <row r="39">
          <cell r="A39" t="str">
            <v>Korea Hoist</v>
          </cell>
          <cell r="C39" t="str">
            <v>Busan</v>
          </cell>
          <cell r="D39" t="str">
            <v>FOB</v>
          </cell>
        </row>
        <row r="40">
          <cell r="A40" t="str">
            <v>Korea Toho</v>
          </cell>
          <cell r="C40" t="str">
            <v>Busan</v>
          </cell>
        </row>
        <row r="41">
          <cell r="A41" t="str">
            <v>KUKDONG HOIST</v>
          </cell>
          <cell r="C41" t="str">
            <v>Busan</v>
          </cell>
          <cell r="D41" t="str">
            <v>FOB</v>
          </cell>
        </row>
        <row r="42">
          <cell r="A42" t="str">
            <v>Kukdong Jeyen</v>
          </cell>
          <cell r="C42" t="str">
            <v>Busan</v>
          </cell>
        </row>
        <row r="43">
          <cell r="A43" t="str">
            <v>KWANG MYUNG</v>
          </cell>
          <cell r="C43" t="str">
            <v>Busan</v>
          </cell>
          <cell r="D43" t="str">
            <v>FOB</v>
          </cell>
        </row>
        <row r="44">
          <cell r="A44" t="str">
            <v>Kwangsung</v>
          </cell>
          <cell r="C44" t="str">
            <v>Busan</v>
          </cell>
          <cell r="D44" t="str">
            <v>FOB</v>
          </cell>
        </row>
        <row r="45">
          <cell r="A45" t="str">
            <v>Mahle donghyun</v>
          </cell>
          <cell r="C45" t="str">
            <v>Busan</v>
          </cell>
          <cell r="D45" t="str">
            <v>FOB</v>
          </cell>
        </row>
        <row r="46">
          <cell r="A46" t="str">
            <v>Mando Iksan</v>
          </cell>
          <cell r="B46" t="str">
            <v>GungSan / Gunsan</v>
          </cell>
          <cell r="C46" t="str">
            <v>Busan</v>
          </cell>
          <cell r="D46" t="str">
            <v>FCA</v>
          </cell>
        </row>
        <row r="47">
          <cell r="A47" t="str">
            <v>SH-BP(GEM PROJECT)</v>
          </cell>
          <cell r="B47" t="str">
            <v>GungSan / Gunsan</v>
          </cell>
          <cell r="C47" t="str">
            <v>Busan</v>
          </cell>
          <cell r="D47" t="str">
            <v>FCA</v>
          </cell>
        </row>
        <row r="48">
          <cell r="A48" t="str">
            <v>Mando Pyungtaek</v>
          </cell>
          <cell r="B48" t="str">
            <v>Pyeongtaek</v>
          </cell>
          <cell r="C48" t="str">
            <v>Busan</v>
          </cell>
          <cell r="D48" t="str">
            <v>FCA</v>
          </cell>
        </row>
        <row r="49">
          <cell r="A49" t="str">
            <v>Mando Wonju</v>
          </cell>
          <cell r="B49" t="str">
            <v>Jecheon</v>
          </cell>
          <cell r="C49" t="str">
            <v>Busan</v>
          </cell>
          <cell r="D49" t="str">
            <v>FCA</v>
          </cell>
        </row>
        <row r="50">
          <cell r="A50" t="str">
            <v>MID&amp;H</v>
          </cell>
          <cell r="C50" t="str">
            <v>Busan</v>
          </cell>
          <cell r="D50" t="str">
            <v>FOB</v>
          </cell>
        </row>
        <row r="51">
          <cell r="A51" t="str">
            <v>MS ELEMEC</v>
          </cell>
          <cell r="C51" t="str">
            <v>Busan</v>
          </cell>
          <cell r="D51" t="str">
            <v>FOB</v>
          </cell>
        </row>
        <row r="52">
          <cell r="A52" t="str">
            <v>Namyang NEXMO</v>
          </cell>
          <cell r="B52" t="str">
            <v>Ansan</v>
          </cell>
          <cell r="C52" t="str">
            <v>Busan</v>
          </cell>
          <cell r="D52" t="str">
            <v>FCA</v>
          </cell>
        </row>
        <row r="53">
          <cell r="A53" t="str">
            <v>Obara Korea</v>
          </cell>
          <cell r="C53" t="str">
            <v>Busan</v>
          </cell>
          <cell r="D53" t="str">
            <v>FOB</v>
          </cell>
        </row>
        <row r="54">
          <cell r="A54" t="str">
            <v>Polypia</v>
          </cell>
          <cell r="C54" t="str">
            <v>Busan</v>
          </cell>
        </row>
        <row r="55">
          <cell r="A55" t="str">
            <v>Pyeonghwa</v>
          </cell>
          <cell r="B55" t="str">
            <v>Seongju-gun / sungju</v>
          </cell>
          <cell r="C55" t="str">
            <v>Busan</v>
          </cell>
          <cell r="D55" t="str">
            <v>FCA</v>
          </cell>
        </row>
        <row r="56">
          <cell r="A56" t="str">
            <v>Robert Bosch</v>
          </cell>
          <cell r="C56" t="str">
            <v>Busan</v>
          </cell>
        </row>
        <row r="57">
          <cell r="A57" t="str">
            <v>LG Chem for UzDongYang</v>
          </cell>
          <cell r="C57" t="str">
            <v>Busan</v>
          </cell>
          <cell r="D57" t="str">
            <v>FOB</v>
          </cell>
        </row>
        <row r="58">
          <cell r="A58" t="str">
            <v>Robowel</v>
          </cell>
          <cell r="C58" t="str">
            <v>Busan</v>
          </cell>
          <cell r="D58" t="str">
            <v>FOB</v>
          </cell>
        </row>
        <row r="59">
          <cell r="A59" t="str">
            <v>GW International for UzKoram Asaka</v>
          </cell>
          <cell r="C59" t="str">
            <v>Busan</v>
          </cell>
          <cell r="D59" t="str">
            <v>FOB</v>
          </cell>
        </row>
        <row r="60">
          <cell r="A60" t="str">
            <v>GW International for UzKoram (FOB)</v>
          </cell>
          <cell r="C60" t="str">
            <v>Busan</v>
          </cell>
          <cell r="D60" t="str">
            <v>FOB</v>
          </cell>
        </row>
        <row r="61">
          <cell r="A61" t="str">
            <v>Youngpoong Global</v>
          </cell>
          <cell r="C61" t="str">
            <v>Busan</v>
          </cell>
          <cell r="D61" t="str">
            <v>FOB</v>
          </cell>
        </row>
        <row r="62">
          <cell r="A62" t="str">
            <v>SNT Motiv</v>
          </cell>
          <cell r="B62" t="str">
            <v>Busan</v>
          </cell>
          <cell r="C62" t="str">
            <v>Busan</v>
          </cell>
          <cell r="D62" t="str">
            <v>FCA</v>
          </cell>
        </row>
        <row r="63">
          <cell r="A63" t="str">
            <v>Saelim GMT</v>
          </cell>
          <cell r="C63" t="str">
            <v>Busan</v>
          </cell>
        </row>
        <row r="64">
          <cell r="A64" t="str">
            <v>Saeyoung Tech</v>
          </cell>
          <cell r="B64" t="str">
            <v>Pyeongtaek</v>
          </cell>
          <cell r="C64" t="str">
            <v>Busan</v>
          </cell>
          <cell r="D64" t="str">
            <v>FCA</v>
          </cell>
        </row>
        <row r="65">
          <cell r="A65" t="str">
            <v>Samshin</v>
          </cell>
          <cell r="B65" t="str">
            <v>Ansan</v>
          </cell>
          <cell r="C65" t="str">
            <v>Busan</v>
          </cell>
          <cell r="D65" t="str">
            <v>FCA</v>
          </cell>
        </row>
        <row r="66">
          <cell r="A66" t="str">
            <v>Samsong</v>
          </cell>
          <cell r="B66" t="str">
            <v>Changwon</v>
          </cell>
          <cell r="C66" t="str">
            <v>Busan</v>
          </cell>
          <cell r="D66" t="str">
            <v>FCA</v>
          </cell>
        </row>
        <row r="67">
          <cell r="A67" t="str">
            <v>Hankook Tire</v>
          </cell>
          <cell r="B67" t="str">
            <v>GungSan / Gunsan</v>
          </cell>
          <cell r="C67" t="str">
            <v>Busan</v>
          </cell>
          <cell r="D67" t="str">
            <v>FCA</v>
          </cell>
        </row>
        <row r="68">
          <cell r="A68" t="str">
            <v>Samwon Plastic</v>
          </cell>
          <cell r="B68" t="str">
            <v>Siheung</v>
          </cell>
          <cell r="C68" t="str">
            <v>Busan</v>
          </cell>
          <cell r="D68" t="str">
            <v>FCA</v>
          </cell>
        </row>
        <row r="69">
          <cell r="A69" t="str">
            <v>Schaeffler Ansan</v>
          </cell>
          <cell r="B69" t="str">
            <v>Ansan</v>
          </cell>
          <cell r="C69" t="str">
            <v>Busan</v>
          </cell>
          <cell r="D69" t="str">
            <v>FCA</v>
          </cell>
        </row>
        <row r="70">
          <cell r="A70" t="str">
            <v>Sehwa Automotive</v>
          </cell>
          <cell r="B70" t="str">
            <v>Incheon</v>
          </cell>
          <cell r="C70" t="str">
            <v>Busan</v>
          </cell>
          <cell r="D70" t="str">
            <v>FCA</v>
          </cell>
        </row>
        <row r="71">
          <cell r="A71" t="str">
            <v>Sewoong</v>
          </cell>
          <cell r="C71" t="str">
            <v>Busan</v>
          </cell>
        </row>
        <row r="72">
          <cell r="A72" t="str">
            <v>Shinhang</v>
          </cell>
          <cell r="C72" t="str">
            <v>Busan</v>
          </cell>
          <cell r="D72" t="str">
            <v>FOB</v>
          </cell>
        </row>
        <row r="73">
          <cell r="A73" t="str">
            <v>SK Lubricants</v>
          </cell>
          <cell r="C73" t="str">
            <v>Busan</v>
          </cell>
          <cell r="D73" t="str">
            <v>FOB</v>
          </cell>
        </row>
        <row r="74">
          <cell r="A74" t="str">
            <v>Sungwoo Hitech</v>
          </cell>
          <cell r="B74" t="str">
            <v>Busan</v>
          </cell>
          <cell r="C74" t="str">
            <v>Busan</v>
          </cell>
          <cell r="D74" t="str">
            <v>FCA</v>
          </cell>
        </row>
        <row r="75">
          <cell r="A75" t="str">
            <v>UHJINTECH</v>
          </cell>
          <cell r="C75" t="str">
            <v>Busan</v>
          </cell>
        </row>
        <row r="76">
          <cell r="A76" t="str">
            <v>Uzauto Korea</v>
          </cell>
          <cell r="B76" t="str">
            <v>Changwon</v>
          </cell>
          <cell r="C76" t="str">
            <v>Busan</v>
          </cell>
          <cell r="D76" t="str">
            <v>FOB</v>
          </cell>
        </row>
        <row r="77">
          <cell r="A77" t="str">
            <v>Win Trading</v>
          </cell>
          <cell r="C77" t="str">
            <v>Busan</v>
          </cell>
        </row>
        <row r="78">
          <cell r="A78" t="str">
            <v>Mobase</v>
          </cell>
          <cell r="B78" t="str">
            <v>Ansan</v>
          </cell>
          <cell r="C78" t="str">
            <v>Busan</v>
          </cell>
          <cell r="D78" t="str">
            <v>FCA</v>
          </cell>
        </row>
        <row r="79">
          <cell r="A79" t="str">
            <v>Youngjin E&amp;I</v>
          </cell>
          <cell r="C79" t="str">
            <v>Busan</v>
          </cell>
          <cell r="D79" t="str">
            <v>FOB</v>
          </cell>
        </row>
        <row r="80">
          <cell r="A80" t="str">
            <v>ZEEWOO TECH</v>
          </cell>
          <cell r="C80" t="str">
            <v>Busan</v>
          </cell>
          <cell r="D80" t="str">
            <v>FOB</v>
          </cell>
        </row>
        <row r="81">
          <cell r="A81" t="str">
            <v>HANSHIN TECH</v>
          </cell>
          <cell r="C81" t="str">
            <v>Busan</v>
          </cell>
          <cell r="D81" t="str">
            <v>FOB</v>
          </cell>
        </row>
        <row r="82">
          <cell r="A82" t="str">
            <v>EXQ</v>
          </cell>
          <cell r="C82" t="str">
            <v>Busan</v>
          </cell>
          <cell r="D82" t="str">
            <v>FOB</v>
          </cell>
        </row>
        <row r="83">
          <cell r="A83" t="str">
            <v>Hansung Industrial co.</v>
          </cell>
          <cell r="C83" t="str">
            <v>Busan</v>
          </cell>
          <cell r="D83" t="str">
            <v>FOB</v>
          </cell>
        </row>
        <row r="84">
          <cell r="A84" t="str">
            <v>Hanyang Precision</v>
          </cell>
          <cell r="B84" t="str">
            <v>Gimpo</v>
          </cell>
          <cell r="C84" t="str">
            <v>Busan</v>
          </cell>
          <cell r="D84" t="str">
            <v>FCA</v>
          </cell>
        </row>
        <row r="85">
          <cell r="A85" t="str">
            <v>Yucheon Engineering</v>
          </cell>
          <cell r="C85" t="str">
            <v>Busan</v>
          </cell>
          <cell r="D85" t="str">
            <v>FOB</v>
          </cell>
        </row>
        <row r="86">
          <cell r="A86" t="str">
            <v>Henkel</v>
          </cell>
          <cell r="B86" t="str">
            <v>Eumsung</v>
          </cell>
          <cell r="C86" t="str">
            <v>Busan</v>
          </cell>
          <cell r="D86" t="str">
            <v>FCA</v>
          </cell>
        </row>
        <row r="87">
          <cell r="A87" t="str">
            <v>HENKEL(GEM PROJECT)</v>
          </cell>
          <cell r="B87" t="str">
            <v>Eumsung</v>
          </cell>
          <cell r="C87" t="str">
            <v>Busan</v>
          </cell>
          <cell r="D87" t="str">
            <v>FCA</v>
          </cell>
        </row>
        <row r="88">
          <cell r="A88" t="str">
            <v>Daedong system</v>
          </cell>
          <cell r="B88" t="str">
            <v>Incheon</v>
          </cell>
          <cell r="C88" t="str">
            <v>Busan</v>
          </cell>
          <cell r="D88" t="str">
            <v>FCA</v>
          </cell>
        </row>
        <row r="89">
          <cell r="A89" t="str">
            <v>Hanval</v>
          </cell>
          <cell r="B89" t="str">
            <v>Daegu</v>
          </cell>
          <cell r="C89" t="str">
            <v>Busan</v>
          </cell>
          <cell r="D89" t="str">
            <v>FCA</v>
          </cell>
        </row>
        <row r="90">
          <cell r="A90" t="str">
            <v>Changjo</v>
          </cell>
          <cell r="C90" t="str">
            <v>Busan</v>
          </cell>
          <cell r="D90" t="str">
            <v>FOB</v>
          </cell>
        </row>
        <row r="91">
          <cell r="A91" t="str">
            <v>Unitech</v>
          </cell>
          <cell r="B91" t="str">
            <v>Ansan</v>
          </cell>
          <cell r="C91" t="str">
            <v>Busan</v>
          </cell>
          <cell r="D91" t="str">
            <v>FCA</v>
          </cell>
        </row>
        <row r="92">
          <cell r="A92" t="str">
            <v>Junga Precision</v>
          </cell>
          <cell r="B92" t="str">
            <v>Changwon</v>
          </cell>
          <cell r="C92" t="str">
            <v>Busan</v>
          </cell>
          <cell r="D92" t="str">
            <v>FCA</v>
          </cell>
        </row>
        <row r="93">
          <cell r="A93" t="str">
            <v>KYUNG-IN MJ SYSTEM</v>
          </cell>
          <cell r="C93" t="str">
            <v>Busan</v>
          </cell>
          <cell r="D93" t="str">
            <v>FOB</v>
          </cell>
        </row>
        <row r="94">
          <cell r="A94" t="str">
            <v>Darwon</v>
          </cell>
          <cell r="C94" t="str">
            <v>Busan</v>
          </cell>
          <cell r="D94" t="str">
            <v>FOB</v>
          </cell>
        </row>
        <row r="95">
          <cell r="A95" t="str">
            <v>Sewoong Machinery</v>
          </cell>
          <cell r="C95" t="str">
            <v>Busan</v>
          </cell>
          <cell r="D95" t="str">
            <v>FOB</v>
          </cell>
        </row>
        <row r="96">
          <cell r="A96" t="str">
            <v>LG Chem</v>
          </cell>
          <cell r="B96" t="str">
            <v>Gimpo</v>
          </cell>
          <cell r="C96" t="str">
            <v>Busan</v>
          </cell>
          <cell r="D96" t="str">
            <v>FCA</v>
          </cell>
        </row>
        <row r="97">
          <cell r="A97" t="str">
            <v>Dream Hitech</v>
          </cell>
          <cell r="C97" t="str">
            <v>Busan</v>
          </cell>
          <cell r="D97" t="str">
            <v>FOB</v>
          </cell>
        </row>
        <row r="98">
          <cell r="A98" t="str">
            <v>MITIO</v>
          </cell>
          <cell r="C98" t="str">
            <v>Busan</v>
          </cell>
          <cell r="D98" t="str">
            <v>FOB</v>
          </cell>
        </row>
        <row r="99">
          <cell r="A99" t="str">
            <v>Bando Cranes</v>
          </cell>
          <cell r="C99" t="str">
            <v>Busan</v>
          </cell>
          <cell r="D99" t="str">
            <v>FOB</v>
          </cell>
        </row>
        <row r="100">
          <cell r="A100" t="str">
            <v>Namyang Machinery</v>
          </cell>
          <cell r="C100" t="str">
            <v>Busan</v>
          </cell>
          <cell r="D100" t="str">
            <v>FOB</v>
          </cell>
        </row>
        <row r="101">
          <cell r="A101" t="str">
            <v>Hyundai Wia FOB</v>
          </cell>
          <cell r="C101" t="str">
            <v>Busan</v>
          </cell>
          <cell r="D101" t="str">
            <v>FOB</v>
          </cell>
        </row>
        <row r="102">
          <cell r="A102" t="str">
            <v>GMK</v>
          </cell>
          <cell r="B102" t="str">
            <v>Juan / Incheon</v>
          </cell>
          <cell r="C102" t="str">
            <v>Busan</v>
          </cell>
          <cell r="D102" t="str">
            <v>FCA</v>
          </cell>
        </row>
        <row r="103">
          <cell r="A103" t="str">
            <v>Woori tech</v>
          </cell>
          <cell r="C103" t="str">
            <v>Busan</v>
          </cell>
          <cell r="D103" t="str">
            <v>FOB</v>
          </cell>
        </row>
        <row r="104">
          <cell r="A104" t="str">
            <v>AnyTech</v>
          </cell>
          <cell r="C104" t="str">
            <v>Busan</v>
          </cell>
          <cell r="D104" t="str">
            <v>FOB</v>
          </cell>
        </row>
        <row r="105">
          <cell r="A105" t="str">
            <v>Erae cs</v>
          </cell>
          <cell r="C105" t="str">
            <v>Busan</v>
          </cell>
          <cell r="D105" t="str">
            <v>FOB</v>
          </cell>
        </row>
        <row r="106">
          <cell r="A106" t="str">
            <v>Taeyoung Chemical</v>
          </cell>
          <cell r="C106" t="str">
            <v>Busan</v>
          </cell>
          <cell r="D106" t="str">
            <v>FOB</v>
          </cell>
        </row>
        <row r="107">
          <cell r="A107" t="str">
            <v>CEPLA</v>
          </cell>
          <cell r="C107" t="str">
            <v>Busan</v>
          </cell>
          <cell r="D107" t="str">
            <v>FOB</v>
          </cell>
        </row>
        <row r="108">
          <cell r="A108" t="str">
            <v>SHP</v>
          </cell>
          <cell r="C108" t="str">
            <v>Busan</v>
          </cell>
          <cell r="D108" t="str">
            <v>FOB</v>
          </cell>
        </row>
        <row r="109">
          <cell r="A109" t="str">
            <v>LOTTE CHEMICAL</v>
          </cell>
          <cell r="C109" t="str">
            <v>Busan</v>
          </cell>
          <cell r="D109" t="str">
            <v>FOB</v>
          </cell>
        </row>
        <row r="110">
          <cell r="A110" t="str">
            <v>MANHO ROPE &amp; WIRE</v>
          </cell>
          <cell r="C110" t="str">
            <v>Busan</v>
          </cell>
          <cell r="D110" t="str">
            <v>FOB</v>
          </cell>
        </row>
        <row r="111">
          <cell r="A111" t="str">
            <v>WOOMIN ENG</v>
          </cell>
          <cell r="C111" t="str">
            <v>Busan</v>
          </cell>
          <cell r="D111" t="str">
            <v>FOB</v>
          </cell>
        </row>
        <row r="112">
          <cell r="A112" t="str">
            <v>ETMA</v>
          </cell>
          <cell r="C112" t="str">
            <v>Busan</v>
          </cell>
          <cell r="D112" t="str">
            <v>FOB</v>
          </cell>
        </row>
        <row r="113">
          <cell r="A113" t="str">
            <v>DASUNG</v>
          </cell>
          <cell r="C113" t="str">
            <v>Busan</v>
          </cell>
          <cell r="D113" t="str">
            <v>FOB</v>
          </cell>
        </row>
        <row r="114">
          <cell r="A114" t="str">
            <v>KTC</v>
          </cell>
          <cell r="B114" t="str">
            <v>Changwon</v>
          </cell>
          <cell r="C114" t="str">
            <v>Busan</v>
          </cell>
          <cell r="D114" t="str">
            <v>FCA</v>
          </cell>
        </row>
        <row r="115">
          <cell r="A115" t="str">
            <v xml:space="preserve">U-ONE Electronics </v>
          </cell>
          <cell r="C115" t="str">
            <v>Busan</v>
          </cell>
          <cell r="D115" t="str">
            <v>FOB</v>
          </cell>
        </row>
        <row r="116">
          <cell r="A116" t="str">
            <v>CHOWEL</v>
          </cell>
          <cell r="C116" t="str">
            <v>Busan</v>
          </cell>
          <cell r="D116" t="str">
            <v>FOB</v>
          </cell>
        </row>
        <row r="117">
          <cell r="A117" t="str">
            <v>JO EUN ELECTRONICS</v>
          </cell>
          <cell r="C117" t="str">
            <v>Busan</v>
          </cell>
          <cell r="D117" t="str">
            <v>FOB</v>
          </cell>
        </row>
        <row r="118">
          <cell r="A118" t="str">
            <v>MIJIN System</v>
          </cell>
          <cell r="C118" t="str">
            <v>Busan</v>
          </cell>
          <cell r="D118" t="str">
            <v>FOB</v>
          </cell>
        </row>
        <row r="119">
          <cell r="A119" t="str">
            <v>HANS</v>
          </cell>
          <cell r="C119" t="str">
            <v>Busan</v>
          </cell>
          <cell r="D119" t="str">
            <v>FOB</v>
          </cell>
        </row>
        <row r="120">
          <cell r="A120" t="str">
            <v>CHANGHWAN PRECISION TERMINAL</v>
          </cell>
          <cell r="C120" t="str">
            <v>Busan</v>
          </cell>
          <cell r="D120" t="str">
            <v>FOB</v>
          </cell>
        </row>
        <row r="121">
          <cell r="A121" t="str">
            <v>YJ CO.,LTD</v>
          </cell>
          <cell r="C121" t="str">
            <v>Busan</v>
          </cell>
          <cell r="D121" t="str">
            <v>FOB</v>
          </cell>
        </row>
        <row r="122">
          <cell r="A122" t="str">
            <v>Daewon Chemical by CREA</v>
          </cell>
          <cell r="B122" t="str">
            <v>Chunan</v>
          </cell>
          <cell r="C122" t="str">
            <v>Busan</v>
          </cell>
          <cell r="D122" t="str">
            <v>FCA</v>
          </cell>
        </row>
        <row r="123">
          <cell r="A123" t="str">
            <v>Sungwoo Hitech(UZSW)</v>
          </cell>
          <cell r="C123" t="str">
            <v>Busan</v>
          </cell>
          <cell r="D123" t="str">
            <v>FOB</v>
          </cell>
        </row>
        <row r="124">
          <cell r="A124" t="str">
            <v>GENON UzEraeAlternator</v>
          </cell>
          <cell r="C124" t="str">
            <v>Busan</v>
          </cell>
          <cell r="D124" t="str">
            <v>FOB</v>
          </cell>
        </row>
        <row r="125">
          <cell r="A125" t="str">
            <v>NAMBANG for UzAustem</v>
          </cell>
          <cell r="B125" t="str">
            <v>Pyeongtaek</v>
          </cell>
          <cell r="C125" t="str">
            <v>Busan</v>
          </cell>
          <cell r="D125" t="str">
            <v>FCA</v>
          </cell>
        </row>
        <row r="126">
          <cell r="A126" t="str">
            <v>Daehan Heating  for UzErae CC</v>
          </cell>
          <cell r="C126" t="str">
            <v>Busan</v>
          </cell>
          <cell r="D126" t="str">
            <v>FOB</v>
          </cell>
        </row>
        <row r="127">
          <cell r="A127" t="str">
            <v>BOKWANG</v>
          </cell>
          <cell r="C127" t="str">
            <v>Busan</v>
          </cell>
          <cell r="D127" t="str">
            <v>FCA</v>
          </cell>
        </row>
        <row r="128">
          <cell r="A128" t="str">
            <v>DK&amp;G</v>
          </cell>
          <cell r="C128" t="str">
            <v>Busan</v>
          </cell>
          <cell r="D128" t="str">
            <v>FOB</v>
          </cell>
        </row>
        <row r="129">
          <cell r="A129" t="str">
            <v>Iljin Global(Claim)</v>
          </cell>
          <cell r="C129" t="str">
            <v>Busan</v>
          </cell>
          <cell r="D129" t="str">
            <v>FOB</v>
          </cell>
        </row>
        <row r="130">
          <cell r="A130" t="str">
            <v>Hanshin Tech for UzChasys</v>
          </cell>
          <cell r="C130" t="str">
            <v>Busan</v>
          </cell>
          <cell r="D130" t="str">
            <v>FOB</v>
          </cell>
        </row>
        <row r="131">
          <cell r="A131" t="str">
            <v>Changhwan Precision Terminal for UzErae Cable</v>
          </cell>
          <cell r="C131" t="str">
            <v>Busan</v>
          </cell>
          <cell r="D131" t="str">
            <v>FOB</v>
          </cell>
        </row>
        <row r="132">
          <cell r="A132" t="str">
            <v xml:space="preserve">DAEYANG TECH CO., LTD. </v>
          </cell>
          <cell r="B132" t="str">
            <v>Hwasung</v>
          </cell>
          <cell r="C132" t="str">
            <v>Busan</v>
          </cell>
          <cell r="D132" t="str">
            <v>FCA</v>
          </cell>
        </row>
        <row r="133">
          <cell r="A133" t="str">
            <v>KoreaFA</v>
          </cell>
          <cell r="C133" t="str">
            <v>Busan</v>
          </cell>
          <cell r="D133" t="str">
            <v>FOB</v>
          </cell>
        </row>
        <row r="134">
          <cell r="A134" t="str">
            <v>CHO SUNG GI GONG for UzAustem</v>
          </cell>
          <cell r="C134" t="str">
            <v>Busan</v>
          </cell>
          <cell r="D134" t="str">
            <v>FOB</v>
          </cell>
        </row>
        <row r="135">
          <cell r="A135" t="str">
            <v>LK Co., Ltd</v>
          </cell>
          <cell r="C135" t="str">
            <v>Busan</v>
          </cell>
          <cell r="D135" t="str">
            <v>FOB</v>
          </cell>
        </row>
        <row r="136">
          <cell r="A136" t="str">
            <v>C&amp;H International</v>
          </cell>
          <cell r="C136" t="str">
            <v>Busan</v>
          </cell>
          <cell r="D136" t="str">
            <v>FOB</v>
          </cell>
        </row>
        <row r="137">
          <cell r="A137" t="str">
            <v>GATE</v>
          </cell>
          <cell r="C137" t="str">
            <v>Busan</v>
          </cell>
          <cell r="D137" t="str">
            <v>FOB</v>
          </cell>
        </row>
        <row r="138">
          <cell r="A138" t="str">
            <v>WOOIN</v>
          </cell>
          <cell r="C138" t="str">
            <v>Busan</v>
          </cell>
          <cell r="D138" t="str">
            <v>FOB</v>
          </cell>
        </row>
        <row r="139">
          <cell r="A139" t="str">
            <v>TOP Global</v>
          </cell>
          <cell r="C139" t="str">
            <v>Busan</v>
          </cell>
          <cell r="D139" t="str">
            <v>FOB</v>
          </cell>
        </row>
        <row r="140">
          <cell r="A140" t="str">
            <v>GNS SOLITECH</v>
          </cell>
          <cell r="B140" t="str">
            <v>Pyeongtaek</v>
          </cell>
          <cell r="C140" t="str">
            <v>Busan</v>
          </cell>
          <cell r="D140" t="str">
            <v>FCA</v>
          </cell>
        </row>
        <row r="141">
          <cell r="A141" t="str">
            <v>PACKARD KOREA INC. for UzEraecable</v>
          </cell>
          <cell r="C141" t="str">
            <v>Busan</v>
          </cell>
          <cell r="D141" t="str">
            <v>FOB</v>
          </cell>
        </row>
        <row r="142">
          <cell r="A142" t="str">
            <v>KBM for UzChasys</v>
          </cell>
          <cell r="C142" t="str">
            <v>Busan</v>
          </cell>
          <cell r="D142" t="str">
            <v>FOB</v>
          </cell>
        </row>
        <row r="143">
          <cell r="A143" t="str">
            <v xml:space="preserve">TOSYS </v>
          </cell>
          <cell r="C143" t="str">
            <v>Busan</v>
          </cell>
          <cell r="D143" t="str">
            <v>FOB</v>
          </cell>
        </row>
        <row r="144">
          <cell r="A144" t="str">
            <v>GENON for UzEraeAlternator(1)</v>
          </cell>
          <cell r="C144" t="str">
            <v>Busan</v>
          </cell>
          <cell r="D144" t="str">
            <v>FCA</v>
          </cell>
        </row>
        <row r="145">
          <cell r="A145" t="str">
            <v>KGHNC Uzauto Motors</v>
          </cell>
          <cell r="C145" t="str">
            <v>Busan</v>
          </cell>
          <cell r="D145" t="str">
            <v>FOB</v>
          </cell>
        </row>
        <row r="146">
          <cell r="A146" t="str">
            <v>Austem for UzAustem</v>
          </cell>
          <cell r="C146" t="str">
            <v>Busan</v>
          </cell>
          <cell r="D146" t="str">
            <v>FOB</v>
          </cell>
        </row>
        <row r="147">
          <cell r="A147" t="str">
            <v>KYUNG-IN MJ SYSTEM for UZSM</v>
          </cell>
          <cell r="C147" t="str">
            <v>Busan</v>
          </cell>
          <cell r="D147" t="str">
            <v>FOB</v>
          </cell>
        </row>
        <row r="148">
          <cell r="A148" t="str">
            <v>DAEHEUNG R&amp;T for UzAustem</v>
          </cell>
          <cell r="B148" t="str">
            <v>Changwon</v>
          </cell>
          <cell r="C148" t="str">
            <v>Busan</v>
          </cell>
          <cell r="D148" t="str">
            <v>FCA</v>
          </cell>
        </row>
        <row r="149">
          <cell r="A149" t="str">
            <v>C&amp;H International for UzDY</v>
          </cell>
          <cell r="C149" t="str">
            <v>Busan</v>
          </cell>
          <cell r="D149" t="str">
            <v>FOB</v>
          </cell>
        </row>
        <row r="150">
          <cell r="A150" t="str">
            <v>Youngshin Metall for UzAustem</v>
          </cell>
          <cell r="C150" t="str">
            <v>Busan</v>
          </cell>
          <cell r="D150" t="str">
            <v>FOB</v>
          </cell>
        </row>
        <row r="151">
          <cell r="A151" t="str">
            <v>Powertec for Avtocomponent</v>
          </cell>
          <cell r="C151" t="str">
            <v>Busan</v>
          </cell>
          <cell r="D151" t="str">
            <v>FCA</v>
          </cell>
        </row>
        <row r="152">
          <cell r="A152" t="str">
            <v>C&amp;H International for UzTH</v>
          </cell>
          <cell r="C152" t="str">
            <v>Busan</v>
          </cell>
          <cell r="D152" t="str">
            <v>FOB</v>
          </cell>
        </row>
        <row r="153">
          <cell r="A153" t="str">
            <v>Central for UzAustem</v>
          </cell>
          <cell r="C153" t="str">
            <v>Busan</v>
          </cell>
          <cell r="D153" t="str">
            <v>FOB</v>
          </cell>
        </row>
        <row r="154">
          <cell r="A154" t="str">
            <v>Woosung Electric</v>
          </cell>
          <cell r="C154" t="str">
            <v>Busan</v>
          </cell>
          <cell r="D154" t="str">
            <v>FOB</v>
          </cell>
        </row>
        <row r="155">
          <cell r="A155" t="str">
            <v xml:space="preserve">KSEC </v>
          </cell>
          <cell r="C155" t="str">
            <v>Busan</v>
          </cell>
          <cell r="D155" t="str">
            <v>FOB</v>
          </cell>
        </row>
        <row r="156">
          <cell r="A156" t="str">
            <v>Linix Global (Changjin)</v>
          </cell>
          <cell r="C156" t="str">
            <v>Busan</v>
          </cell>
          <cell r="D156" t="str">
            <v>FOB</v>
          </cell>
        </row>
        <row r="157">
          <cell r="A157" t="str">
            <v>LG for Uzminda</v>
          </cell>
          <cell r="C157" t="str">
            <v>Busan</v>
          </cell>
          <cell r="D157" t="str">
            <v>FOB</v>
          </cell>
        </row>
        <row r="158">
          <cell r="A158" t="str">
            <v>Wings Korea for UzChasys</v>
          </cell>
          <cell r="C158" t="str">
            <v>Busan</v>
          </cell>
          <cell r="D158" t="str">
            <v>FOB</v>
          </cell>
        </row>
        <row r="159">
          <cell r="A159" t="str">
            <v>Youngpoong Global  for “UzChasys”</v>
          </cell>
          <cell r="C159" t="str">
            <v>Busan</v>
          </cell>
          <cell r="D159" t="str">
            <v>FOB</v>
          </cell>
        </row>
        <row r="160">
          <cell r="A160" t="str">
            <v>Doowon for UzEraeCC</v>
          </cell>
          <cell r="C160" t="str">
            <v>Busan</v>
          </cell>
          <cell r="D160" t="str">
            <v>FOB</v>
          </cell>
        </row>
        <row r="161">
          <cell r="A161" t="str">
            <v>Sun Kwang for UzEraeCC</v>
          </cell>
          <cell r="C161" t="str">
            <v>Busan</v>
          </cell>
          <cell r="D161" t="str">
            <v>FOB</v>
          </cell>
        </row>
        <row r="162">
          <cell r="A162" t="str">
            <v>TOX Pressotechnik FOB</v>
          </cell>
          <cell r="C162" t="str">
            <v>Busan</v>
          </cell>
          <cell r="D162" t="str">
            <v>FOB</v>
          </cell>
        </row>
        <row r="163">
          <cell r="A163" t="str">
            <v>EnE International for “UzChasys”</v>
          </cell>
          <cell r="C163" t="str">
            <v>Busan</v>
          </cell>
          <cell r="D163" t="str">
            <v>FOB</v>
          </cell>
        </row>
        <row r="164">
          <cell r="A164" t="str">
            <v>DAEHEUNG R&amp;T for UzAustem (FOB Incoterms)</v>
          </cell>
          <cell r="C164" t="str">
            <v>Busan</v>
          </cell>
          <cell r="D164" t="str">
            <v>FOB</v>
          </cell>
        </row>
        <row r="165">
          <cell r="A165" t="str">
            <v>Auto Tech Global for UzKoje</v>
          </cell>
          <cell r="C165" t="str">
            <v>Busan</v>
          </cell>
          <cell r="D165" t="str">
            <v>FOB</v>
          </cell>
        </row>
        <row r="166">
          <cell r="A166" t="str">
            <v>DS-T for UzEraeCC</v>
          </cell>
          <cell r="C166" t="str">
            <v>Busan</v>
          </cell>
          <cell r="D166" t="str">
            <v>FOB</v>
          </cell>
        </row>
        <row r="167">
          <cell r="A167" t="str">
            <v>SIMPAC</v>
          </cell>
          <cell r="C167" t="str">
            <v>Busan</v>
          </cell>
          <cell r="D167" t="str">
            <v>FOB</v>
          </cell>
        </row>
        <row r="168">
          <cell r="A168" t="str">
            <v>YOUNGSIN METAL for Austem</v>
          </cell>
          <cell r="C168" t="str">
            <v>Busan</v>
          </cell>
          <cell r="D168" t="str">
            <v>FOB</v>
          </cell>
        </row>
        <row r="169">
          <cell r="A169" t="str">
            <v>C&amp;H International for UzDongYang</v>
          </cell>
          <cell r="C169" t="str">
            <v>Busan</v>
          </cell>
          <cell r="D169" t="str">
            <v>FOB</v>
          </cell>
        </row>
        <row r="170">
          <cell r="A170" t="str">
            <v>KYUNGKI INDUSTRIAL</v>
          </cell>
          <cell r="C170" t="str">
            <v>Busan</v>
          </cell>
          <cell r="D170" t="str">
            <v>FOB</v>
          </cell>
        </row>
        <row r="171">
          <cell r="A171" t="str">
            <v>SEWOONG GLOBAL</v>
          </cell>
          <cell r="C171" t="str">
            <v>Busan</v>
          </cell>
          <cell r="D171" t="str">
            <v>FOB</v>
          </cell>
        </row>
        <row r="172">
          <cell r="A172" t="str">
            <v>KYUNG-IN MJ SYSTEM for UzSaemung</v>
          </cell>
          <cell r="C172" t="str">
            <v>Busan</v>
          </cell>
          <cell r="D172" t="str">
            <v>FOB</v>
          </cell>
        </row>
        <row r="173">
          <cell r="A173" t="str">
            <v>KYUNG-IN MJ SYSTEM for UzAuto Motors</v>
          </cell>
          <cell r="C173" t="str">
            <v>Busan</v>
          </cell>
          <cell r="D173" t="str">
            <v>FOB</v>
          </cell>
        </row>
        <row r="174">
          <cell r="A174" t="str">
            <v>KOREA HINGE TECH</v>
          </cell>
          <cell r="C174" t="str">
            <v>Busan</v>
          </cell>
          <cell r="D174" t="str">
            <v>FOB</v>
          </cell>
        </row>
        <row r="175">
          <cell r="A175" t="str">
            <v>KNG Steel for UzDongwon</v>
          </cell>
          <cell r="C175" t="str">
            <v>Busan</v>
          </cell>
          <cell r="D175" t="str">
            <v>FOB</v>
          </cell>
        </row>
        <row r="176">
          <cell r="A176" t="str">
            <v>HYDROSTAR for UzAustem</v>
          </cell>
          <cell r="C176" t="str">
            <v>Busan</v>
          </cell>
          <cell r="D176" t="str">
            <v>FOB</v>
          </cell>
        </row>
        <row r="177">
          <cell r="A177" t="str">
            <v>TS Metal for UzDongwon</v>
          </cell>
          <cell r="C177" t="str">
            <v>Busan</v>
          </cell>
          <cell r="D177" t="str">
            <v>FOB</v>
          </cell>
        </row>
        <row r="178">
          <cell r="A178" t="str">
            <v>KYUNG-IN MJ SYSTEM for UzSungwoo</v>
          </cell>
          <cell r="C178" t="str">
            <v>Busan</v>
          </cell>
          <cell r="D178" t="str">
            <v>FOB</v>
          </cell>
        </row>
        <row r="179">
          <cell r="A179" t="str">
            <v>Daekie for UzEraeCC</v>
          </cell>
          <cell r="C179" t="str">
            <v>Busan</v>
          </cell>
          <cell r="D179" t="str">
            <v>FOB</v>
          </cell>
        </row>
        <row r="180">
          <cell r="A180" t="str">
            <v>KISWEL for Avtokomponent</v>
          </cell>
          <cell r="C180" t="str">
            <v>Busan</v>
          </cell>
          <cell r="D180" t="str">
            <v>FOB</v>
          </cell>
        </row>
        <row r="181">
          <cell r="A181" t="str">
            <v>Bando Bearing</v>
          </cell>
          <cell r="C181" t="str">
            <v>Busan</v>
          </cell>
          <cell r="D181" t="str">
            <v>FOB</v>
          </cell>
        </row>
        <row r="182">
          <cell r="A182" t="str">
            <v>YSW for UzDongwon</v>
          </cell>
          <cell r="C182" t="str">
            <v>Busan</v>
          </cell>
          <cell r="D182" t="str">
            <v>FOB</v>
          </cell>
        </row>
        <row r="183">
          <cell r="A183" t="str">
            <v>Taesung Metal for Uzdongwon</v>
          </cell>
          <cell r="C183" t="str">
            <v>Busan</v>
          </cell>
          <cell r="D183" t="str">
            <v>FOB</v>
          </cell>
        </row>
        <row r="184">
          <cell r="A184" t="str">
            <v>GEM CONSOL AIR</v>
          </cell>
          <cell r="C184" t="str">
            <v>Busan</v>
          </cell>
          <cell r="D184" t="str">
            <v>FOB</v>
          </cell>
        </row>
        <row r="185">
          <cell r="A185" t="str">
            <v>SEOLIM TRADING for UZDW</v>
          </cell>
          <cell r="C185" t="str">
            <v>Busan</v>
          </cell>
          <cell r="D185" t="str">
            <v>FOB</v>
          </cell>
        </row>
        <row r="186">
          <cell r="A186" t="str">
            <v>Changhwan Precision Terminal Co.
 for UzErae Cable</v>
          </cell>
          <cell r="C186" t="str">
            <v>Busan</v>
          </cell>
          <cell r="D186" t="str">
            <v>FOB</v>
          </cell>
        </row>
        <row r="187">
          <cell r="A187" t="str">
            <v>Wintec Korea for UzEraeCC</v>
          </cell>
          <cell r="C187" t="str">
            <v>Busan</v>
          </cell>
          <cell r="D187" t="str">
            <v>FOB</v>
          </cell>
        </row>
        <row r="188">
          <cell r="A188" t="str">
            <v>YSW for UzSungwoo</v>
          </cell>
          <cell r="C188" t="str">
            <v>Busan</v>
          </cell>
          <cell r="D188" t="str">
            <v>FOB</v>
          </cell>
        </row>
        <row r="189">
          <cell r="A189" t="str">
            <v>EnE International for UzKoram</v>
          </cell>
          <cell r="C189" t="str">
            <v>Busan</v>
          </cell>
          <cell r="D189" t="str">
            <v>FOB</v>
          </cell>
        </row>
        <row r="190">
          <cell r="A190" t="str">
            <v>JT Fasteners</v>
          </cell>
          <cell r="C190" t="str">
            <v>Busan</v>
          </cell>
          <cell r="D190" t="str">
            <v>FCA</v>
          </cell>
        </row>
        <row r="191">
          <cell r="A191" t="str">
            <v>Hankook Tire</v>
          </cell>
          <cell r="B191" t="str">
            <v>GungSan / Gunsan</v>
          </cell>
          <cell r="C191" t="str">
            <v>Busan</v>
          </cell>
          <cell r="D191" t="str">
            <v>FCA</v>
          </cell>
        </row>
        <row r="192">
          <cell r="A192" t="str">
            <v>Youngshin Metal for UzAustem</v>
          </cell>
          <cell r="B192" t="str">
            <v>Pyeongtaek</v>
          </cell>
          <cell r="C192" t="str">
            <v>Busan</v>
          </cell>
          <cell r="D192" t="str">
            <v>FCA</v>
          </cell>
        </row>
        <row r="193">
          <cell r="A193" t="str">
            <v>HI-TECH RESISTORS</v>
          </cell>
          <cell r="C193" t="str">
            <v>Busan</v>
          </cell>
          <cell r="D193" t="str">
            <v>FOB</v>
          </cell>
        </row>
        <row r="194">
          <cell r="A194" t="str">
            <v>Taeyang Metal</v>
          </cell>
          <cell r="B194" t="str">
            <v>Ansan</v>
          </cell>
          <cell r="C194" t="str">
            <v>Busan</v>
          </cell>
          <cell r="D194" t="str">
            <v>FCA</v>
          </cell>
        </row>
        <row r="195">
          <cell r="A195" t="str">
            <v>YJ UzEraeCable</v>
          </cell>
          <cell r="C195" t="str">
            <v>Busan</v>
          </cell>
          <cell r="D195" t="str">
            <v>FOB</v>
          </cell>
        </row>
        <row r="196">
          <cell r="A196" t="str">
            <v>YSW for Austem</v>
          </cell>
          <cell r="C196" t="str">
            <v>Busan</v>
          </cell>
          <cell r="D196" t="str">
            <v>FOB</v>
          </cell>
        </row>
        <row r="197">
          <cell r="A197" t="str">
            <v>DMC(NCV)</v>
          </cell>
          <cell r="C197" t="str">
            <v>Busan</v>
          </cell>
          <cell r="D197" t="str">
            <v>FOB</v>
          </cell>
        </row>
        <row r="198">
          <cell r="A198" t="str">
            <v>K&amp;K Korea for UzKoje JV</v>
          </cell>
          <cell r="B198" t="str">
            <v>Juan / Incheon</v>
          </cell>
          <cell r="C198" t="str">
            <v>Busan</v>
          </cell>
          <cell r="D198" t="str">
            <v>FCA</v>
          </cell>
        </row>
        <row r="199">
          <cell r="A199" t="str">
            <v>SAMJINJEONGGONG (GEM Project)</v>
          </cell>
          <cell r="B199" t="str">
            <v>Yangsan</v>
          </cell>
          <cell r="C199" t="str">
            <v>Busan</v>
          </cell>
          <cell r="D199" t="str">
            <v>FCA</v>
          </cell>
        </row>
        <row r="200">
          <cell r="A200" t="str">
            <v>Punkang (GEM Project)</v>
          </cell>
          <cell r="B200" t="str">
            <v>Hwasung</v>
          </cell>
          <cell r="C200" t="str">
            <v>Busan</v>
          </cell>
          <cell r="D200" t="str">
            <v>FCA</v>
          </cell>
        </row>
        <row r="201">
          <cell r="A201" t="str">
            <v>Samwon (GEM Project)</v>
          </cell>
          <cell r="B201" t="str">
            <v>Changwon</v>
          </cell>
          <cell r="C201" t="str">
            <v>Busan</v>
          </cell>
          <cell r="D201" t="str">
            <v>FCA</v>
          </cell>
        </row>
        <row r="202">
          <cell r="A202" t="str">
            <v>Samwon (GEM Project)</v>
          </cell>
          <cell r="B202" t="str">
            <v>Changwon</v>
          </cell>
          <cell r="C202" t="str">
            <v>Busan</v>
          </cell>
          <cell r="D202" t="str">
            <v>FCA</v>
          </cell>
        </row>
        <row r="203">
          <cell r="A203" t="str">
            <v>KYUNGMIN (GEM Project)</v>
          </cell>
          <cell r="B203" t="str">
            <v>Hwasung</v>
          </cell>
          <cell r="C203" t="str">
            <v>Busan</v>
          </cell>
          <cell r="D203" t="str">
            <v>FCA</v>
          </cell>
        </row>
        <row r="204">
          <cell r="A204" t="str">
            <v>Youngshin (GEM Project)</v>
          </cell>
          <cell r="B204" t="str">
            <v>Pyeongtaek</v>
          </cell>
          <cell r="C204" t="str">
            <v>Busan</v>
          </cell>
          <cell r="D204" t="str">
            <v>FCA</v>
          </cell>
        </row>
        <row r="205">
          <cell r="A205" t="str">
            <v>DMC (GEM Project)</v>
          </cell>
          <cell r="B205" t="str">
            <v>Waeguan</v>
          </cell>
          <cell r="C205" t="str">
            <v>Busan</v>
          </cell>
          <cell r="D205" t="str">
            <v>FCA</v>
          </cell>
        </row>
        <row r="206">
          <cell r="A206" t="str">
            <v>DMC (GEM Project)</v>
          </cell>
          <cell r="B206" t="str">
            <v>Waeguan</v>
          </cell>
          <cell r="C206" t="str">
            <v>Busan</v>
          </cell>
          <cell r="D206" t="str">
            <v>FCA</v>
          </cell>
        </row>
        <row r="207">
          <cell r="A207" t="str">
            <v>ITW AOC (GEM Project)</v>
          </cell>
          <cell r="B207" t="str">
            <v>Hwasung</v>
          </cell>
          <cell r="C207" t="str">
            <v>Busan</v>
          </cell>
          <cell r="D207" t="str">
            <v>FCA</v>
          </cell>
        </row>
        <row r="208">
          <cell r="A208" t="str">
            <v>ITW AOC (GEM Project)</v>
          </cell>
          <cell r="B208" t="str">
            <v>Hwasung</v>
          </cell>
          <cell r="C208" t="str">
            <v>Busan</v>
          </cell>
          <cell r="D208" t="str">
            <v>FCA</v>
          </cell>
        </row>
        <row r="209">
          <cell r="A209" t="str">
            <v>Chungwoo (GEM Project)</v>
          </cell>
          <cell r="B209" t="str">
            <v>Gimpo</v>
          </cell>
          <cell r="C209" t="str">
            <v>Busan</v>
          </cell>
          <cell r="D209" t="str">
            <v>FCA</v>
          </cell>
        </row>
        <row r="210">
          <cell r="A210" t="str">
            <v>Sunil Dyfas (GEM Project)</v>
          </cell>
          <cell r="B210" t="str">
            <v>Pyeongtaek</v>
          </cell>
          <cell r="C210" t="str">
            <v>Busan</v>
          </cell>
          <cell r="D210" t="str">
            <v>FCA</v>
          </cell>
        </row>
        <row r="211">
          <cell r="A211" t="str">
            <v>CheongHa (GEM Project)</v>
          </cell>
          <cell r="B211" t="str">
            <v>Pyeongtaek</v>
          </cell>
          <cell r="C211" t="str">
            <v>Busan</v>
          </cell>
          <cell r="D211" t="str">
            <v>FCA</v>
          </cell>
        </row>
        <row r="212">
          <cell r="A212" t="str">
            <v>DAEKIE EST (GEM Project)</v>
          </cell>
          <cell r="B212" t="str">
            <v>Ansan</v>
          </cell>
          <cell r="C212" t="str">
            <v>Busan</v>
          </cell>
          <cell r="D212" t="str">
            <v>FCA</v>
          </cell>
        </row>
        <row r="213">
          <cell r="A213" t="str">
            <v>DAEKIE EST (GEM Project)</v>
          </cell>
          <cell r="B213" t="str">
            <v>Ansan</v>
          </cell>
          <cell r="C213" t="str">
            <v>Busan</v>
          </cell>
          <cell r="D213" t="str">
            <v>FCA</v>
          </cell>
        </row>
        <row r="214">
          <cell r="A214" t="str">
            <v>YooilSYS (GEM Project)</v>
          </cell>
          <cell r="B214" t="str">
            <v>Siheung</v>
          </cell>
          <cell r="C214" t="str">
            <v>Busan</v>
          </cell>
          <cell r="D214" t="str">
            <v>FCA</v>
          </cell>
        </row>
        <row r="215">
          <cell r="A215" t="str">
            <v>Changwon MC  (GEM Project)</v>
          </cell>
          <cell r="B215" t="str">
            <v>Juan / Incheon</v>
          </cell>
          <cell r="C215" t="str">
            <v>Busan</v>
          </cell>
          <cell r="D215" t="str">
            <v>FCA</v>
          </cell>
        </row>
        <row r="216">
          <cell r="A216" t="str">
            <v>Pyeonghwa (GEM Project)</v>
          </cell>
          <cell r="B216" t="str">
            <v>Daegu</v>
          </cell>
          <cell r="C216" t="str">
            <v>Busan</v>
          </cell>
          <cell r="D216" t="str">
            <v>FCA</v>
          </cell>
        </row>
        <row r="217">
          <cell r="A217" t="str">
            <v>KYUNGMIN (GEM Project)</v>
          </cell>
          <cell r="B217" t="str">
            <v>Hwasung</v>
          </cell>
          <cell r="C217" t="str">
            <v>Busan</v>
          </cell>
          <cell r="D217" t="str">
            <v>FCA</v>
          </cell>
        </row>
        <row r="218">
          <cell r="A218" t="str">
            <v>Youngshin (GEM Project)</v>
          </cell>
          <cell r="B218" t="str">
            <v>Pyeongtaek</v>
          </cell>
          <cell r="C218" t="str">
            <v>Busan</v>
          </cell>
          <cell r="D218" t="str">
            <v>FCA</v>
          </cell>
        </row>
        <row r="219">
          <cell r="A219" t="str">
            <v>Punkang (GEM Project)</v>
          </cell>
          <cell r="B219" t="str">
            <v>Hwasung</v>
          </cell>
          <cell r="C219" t="str">
            <v>Busan</v>
          </cell>
          <cell r="D219" t="str">
            <v>FCA</v>
          </cell>
        </row>
        <row r="220">
          <cell r="A220" t="str">
            <v>SAMJINJEONGGONG (GEM Project)</v>
          </cell>
          <cell r="B220" t="str">
            <v>Yangsan</v>
          </cell>
          <cell r="C220" t="str">
            <v>Busan</v>
          </cell>
          <cell r="D220" t="str">
            <v>FCA</v>
          </cell>
        </row>
        <row r="221">
          <cell r="A221" t="str">
            <v>SAMJINJEONGGONG (GEM Project)</v>
          </cell>
          <cell r="B221" t="str">
            <v>Yangsan</v>
          </cell>
          <cell r="C221" t="str">
            <v>Busan</v>
          </cell>
          <cell r="D221" t="str">
            <v>FCA</v>
          </cell>
        </row>
        <row r="222">
          <cell r="A222" t="str">
            <v>Samwon (GEM Project)</v>
          </cell>
          <cell r="B222" t="str">
            <v>Pyeongtaek</v>
          </cell>
          <cell r="C222" t="str">
            <v>Busan</v>
          </cell>
          <cell r="D222" t="str">
            <v>FCA</v>
          </cell>
        </row>
        <row r="223">
          <cell r="A223" t="str">
            <v>Samwon (GEM Project)</v>
          </cell>
          <cell r="B223" t="str">
            <v>Pyeongtaek</v>
          </cell>
          <cell r="C223" t="str">
            <v>Busan</v>
          </cell>
          <cell r="D223" t="str">
            <v>FCA</v>
          </cell>
        </row>
        <row r="224">
          <cell r="A224" t="str">
            <v>Chungwoo (GEM Project)</v>
          </cell>
          <cell r="B224" t="str">
            <v>Gimpo</v>
          </cell>
          <cell r="C224" t="str">
            <v>Busan</v>
          </cell>
          <cell r="D224" t="str">
            <v>FCA</v>
          </cell>
        </row>
        <row r="225">
          <cell r="A225" t="str">
            <v>NIFCO KOREA (GEM Project)</v>
          </cell>
          <cell r="B225" t="str">
            <v>Pyeongtaek</v>
          </cell>
          <cell r="C225" t="str">
            <v>Busan</v>
          </cell>
          <cell r="D225" t="str">
            <v>FCA</v>
          </cell>
        </row>
        <row r="226">
          <cell r="A226" t="str">
            <v>KDS (GEM Project)</v>
          </cell>
          <cell r="B226" t="str">
            <v>Kyungsan</v>
          </cell>
          <cell r="C226" t="str">
            <v>Busan</v>
          </cell>
          <cell r="D226" t="str">
            <v>FCA</v>
          </cell>
        </row>
        <row r="227">
          <cell r="A227" t="str">
            <v>Iljin Global(GEM PROJECT)</v>
          </cell>
          <cell r="B227" t="str">
            <v>Jecheon</v>
          </cell>
          <cell r="C227" t="str">
            <v>Busan</v>
          </cell>
          <cell r="D227" t="str">
            <v>FCA</v>
          </cell>
        </row>
        <row r="228">
          <cell r="A228" t="str">
            <v>CheongHa(GEM PROJECT)</v>
          </cell>
          <cell r="B228" t="str">
            <v>Changwon</v>
          </cell>
          <cell r="C228" t="str">
            <v>Busan</v>
          </cell>
          <cell r="D228" t="str">
            <v>FCA</v>
          </cell>
        </row>
        <row r="229">
          <cell r="A229" t="str">
            <v>Chungwoo(GEM PROJECT)</v>
          </cell>
          <cell r="B229" t="str">
            <v>Gimpo</v>
          </cell>
          <cell r="C229" t="str">
            <v>Busan</v>
          </cell>
          <cell r="D229" t="str">
            <v>FCA</v>
          </cell>
        </row>
        <row r="230">
          <cell r="A230" t="str">
            <v>ITW AOC(GEM PROJECT)</v>
          </cell>
          <cell r="B230" t="str">
            <v>Hwasung</v>
          </cell>
          <cell r="C230" t="str">
            <v>Busan</v>
          </cell>
          <cell r="D230" t="str">
            <v>FCA</v>
          </cell>
        </row>
        <row r="231">
          <cell r="A231" t="str">
            <v>Pyeonghwa(GEM PROJECT)</v>
          </cell>
          <cell r="B231" t="str">
            <v>Daegu</v>
          </cell>
          <cell r="C231" t="str">
            <v>Busan</v>
          </cell>
          <cell r="D231" t="str">
            <v>FCA</v>
          </cell>
        </row>
        <row r="232">
          <cell r="A232" t="str">
            <v>YOUNGSIN METAL(GEM PROJECT)</v>
          </cell>
          <cell r="B232" t="str">
            <v>Pyeongtaek</v>
          </cell>
          <cell r="C232" t="str">
            <v>Busan</v>
          </cell>
          <cell r="D232" t="str">
            <v>FCA</v>
          </cell>
        </row>
        <row r="233">
          <cell r="A233" t="str">
            <v>CHO SUNG GI GONG for UzSungwoo</v>
          </cell>
          <cell r="C233" t="str">
            <v>Busan</v>
          </cell>
          <cell r="D233" t="str">
            <v>FOB</v>
          </cell>
        </row>
        <row r="234">
          <cell r="A234" t="str">
            <v>KYUNGMIN(GEM PROJECT)</v>
          </cell>
          <cell r="B234" t="str">
            <v>Hwasung</v>
          </cell>
          <cell r="C234" t="str">
            <v>Busan</v>
          </cell>
          <cell r="D234" t="str">
            <v>FCA</v>
          </cell>
        </row>
        <row r="235">
          <cell r="A235" t="str">
            <v>Punkang(GEM PROJECT)</v>
          </cell>
          <cell r="B235" t="str">
            <v>Hwasung</v>
          </cell>
          <cell r="C235" t="str">
            <v>Busan</v>
          </cell>
          <cell r="D235" t="str">
            <v>FCA</v>
          </cell>
        </row>
        <row r="236">
          <cell r="A236" t="str">
            <v>DMC(GEM PROJECT)</v>
          </cell>
          <cell r="B236" t="str">
            <v>Waeguan</v>
          </cell>
          <cell r="C236" t="str">
            <v>Busan</v>
          </cell>
          <cell r="D236" t="str">
            <v>FCA</v>
          </cell>
        </row>
        <row r="237">
          <cell r="A237" t="str">
            <v>YooilSYS(GEM PROJECT)</v>
          </cell>
          <cell r="B237" t="str">
            <v>Siheung</v>
          </cell>
          <cell r="C237" t="str">
            <v>Busan</v>
          </cell>
          <cell r="D237" t="str">
            <v>FCA</v>
          </cell>
        </row>
        <row r="238">
          <cell r="A238" t="str">
            <v>Samwon(GEM PROJECT)</v>
          </cell>
          <cell r="B238" t="str">
            <v>Changwon</v>
          </cell>
          <cell r="C238" t="str">
            <v>Busan</v>
          </cell>
          <cell r="D238" t="str">
            <v>FCA</v>
          </cell>
        </row>
        <row r="239">
          <cell r="A239" t="str">
            <v>ITW Korea(GEM PROJECT)</v>
          </cell>
          <cell r="B239" t="str">
            <v>Incheon</v>
          </cell>
          <cell r="C239" t="str">
            <v>Busan</v>
          </cell>
          <cell r="D239" t="str">
            <v>FCA</v>
          </cell>
        </row>
        <row r="240">
          <cell r="A240" t="str">
            <v>Taeyang(GEM PROJECT)</v>
          </cell>
          <cell r="B240" t="str">
            <v>Ansan</v>
          </cell>
          <cell r="C240" t="str">
            <v>Busan</v>
          </cell>
          <cell r="D240" t="str">
            <v>FCA</v>
          </cell>
        </row>
        <row r="241">
          <cell r="A241" t="str">
            <v>Daewonkangup Khorezm (DWKU)</v>
          </cell>
          <cell r="B241" t="str">
            <v>GungSan / Gunsan</v>
          </cell>
          <cell r="C241" t="str">
            <v>Busan</v>
          </cell>
          <cell r="D241" t="str">
            <v>FCA</v>
          </cell>
        </row>
        <row r="242">
          <cell r="A242" t="str">
            <v>KDS(GEM PROJECT)</v>
          </cell>
          <cell r="B242" t="str">
            <v>Kyungsan</v>
          </cell>
          <cell r="C242" t="str">
            <v>Busan</v>
          </cell>
          <cell r="D242" t="str">
            <v>FCA</v>
          </cell>
        </row>
        <row r="243">
          <cell r="A243" t="str">
            <v>SAMJINJEONGGONG(GEM PROJECT)</v>
          </cell>
          <cell r="B243" t="str">
            <v>Chunan</v>
          </cell>
          <cell r="C243" t="str">
            <v>Busan</v>
          </cell>
          <cell r="D243" t="str">
            <v>FCA</v>
          </cell>
        </row>
        <row r="244">
          <cell r="A244" t="str">
            <v>NIFCO KOREA(GEM PROJECT)</v>
          </cell>
          <cell r="B244" t="str">
            <v>Chunan</v>
          </cell>
          <cell r="C244" t="str">
            <v>Busan</v>
          </cell>
          <cell r="D244" t="str">
            <v>FCA</v>
          </cell>
        </row>
        <row r="245">
          <cell r="A245" t="str">
            <v>DAEKIE EST(GEM PROJECT)</v>
          </cell>
          <cell r="B245" t="str">
            <v>Ansan</v>
          </cell>
          <cell r="C245" t="str">
            <v>Busan</v>
          </cell>
          <cell r="D245" t="str">
            <v>FCA</v>
          </cell>
        </row>
        <row r="246">
          <cell r="A246" t="str">
            <v>InFasTech(GEM PROJECT)</v>
          </cell>
          <cell r="B246" t="str">
            <v>GungSan / Gunsan</v>
          </cell>
          <cell r="C246" t="str">
            <v>Busan</v>
          </cell>
          <cell r="D246" t="str">
            <v>FCA</v>
          </cell>
        </row>
        <row r="247">
          <cell r="A247" t="str">
            <v>Sunil Dyfas(GEM PROJECT)</v>
          </cell>
          <cell r="B247" t="str">
            <v>Chunan</v>
          </cell>
          <cell r="C247" t="str">
            <v>Busan</v>
          </cell>
          <cell r="D247" t="str">
            <v>FCA</v>
          </cell>
        </row>
        <row r="248">
          <cell r="A248" t="str">
            <v>LG Electric(GEM Project)</v>
          </cell>
          <cell r="B248" t="str">
            <v>Gimpo</v>
          </cell>
          <cell r="C248" t="str">
            <v>Busan</v>
          </cell>
          <cell r="D248" t="str">
            <v>FCA</v>
          </cell>
        </row>
        <row r="249">
          <cell r="A249" t="str">
            <v>Samshin(GEM Project)</v>
          </cell>
          <cell r="B249" t="str">
            <v>Ansan</v>
          </cell>
          <cell r="C249" t="str">
            <v>Busan</v>
          </cell>
          <cell r="D249" t="str">
            <v>FCA</v>
          </cell>
        </row>
        <row r="250">
          <cell r="A250" t="str">
            <v>TESA TAPE KOREA(GEM Project)</v>
          </cell>
          <cell r="C250" t="str">
            <v>Busan</v>
          </cell>
          <cell r="D250" t="str">
            <v>FCA</v>
          </cell>
        </row>
        <row r="251">
          <cell r="A251" t="str">
            <v>Jung Kwang for UzEraeCC</v>
          </cell>
          <cell r="C251" t="str">
            <v>Busan</v>
          </cell>
          <cell r="D251" t="str">
            <v>FOB</v>
          </cell>
        </row>
        <row r="252">
          <cell r="A252" t="str">
            <v>Sungwoo Hitech for UZSM</v>
          </cell>
          <cell r="B252" t="str">
            <v>Busan</v>
          </cell>
          <cell r="C252" t="str">
            <v>Busan</v>
          </cell>
          <cell r="D252" t="str">
            <v>FCA</v>
          </cell>
        </row>
        <row r="253">
          <cell r="A253" t="str">
            <v>HI-TECH RESISTORS PVT</v>
          </cell>
          <cell r="C253" t="str">
            <v>Busan</v>
          </cell>
          <cell r="D253" t="str">
            <v>FOB</v>
          </cell>
        </row>
        <row r="254">
          <cell r="A254" t="str">
            <v>Iljin Global NCV</v>
          </cell>
          <cell r="C254" t="str">
            <v>Busan</v>
          </cell>
          <cell r="D254" t="str">
            <v>FOB</v>
          </cell>
        </row>
        <row r="255">
          <cell r="A255" t="str">
            <v>TAESUNG METAL</v>
          </cell>
          <cell r="C255" t="str">
            <v>Busan</v>
          </cell>
          <cell r="D255" t="str">
            <v>FOB</v>
          </cell>
        </row>
        <row r="256">
          <cell r="A256" t="str">
            <v>Daewon Chemical by CREA NCV</v>
          </cell>
          <cell r="C256" t="str">
            <v>Busan</v>
          </cell>
          <cell r="D256" t="str">
            <v>FOB</v>
          </cell>
        </row>
        <row r="257">
          <cell r="A257" t="str">
            <v>SEJONG TTM for UzSungwoo</v>
          </cell>
          <cell r="C257" t="str">
            <v>Busan</v>
          </cell>
          <cell r="D257" t="str">
            <v>FOB</v>
          </cell>
        </row>
        <row r="258">
          <cell r="A258" t="str">
            <v>Sungwoo Hitech for UzSungwoo</v>
          </cell>
          <cell r="C258" t="str">
            <v>Busan</v>
          </cell>
          <cell r="D258" t="str">
            <v>FOB</v>
          </cell>
        </row>
        <row r="259">
          <cell r="A259" t="str">
            <v>KYUNGKI INDUSTRIAL CO.,LTD</v>
          </cell>
          <cell r="C259" t="str">
            <v>Busan</v>
          </cell>
          <cell r="D259" t="str">
            <v>FOB</v>
          </cell>
        </row>
        <row r="260">
          <cell r="A260" t="str">
            <v>FST</v>
          </cell>
          <cell r="B260" t="str">
            <v>Eumsung</v>
          </cell>
          <cell r="C260" t="str">
            <v>Busan</v>
          </cell>
          <cell r="D260" t="str">
            <v>FCA</v>
          </cell>
        </row>
        <row r="261">
          <cell r="A261" t="str">
            <v>INTECH GROUP for UZSM</v>
          </cell>
          <cell r="C261" t="str">
            <v>Busan</v>
          </cell>
          <cell r="D261" t="str">
            <v>FOB</v>
          </cell>
        </row>
        <row r="262">
          <cell r="A262" t="str">
            <v>DAEKIE EST for UzKoram</v>
          </cell>
          <cell r="C262" t="str">
            <v>Busan</v>
          </cell>
          <cell r="D262" t="str">
            <v>FOB</v>
          </cell>
        </row>
        <row r="263">
          <cell r="A263" t="str">
            <v>JINSOL INDUSTRY for UZTH</v>
          </cell>
          <cell r="B263" t="str">
            <v>Incheon</v>
          </cell>
          <cell r="C263" t="str">
            <v>Busan</v>
          </cell>
          <cell r="D263" t="str">
            <v>FCA</v>
          </cell>
        </row>
        <row r="264">
          <cell r="A264" t="str">
            <v>Youngshin Metall for UzAustem(1)</v>
          </cell>
          <cell r="B264" t="str">
            <v>Pyeongtaek</v>
          </cell>
          <cell r="C264" t="str">
            <v>Busan</v>
          </cell>
          <cell r="D264" t="str">
            <v>FCA</v>
          </cell>
        </row>
        <row r="265">
          <cell r="A265" t="str">
            <v>Namsung Alum UzKoram</v>
          </cell>
          <cell r="C265" t="str">
            <v>Busan</v>
          </cell>
          <cell r="D265" t="str">
            <v>FCA</v>
          </cell>
        </row>
        <row r="266">
          <cell r="A266" t="str">
            <v>Daehan Heating for UzErae CC</v>
          </cell>
          <cell r="B266" t="str">
            <v>Hwasung</v>
          </cell>
          <cell r="C266" t="str">
            <v>Busan</v>
          </cell>
          <cell r="D266" t="str">
            <v>FCA</v>
          </cell>
        </row>
        <row r="267">
          <cell r="A267" t="str">
            <v>Caravan for UZSW</v>
          </cell>
          <cell r="C267" t="str">
            <v>Busan</v>
          </cell>
          <cell r="D267" t="str">
            <v>FOB</v>
          </cell>
        </row>
        <row r="268">
          <cell r="A268" t="str">
            <v>OXTECH INC. for UZEraeCC</v>
          </cell>
          <cell r="C268" t="str">
            <v>Busan</v>
          </cell>
          <cell r="D268" t="str">
            <v>FOB</v>
          </cell>
        </row>
        <row r="269">
          <cell r="A269" t="str">
            <v>FST for AutoClimate Controle</v>
          </cell>
          <cell r="C269" t="str">
            <v>Busan</v>
          </cell>
          <cell r="D269" t="str">
            <v>FOB</v>
          </cell>
        </row>
        <row r="270">
          <cell r="A270" t="str">
            <v>United Engineering for Asaka</v>
          </cell>
          <cell r="C270" t="str">
            <v>Busan</v>
          </cell>
          <cell r="D270" t="str">
            <v>FOB</v>
          </cell>
        </row>
        <row r="271">
          <cell r="A271" t="str">
            <v>SEOLIM TRADING</v>
          </cell>
          <cell r="C271" t="str">
            <v>Busan</v>
          </cell>
          <cell r="D271" t="str">
            <v>FOB</v>
          </cell>
        </row>
        <row r="272">
          <cell r="A272" t="str">
            <v>SEJONG TTM for UzSemyung</v>
          </cell>
          <cell r="C272" t="str">
            <v>Busan</v>
          </cell>
          <cell r="D272" t="str">
            <v>FOB</v>
          </cell>
        </row>
        <row r="273">
          <cell r="A273" t="str">
            <v>LG Chem for UzMINDA</v>
          </cell>
          <cell r="C273" t="str">
            <v>Busan</v>
          </cell>
          <cell r="D273" t="str">
            <v>FOB</v>
          </cell>
        </row>
        <row r="274">
          <cell r="A274" t="str">
            <v>FORI KOREA</v>
          </cell>
          <cell r="C274" t="str">
            <v>Busan</v>
          </cell>
          <cell r="D274" t="str">
            <v>FOB</v>
          </cell>
        </row>
        <row r="275">
          <cell r="A275" t="str">
            <v>United Engineering</v>
          </cell>
          <cell r="C275" t="str">
            <v>Busan</v>
          </cell>
          <cell r="D275" t="str">
            <v>FOB</v>
          </cell>
        </row>
        <row r="276">
          <cell r="A276" t="str">
            <v>Taelim Industrial</v>
          </cell>
          <cell r="B276" t="str">
            <v>Changwon</v>
          </cell>
          <cell r="C276" t="str">
            <v>Busan</v>
          </cell>
          <cell r="D276" t="str">
            <v>FCA</v>
          </cell>
        </row>
        <row r="277">
          <cell r="A277" t="str">
            <v>OXTECH INC. for UZEraeCC</v>
          </cell>
          <cell r="C277" t="str">
            <v>Busan</v>
          </cell>
          <cell r="D277" t="str">
            <v>FCA</v>
          </cell>
        </row>
        <row r="278">
          <cell r="A278" t="str">
            <v>Daihan Calsonic for UzCC</v>
          </cell>
          <cell r="C278" t="str">
            <v>Busan</v>
          </cell>
          <cell r="D278" t="str">
            <v>FOB</v>
          </cell>
        </row>
        <row r="279">
          <cell r="A279" t="str">
            <v>GE MAO Rubber Ind for UzEraecc</v>
          </cell>
          <cell r="C279" t="str">
            <v>Busan</v>
          </cell>
          <cell r="D279" t="str">
            <v>FCA</v>
          </cell>
        </row>
        <row r="280">
          <cell r="A280" t="str">
            <v>HDC HYUNDAI ENGINEERING PLASTICS for UZKR</v>
          </cell>
          <cell r="C280" t="str">
            <v>Busan</v>
          </cell>
          <cell r="D280" t="str">
            <v>FOB</v>
          </cell>
        </row>
        <row r="281">
          <cell r="A281" t="str">
            <v>Yoochang for UzDongYang</v>
          </cell>
          <cell r="C281" t="str">
            <v>Busan</v>
          </cell>
          <cell r="D281" t="str">
            <v>FCA</v>
          </cell>
        </row>
        <row r="282">
          <cell r="A282" t="str">
            <v>GW Intennational</v>
          </cell>
          <cell r="C282" t="str">
            <v>Busan</v>
          </cell>
          <cell r="D282" t="str">
            <v>FOB</v>
          </cell>
        </row>
        <row r="283">
          <cell r="A283" t="str">
            <v>KISWEL</v>
          </cell>
          <cell r="C283" t="str">
            <v>Busan</v>
          </cell>
          <cell r="D283" t="str">
            <v>FOB</v>
          </cell>
        </row>
        <row r="284">
          <cell r="A284" t="str">
            <v>DAEKIE EST</v>
          </cell>
          <cell r="C284" t="str">
            <v>Busan</v>
          </cell>
          <cell r="D284" t="str">
            <v>FOB</v>
          </cell>
        </row>
        <row r="285">
          <cell r="A285" t="str">
            <v>JO EUN ELECTRONICS</v>
          </cell>
          <cell r="C285" t="str">
            <v>Busan</v>
          </cell>
          <cell r="D285" t="str">
            <v>FOB</v>
          </cell>
        </row>
        <row r="286">
          <cell r="A286" t="str">
            <v>UONE Electronics for UzEraeCC</v>
          </cell>
          <cell r="C286" t="str">
            <v>Busan</v>
          </cell>
          <cell r="D286" t="str">
            <v>FOB</v>
          </cell>
        </row>
        <row r="287">
          <cell r="A287" t="str">
            <v>Erae CS for UzErae Cable</v>
          </cell>
          <cell r="C287" t="str">
            <v>Busan</v>
          </cell>
          <cell r="D287" t="str">
            <v>FOB</v>
          </cell>
        </row>
        <row r="288">
          <cell r="A288" t="str">
            <v>C&amp;H International UzChasys</v>
          </cell>
          <cell r="C288" t="str">
            <v>Busan</v>
          </cell>
          <cell r="D288" t="str">
            <v>FOB</v>
          </cell>
        </row>
        <row r="289">
          <cell r="A289" t="str">
            <v>Sejin Chem for UzEraeCC</v>
          </cell>
          <cell r="C289" t="str">
            <v>Busan</v>
          </cell>
          <cell r="D289" t="str">
            <v>FOB</v>
          </cell>
        </row>
        <row r="290">
          <cell r="A290" t="str">
            <v xml:space="preserve">YuSung ENG Co.,Ltd </v>
          </cell>
          <cell r="C290" t="str">
            <v>Busan</v>
          </cell>
          <cell r="D290" t="str">
            <v>FOB</v>
          </cell>
        </row>
        <row r="291">
          <cell r="A291" t="str">
            <v>GW International for UzEraeCC</v>
          </cell>
          <cell r="C291" t="str">
            <v>Busan</v>
          </cell>
          <cell r="D291" t="str">
            <v>FOB</v>
          </cell>
        </row>
        <row r="292">
          <cell r="A292" t="str">
            <v>KOREA FLUID MACHINE for UzDY</v>
          </cell>
          <cell r="C292" t="str">
            <v>Busan</v>
          </cell>
          <cell r="D292" t="str">
            <v>FCA</v>
          </cell>
        </row>
        <row r="293">
          <cell r="A293" t="str">
            <v>Woochang Mobase  for UzDY</v>
          </cell>
          <cell r="C293" t="str">
            <v>Busan</v>
          </cell>
          <cell r="D293" t="str">
            <v>FCA</v>
          </cell>
        </row>
        <row r="294">
          <cell r="A294" t="str">
            <v>DEHICO for UzEraeCC</v>
          </cell>
          <cell r="C294" t="str">
            <v>Busan</v>
          </cell>
          <cell r="D294" t="str">
            <v>FOB</v>
          </cell>
        </row>
        <row r="295">
          <cell r="A295" t="str">
            <v>Mobase NCV</v>
          </cell>
          <cell r="C295" t="str">
            <v>Busan</v>
          </cell>
          <cell r="D295" t="str">
            <v>FOB</v>
          </cell>
        </row>
        <row r="296">
          <cell r="A296" t="str">
            <v>Samshin for UzKoram</v>
          </cell>
          <cell r="B296" t="str">
            <v>Ansan</v>
          </cell>
          <cell r="C296" t="str">
            <v>Busan</v>
          </cell>
          <cell r="D296" t="str">
            <v>FCA</v>
          </cell>
        </row>
        <row r="297">
          <cell r="A297" t="str">
            <v>RM System</v>
          </cell>
          <cell r="C297" t="str">
            <v>Busan</v>
          </cell>
          <cell r="D297" t="str">
            <v>FOB</v>
          </cell>
        </row>
        <row r="298">
          <cell r="A298" t="str">
            <v>Alpha Industries for UzEraeCC</v>
          </cell>
          <cell r="C298" t="str">
            <v>Busan</v>
          </cell>
          <cell r="D298" t="str">
            <v>FOB</v>
          </cell>
        </row>
        <row r="299">
          <cell r="A299" t="str">
            <v>Changhwan Precision Terminal Co. for UzErae Cable</v>
          </cell>
          <cell r="C299" t="str">
            <v>Busan</v>
          </cell>
          <cell r="D299" t="str">
            <v>FOB</v>
          </cell>
        </row>
        <row r="300">
          <cell r="A300" t="str">
            <v>HYOSUNG SERVICE for Avtocomponent</v>
          </cell>
          <cell r="C300" t="str">
            <v>Busan</v>
          </cell>
          <cell r="D300" t="str">
            <v>FOB</v>
          </cell>
        </row>
        <row r="301">
          <cell r="A301" t="str">
            <v>KH Trading</v>
          </cell>
          <cell r="C301" t="str">
            <v>Busan</v>
          </cell>
          <cell r="D301" t="str">
            <v>FOB</v>
          </cell>
        </row>
        <row r="302">
          <cell r="A302" t="str">
            <v>UHJINTECH for UzEraeCC</v>
          </cell>
          <cell r="C302" t="str">
            <v>Busan</v>
          </cell>
          <cell r="D302" t="str">
            <v>FOB</v>
          </cell>
        </row>
        <row r="303">
          <cell r="A303" t="str">
            <v>Hwashin</v>
          </cell>
          <cell r="B303" t="str">
            <v>Daegu</v>
          </cell>
          <cell r="C303" t="str">
            <v>Busan</v>
          </cell>
          <cell r="D303" t="str">
            <v>FCA</v>
          </cell>
        </row>
        <row r="304">
          <cell r="A304" t="str">
            <v>Korea Houghton Corp. for UzAustem</v>
          </cell>
          <cell r="C304" t="str">
            <v>Busan</v>
          </cell>
          <cell r="D304" t="str">
            <v>FOB</v>
          </cell>
        </row>
        <row r="305">
          <cell r="A305" t="str">
            <v>Woochang UzKoram</v>
          </cell>
          <cell r="C305" t="str">
            <v>Busan</v>
          </cell>
          <cell r="D305" t="str">
            <v>FCA</v>
          </cell>
        </row>
        <row r="306">
          <cell r="A306" t="str">
            <v>LK Hoist</v>
          </cell>
          <cell r="C306" t="str">
            <v>Busan</v>
          </cell>
          <cell r="D306" t="str">
            <v>FOB</v>
          </cell>
        </row>
        <row r="307">
          <cell r="A307" t="str">
            <v>DMC for UzKoram</v>
          </cell>
          <cell r="C307" t="str">
            <v>Busan</v>
          </cell>
          <cell r="D307" t="str">
            <v>FOB</v>
          </cell>
        </row>
        <row r="308">
          <cell r="A308" t="str">
            <v>DAEKIE EST for UzEraeCC</v>
          </cell>
          <cell r="C308" t="str">
            <v>Busan</v>
          </cell>
          <cell r="D308" t="str">
            <v>FOB</v>
          </cell>
        </row>
        <row r="309">
          <cell r="A309" t="str">
            <v>DMC for AutoRubber</v>
          </cell>
          <cell r="C309" t="str">
            <v>Busan</v>
          </cell>
          <cell r="D309" t="str">
            <v>FOB</v>
          </cell>
        </row>
        <row r="310">
          <cell r="A310" t="str">
            <v>Powertec for Avtocomponent (FCA)</v>
          </cell>
          <cell r="C310" t="str">
            <v>Busan</v>
          </cell>
          <cell r="D310" t="str">
            <v>FCA</v>
          </cell>
        </row>
        <row r="311">
          <cell r="A311" t="str">
            <v>LOGICS KOREA for UZERAECC</v>
          </cell>
          <cell r="C311" t="str">
            <v>Busan</v>
          </cell>
          <cell r="D311" t="str">
            <v>FOB</v>
          </cell>
        </row>
        <row r="312">
          <cell r="A312" t="str">
            <v>JT Fastener for UzEraeCC (Taiwan)</v>
          </cell>
          <cell r="C312" t="str">
            <v>Busan</v>
          </cell>
          <cell r="D312" t="str">
            <v>FOB</v>
          </cell>
        </row>
        <row r="313">
          <cell r="A313" t="str">
            <v>Daihan Calsonic for UzCC</v>
          </cell>
          <cell r="C313" t="str">
            <v>Busan</v>
          </cell>
          <cell r="D313" t="str">
            <v>FOB</v>
          </cell>
        </row>
        <row r="314">
          <cell r="A314" t="str">
            <v>PROTJUO TECH</v>
          </cell>
          <cell r="C314" t="str">
            <v>Busan</v>
          </cell>
          <cell r="D314" t="str">
            <v>FOB</v>
          </cell>
        </row>
        <row r="315">
          <cell r="A315" t="str">
            <v>Bawoo Auto Asaka</v>
          </cell>
          <cell r="C315" t="str">
            <v>Busan</v>
          </cell>
          <cell r="D315" t="str">
            <v>FOB</v>
          </cell>
        </row>
        <row r="316">
          <cell r="A316" t="str">
            <v>HDC for Autorubber</v>
          </cell>
          <cell r="C316" t="str">
            <v>Busan</v>
          </cell>
          <cell r="D316" t="str">
            <v>FOB</v>
          </cell>
        </row>
        <row r="317">
          <cell r="A317" t="str">
            <v>KOREA CARAVAN UZ-AUSTEM (YSW Same)</v>
          </cell>
          <cell r="C317" t="str">
            <v>Busan</v>
          </cell>
          <cell r="D317" t="str">
            <v>FOB</v>
          </cell>
        </row>
        <row r="318">
          <cell r="A318" t="str">
            <v>SEOLIM TRADING for Avtocomp (FOB)</v>
          </cell>
          <cell r="C318" t="str">
            <v>Busan</v>
          </cell>
          <cell r="D318" t="str">
            <v>FOB</v>
          </cell>
        </row>
        <row r="319">
          <cell r="A319" t="str">
            <v>KOREA CARAVAN (YSW Same)</v>
          </cell>
          <cell r="C319" t="str">
            <v>Busan</v>
          </cell>
          <cell r="D319" t="str">
            <v>FOB</v>
          </cell>
        </row>
        <row r="320">
          <cell r="A320" t="str">
            <v>YSW for UZSW</v>
          </cell>
          <cell r="C320" t="str">
            <v>Busan</v>
          </cell>
          <cell r="D320" t="str">
            <v>FOB</v>
          </cell>
        </row>
        <row r="321">
          <cell r="A321" t="str">
            <v>SEOLIM TRADING fo Autocomp</v>
          </cell>
          <cell r="C321" t="str">
            <v>Busan</v>
          </cell>
          <cell r="D321" t="str">
            <v>FOB</v>
          </cell>
        </row>
        <row r="322">
          <cell r="A322" t="str">
            <v>SEOLIM TRADING fo UZDW</v>
          </cell>
          <cell r="C322" t="str">
            <v>Busan</v>
          </cell>
          <cell r="D322" t="str">
            <v>FOB</v>
          </cell>
        </row>
        <row r="323">
          <cell r="A323" t="str">
            <v>NOTOS for UzEraeCC</v>
          </cell>
          <cell r="C323" t="str">
            <v>Busan</v>
          </cell>
          <cell r="D323" t="str">
            <v>FOB</v>
          </cell>
        </row>
        <row r="324">
          <cell r="A324" t="str">
            <v>DAEO IND for AUTORUBBER (FOB)</v>
          </cell>
          <cell r="C324" t="str">
            <v>Busan</v>
          </cell>
          <cell r="D324" t="str">
            <v>FOB</v>
          </cell>
        </row>
        <row r="325">
          <cell r="A325" t="str">
            <v>DEHICO for UzEraeCC (EXW)</v>
          </cell>
          <cell r="C325" t="str">
            <v>Busan</v>
          </cell>
          <cell r="D325" t="str">
            <v>FCA</v>
          </cell>
        </row>
        <row r="326">
          <cell r="A326" t="str">
            <v>Woochang Mobase</v>
          </cell>
          <cell r="B326" t="str">
            <v>Ansan</v>
          </cell>
          <cell r="C326" t="str">
            <v>Busan</v>
          </cell>
          <cell r="D326" t="str">
            <v>FCA</v>
          </cell>
        </row>
        <row r="327">
          <cell r="A327" t="str">
            <v>DAEKIE EST for UzKoram</v>
          </cell>
          <cell r="C327" t="str">
            <v>Busan</v>
          </cell>
          <cell r="D327" t="str">
            <v>FOB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3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158" tableType="queryTable" totalsRowShown="0" headerRowDxfId="120" dataDxfId="119" tableBorderDxfId="118">
  <autoFilter ref="A2:AA158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117"/>
    <tableColumn id="2" xr3:uid="{8A87712C-FC73-4678-B1A7-ED16A8E04E71}" uniqueName="2" name="2" queryTableFieldId="2" dataDxfId="116"/>
    <tableColumn id="3" xr3:uid="{D148B657-97B3-4E46-93B8-6B1F20441BFF}" uniqueName="3" name="3" queryTableFieldId="3" dataDxfId="115"/>
    <tableColumn id="4" xr3:uid="{41DC2B2B-DC98-4A52-BCD6-A4D95BBD953E}" uniqueName="4" name="4" queryTableFieldId="4" dataDxfId="114"/>
    <tableColumn id="5" xr3:uid="{1D866B85-DF46-4A1E-944F-986C019F9BC1}" uniqueName="5" name="5" queryTableFieldId="5" dataDxfId="113"/>
    <tableColumn id="6" xr3:uid="{3FB0D426-BB7F-4C2E-AE23-CCC777815CE8}" uniqueName="6" name="6" queryTableFieldId="6" dataDxfId="112"/>
    <tableColumn id="7" xr3:uid="{634833FD-8BCD-46C0-B3AC-ADF92E1F1DA3}" uniqueName="7" name="7" queryTableFieldId="7" dataDxfId="111" dataCellStyle="Финансовый"/>
    <tableColumn id="8" xr3:uid="{3A30ACC9-9C1F-4DDE-B6D4-274E27DD3664}" uniqueName="8" name="8" queryTableFieldId="8" dataDxfId="110"/>
    <tableColumn id="9" xr3:uid="{C72BEEDD-A656-42A9-BFBA-8C91A38CA41D}" uniqueName="9" name="9" queryTableFieldId="9" dataDxfId="109"/>
    <tableColumn id="10" xr3:uid="{FA489D1A-BD4C-4A40-840B-54A23E6FE1B6}" uniqueName="10" name="10" queryTableFieldId="10" dataDxfId="108"/>
    <tableColumn id="11" xr3:uid="{AF649117-E4FD-47F6-94D2-7E0D741B1108}" uniqueName="11" name="11" queryTableFieldId="11" dataDxfId="107"/>
    <tableColumn id="12" xr3:uid="{6E4EE260-E04D-4ADC-869F-B8FD8CF3742C}" uniqueName="12" name="12" queryTableFieldId="12" dataDxfId="106"/>
    <tableColumn id="13" xr3:uid="{23E2C403-EC82-4A11-B21E-3CDF9FF92735}" uniqueName="13" name="13" queryTableFieldId="13" dataDxfId="105"/>
    <tableColumn id="14" xr3:uid="{B90B6DA9-B0EC-4D7D-BF3D-9FA1954332A4}" uniqueName="14" name="14" queryTableFieldId="14" dataDxfId="104"/>
    <tableColumn id="15" xr3:uid="{A0754BD4-1808-4F1C-9BE0-CD5590CD3151}" uniqueName="15" name="15" queryTableFieldId="15" dataDxfId="103"/>
    <tableColumn id="16" xr3:uid="{6FF623EF-0A86-4754-A87A-F356B7ACBF2D}" uniqueName="16" name="16" queryTableFieldId="16" dataDxfId="102"/>
    <tableColumn id="17" xr3:uid="{9158F7F1-6BFE-4F93-94CE-81ABA288FDEA}" uniqueName="17" name="17" queryTableFieldId="17" dataDxfId="101"/>
    <tableColumn id="18" xr3:uid="{420AF06A-A8C7-4FCD-A2F3-090E8B2B7AC3}" uniqueName="18" name="18" queryTableFieldId="18" dataDxfId="100"/>
    <tableColumn id="19" xr3:uid="{4274A0A0-56D1-4E95-B283-1EDFBA256114}" uniqueName="19" name="19" queryTableFieldId="19" dataDxfId="99"/>
    <tableColumn id="20" xr3:uid="{B6F87092-021B-4BDE-BCDE-9F7C6B8F1E36}" uniqueName="20" name="20" queryTableFieldId="20" dataDxfId="98"/>
    <tableColumn id="21" xr3:uid="{70453219-26CE-401C-A798-3E6AC931E0FC}" uniqueName="21" name="21" queryTableFieldId="21" dataDxfId="97"/>
    <tableColumn id="22" xr3:uid="{3F4116D9-77AB-43A0-BEF2-5B20A0F3707E}" uniqueName="22" name="22" queryTableFieldId="22" dataDxfId="96"/>
    <tableColumn id="23" xr3:uid="{0B9465B3-5A11-4241-A0D8-736A6CF17BC3}" uniqueName="23" name="23" queryTableFieldId="23" dataDxfId="95"/>
    <tableColumn id="24" xr3:uid="{A92E1B7E-9131-4031-9E80-42D518598C99}" uniqueName="24" name="24" queryTableFieldId="24" dataDxfId="94"/>
    <tableColumn id="25" xr3:uid="{B6EC9D45-01EE-4BF8-A9AB-678B33FC1ACE}" uniqueName="25" name="25" queryTableFieldId="25" dataDxfId="93"/>
    <tableColumn id="26" xr3:uid="{FB1E0E35-5389-4522-9C98-B22D7ACA016A}" uniqueName="26" name="26" queryTableFieldId="26" dataDxfId="92" dataCellStyle="Финансовый"/>
    <tableColumn id="28" xr3:uid="{D9BC4018-E21F-4E28-84E5-51AC4A014223}" uniqueName="28" name="27" queryTableFieldId="28" dataDxfId="9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90" dataDxfId="89">
  <autoFilter ref="A7:A8" xr:uid="{A8AC7234-232E-456A-AB8B-19966878D0C8}"/>
  <tableColumns count="1">
    <tableColumn id="1" xr3:uid="{FDF7F845-18BD-4075-BB87-B4B35FB97C32}" uniqueName="1" name="№ исходящего акта" queryTableFieldId="1" dataDxfId="88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840" displayName="Курс_840" ref="A5:D27" tableType="queryTable" totalsRowShown="0" headerRowDxfId="87">
  <autoFilter ref="A5:D27" xr:uid="{6A137B49-3125-432F-A630-6DD50D11EBE0}"/>
  <tableColumns count="4">
    <tableColumn id="1" xr3:uid="{EC288063-33AD-415F-970A-12D8A501ABB6}" uniqueName="1" name="Дн нед" queryTableFieldId="1" dataDxfId="86"/>
    <tableColumn id="2" xr3:uid="{100266FB-FD9A-45B7-AE2D-3D4D7A8DD2E2}" uniqueName="2" name="Дата" queryTableFieldId="2" dataDxfId="85"/>
    <tableColumn id="3" xr3:uid="{FD007F2F-A1D9-4AD2-BEF6-84ED6C0DD4BF}" uniqueName="3" name="Курс" queryTableFieldId="6" dataCellStyle="Финансовый"/>
    <tableColumn id="4" xr3:uid="{EB90F171-55BB-4666-A1D1-93923649B90D}" uniqueName="4" name="Максимальный курс" queryTableField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9323A-25DE-46EF-A0E6-891B9824C82B}" name="ПериодОтбора" displayName="ПериодОтбора" ref="A1:E2" totalsRowShown="0" headerRowDxfId="84">
  <autoFilter ref="A1:E2" xr:uid="{81B9323A-25DE-46EF-A0E6-891B9824C82B}"/>
  <tableColumns count="5">
    <tableColumn id="1" xr3:uid="{6A24475E-631A-466A-8490-9CBC4AD205E5}" name="Наиболее ранняя дата прибытия" dataDxfId="83">
      <calculatedColumnFormula>MIN(ACT[Date of Dispatch/ 
Дата отгрузки])</calculatedColumnFormula>
    </tableColumn>
    <tableColumn id="2" xr3:uid="{128EBDAC-F0D0-45BE-9EAF-CF50D23D18A1}" name="Дата начала отбора курса">
      <calculatedColumnFormula>MAX(ACT[Date of Dispatch/ 
Дата отгрузки])</calculatedColumnFormula>
    </tableColumn>
    <tableColumn id="3" xr3:uid="{C1DEB837-C7B5-4B51-B6A8-6D5BE262A327}" name="Дата окончания отбора курса" dataDxfId="82">
      <calculatedColumnFormula>IF(WORKDAY(A2,15)&gt;=TODAY(),TODAY(),WORKDAY(A2,15))</calculatedColumnFormula>
    </tableColumn>
    <tableColumn id="5" xr3:uid="{82E7B280-4259-4458-B678-C325C131FE71}" name="Дата курса без поиска максимального (заполняется при необходимости)" dataDxfId="81"/>
    <tableColumn id="4" xr3:uid="{6B9CBFE4-BFC1-42E8-B4A3-210CC8A35A8F}" name="Валюта" dataDxfId="8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79" dataDxfId="78">
  <autoFilter ref="A1:AC116" xr:uid="{5B834A19-259B-40D5-9FFB-3CD1C5FF657E}"/>
  <tableColumns count="29">
    <tableColumn id="1" xr3:uid="{8E831ADF-11AB-4A8D-873B-AA7A47AB52AF}" uniqueName="1" name="№" queryTableFieldId="50" dataDxfId="77"/>
    <tableColumn id="2" xr3:uid="{EE1885CF-81B0-4A89-B4DE-65A0E48265F9}" uniqueName="2" name="Container No/_x000a_№ Контейнера" queryTableFieldId="51" dataDxfId="76"/>
    <tableColumn id="42" xr3:uid="{C82B05DB-D11B-4987-95C0-26F1B6EEE9B7}" uniqueName="42" name="Container Type/ _x000a_Тип контейнера" queryTableFieldId="42" dataDxfId="75"/>
    <tableColumn id="3" xr3:uid="{0B3CD9AD-DB0D-498A-9A05-3764D46F15B2}" uniqueName="3" name="Date of Dispatch/ _x000a_Дата отгрузки" queryTableFieldId="52" dataDxfId="74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73"/>
    <tableColumn id="6" xr3:uid="{ABB996E3-C143-4015-9FA1-6B6F60FE0331}" uniqueName="6" name="Supplier/ Поставщик" queryTableFieldId="55" dataDxfId="72"/>
    <tableColumn id="7" xr3:uid="{82161375-A429-4D5A-85E6-149563CB1893}" uniqueName="7" name="CBM" queryTableFieldId="56" dataDxfId="71"/>
    <tableColumn id="8" xr3:uid="{D3A0A2AF-6662-483F-B804-3506DD13CD2C}" uniqueName="8" name="Gross weight, kg/ Вес брутто, кг" queryTableFieldId="57" dataDxfId="70"/>
    <tableColumn id="9" xr3:uid="{7792B197-C7B2-4696-9C42-D3DE23D8C14F}" uniqueName="9" name="Delivery terms / Условия поставки" queryTableFieldId="58" dataDxfId="69"/>
    <tableColumn id="10" xr3:uid="{49720C86-257D-43A9-A872-EDE0A611E3B0}" uniqueName="10" name="Column11" queryTableFieldId="59" dataDxfId="68"/>
    <tableColumn id="11" xr3:uid="{C433A2D5-41AB-47FB-9A13-43794B9F2307}" uniqueName="11" name="Container total CBM" queryTableFieldId="60" dataDxfId="67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66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65"/>
    <tableColumn id="14" xr3:uid="{1AF1A389-2532-4CBD-BFFF-BF61162BDFCD}" uniqueName="14" name="Shoring, Banding, Sealing, Handling/ Крепление, Перевязка, Опечатование, Обработка_x000a_KRW" queryTableFieldId="63" dataDxfId="64"/>
    <tableColumn id="15" xr3:uid="{8565B2BC-1E76-481A-B87F-8DF6AE5BE6DA}" uniqueName="15" name="Documents Work/ Сбор за подготовку документов_x000a_KRW" queryTableFieldId="64" dataDxfId="63"/>
    <tableColumn id="16" xr3:uid="{EDC32DB2-AA88-4632-868D-E800DCF2AD21}" uniqueName="16" name="THC/ Терминальная обработка_x000a_KRW" queryTableFieldId="65" dataDxfId="62"/>
    <tableColumn id="17" xr3:uid="{7979175A-8031-437D-9E21-9C213D1D2E14}" uniqueName="17" name="Wharfage/ Портовая пошлина_x000a_KRW" queryTableFieldId="66" dataDxfId="61"/>
    <tableColumn id="18" xr3:uid="{2282DD93-F0A2-45A6-92C4-663BD90BC13C}" uniqueName="18" name="TRUCKING CHARGE" queryTableFieldId="67" dataDxfId="60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59"/>
    <tableColumn id="20" xr3:uid="{F77BB9CD-6B54-4F2A-8EB0-4DC116A64104}" uniqueName="20" name="Special Wooden Shoring / Специальное деревянное крепление" queryTableFieldId="69" dataDxfId="58"/>
    <tableColumn id="21" xr3:uid="{60643051-07DC-4A02-A5B9-810D0FF04A0E}" uniqueName="21" name="Total amount/ Общая стоимость KRW (10+11+12+13+14+15+16)" queryTableFieldId="70" dataDxfId="57"/>
    <tableColumn id="22" xr3:uid="{327354D1-31B6-4F98-BB75-3A31DB43BCF5}" uniqueName="22" name="Total amount/ Общая стоимость (17*exchange rate/ обменный курс)_x000a_ USD" queryTableFieldId="71" dataDxfId="56"/>
    <tableColumn id="23" xr3:uid="{5B7655C4-A2F3-446A-A1DF-B1CE49E32FDA}" uniqueName="23" name="Column24" queryTableFieldId="72" dataDxfId="55"/>
    <tableColumn id="24" xr3:uid="{FC6FB029-693F-4C81-A5AF-E78C97E7D72E}" uniqueName="24" name="Column25" queryTableFieldId="73" dataDxfId="54"/>
    <tableColumn id="25" xr3:uid="{11625087-B798-4DD8-A068-89200E922B3A}" uniqueName="25" name="Column26" queryTableFieldId="74" dataDxfId="53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52" dataDxfId="50" headerRowBorderDxfId="51" tableBorderDxfId="49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48"/>
    <tableColumn id="2" xr3:uid="{80163841-85DF-45AF-B7E7-9E8BAC067856}" name="2" dataDxfId="47">
      <calculatedColumnFormula>_xlfn.XLOOKUP($A3,#REF!,#REF!,"",0,1)</calculatedColumnFormula>
    </tableColumn>
    <tableColumn id="3" xr3:uid="{CA85C000-838A-439D-9211-E21F6CC17707}" name="3" dataDxfId="46">
      <calculatedColumnFormula>_xlfn.XLOOKUP($A3,#REF!,#REF!,"",0,1)</calculatedColumnFormula>
    </tableColumn>
    <tableColumn id="4" xr3:uid="{7431317B-AE29-4CFE-AC62-FA82612ACE82}" name="4" dataDxfId="45">
      <calculatedColumnFormula>_xlfn.XLOOKUP($A3,#REF!,#REF!,"",0,1)</calculatedColumnFormula>
    </tableColumn>
    <tableColumn id="5" xr3:uid="{3EF1956F-4D3B-46B0-9F66-B38A17048A4F}" name="5" dataDxfId="44">
      <calculatedColumnFormula>_xlfn.XLOOKUP($A3,#REF!,#REF!,"",0,1)</calculatedColumnFormula>
    </tableColumn>
    <tableColumn id="6" xr3:uid="{4432DDD8-C665-4F6B-950E-1927A7F7118D}" name="6" dataDxfId="43">
      <calculatedColumnFormula>_xlfn.XLOOKUP($A3,#REF!,#REF!,"",1)</calculatedColumnFormula>
    </tableColumn>
    <tableColumn id="7" xr3:uid="{1CA7C4FD-641C-450D-8DD1-22F160E6F34B}" name="7" dataDxfId="42" dataCellStyle="Финансовый">
      <calculatedColumnFormula>_xlfn.XLOOKUP($A3,#REF!,#REF!,"",0,1)</calculatedColumnFormula>
    </tableColumn>
    <tableColumn id="8" xr3:uid="{FB63AE05-E41D-4842-892A-D7562D79385B}" name="8" dataDxfId="41"/>
    <tableColumn id="9" xr3:uid="{370A2487-A477-458B-A444-1301F9EA66A1}" name="9" dataDxfId="40">
      <calculatedColumnFormula>_xlfn.XLOOKUP($A3,#REF!,#REF!,"",0,1)</calculatedColumnFormula>
    </tableColumn>
    <tableColumn id="10" xr3:uid="{038E84C5-C7A9-45FB-A8DB-708203D4A03D}" name="10" dataDxfId="39">
      <calculatedColumnFormula>_xlfn.XLOOKUP($A3,#REF!,#REF!,"",0,1)</calculatedColumnFormula>
    </tableColumn>
    <tableColumn id="11" xr3:uid="{05F76E4A-38AE-46E2-8F02-34F67092A4B1}" name="11" dataDxfId="38">
      <calculatedColumnFormula>_xlfn.XLOOKUP($A3,#REF!,#REF!,"",0,1)</calculatedColumnFormula>
    </tableColumn>
    <tableColumn id="12" xr3:uid="{6EB1FA54-9C9E-4ED9-9339-A4C8D734A09D}" name="12" dataDxfId="37">
      <calculatedColumnFormula>_xlfn.XLOOKUP($A3,#REF!,#REF!,"",0,1)</calculatedColumnFormula>
    </tableColumn>
    <tableColumn id="13" xr3:uid="{9FA20739-C1E5-4B59-862B-C413F4AA858F}" name="13" dataDxfId="36">
      <calculatedColumnFormula>_xlfn.XLOOKUP($A3,#REF!,#REF!,"",0,1)</calculatedColumnFormula>
    </tableColumn>
    <tableColumn id="14" xr3:uid="{63FEFC4A-B1D9-4BB8-921C-7581032AAC45}" name="14" dataDxfId="35">
      <calculatedColumnFormula>_xlfn.XLOOKUP($A3,#REF!,#REF!,"",0,1)</calculatedColumnFormula>
    </tableColumn>
    <tableColumn id="15" xr3:uid="{BD36124D-AAE6-4A53-9CB3-E7D2F4231470}" name="15" dataDxfId="34">
      <calculatedColumnFormula>_xlfn.XLOOKUP($A3,#REF!,#REF!,"",0,1)</calculatedColumnFormula>
    </tableColumn>
    <tableColumn id="16" xr3:uid="{36264D1D-FCD0-4BF2-8E96-ED5355F2E054}" name="16" dataDxfId="33">
      <calculatedColumnFormula>_xlfn.XLOOKUP($A3,#REF!,#REF!,"",0,1)</calculatedColumnFormula>
    </tableColumn>
    <tableColumn id="17" xr3:uid="{05E049CF-B3D9-4A72-AE3B-724164A608DA}" name="17" dataDxfId="32">
      <calculatedColumnFormula>_xlfn.XLOOKUP($A3,#REF!,ACT[Container Type/ 
Тип контейнера],"",0,1)</calculatedColumnFormula>
    </tableColumn>
    <tableColumn id="18" xr3:uid="{9935278D-7A2D-4049-A0CC-C0643FEA6C21}" name="18" dataDxfId="31">
      <calculatedColumnFormula>_xlfn.XLOOKUP($A3,#REF!,#REF!,0,0,1)</calculatedColumnFormula>
    </tableColumn>
    <tableColumn id="19" xr3:uid="{5844F963-A9CB-426F-98B8-FDB41E611CD6}" name="19" dataDxfId="30">
      <calculatedColumnFormula>Шаблон_Формулы!$T3-Шаблон_Формулы!$R3</calculatedColumnFormula>
    </tableColumn>
    <tableColumn id="20" xr3:uid="{E887A808-FF17-4878-B535-FBD80D39880E}" name="20" dataDxfId="29">
      <calculatedColumnFormula>_xlfn.XLOOKUP($A3,#REF!,#REF!,0,0,1)</calculatedColumnFormula>
    </tableColumn>
    <tableColumn id="21" xr3:uid="{78C244F9-7E9E-47FD-A78C-A5D4C2D79272}" name="21" dataDxfId="28">
      <calculatedColumnFormula>_xlfn.XLOOKUP("МАКС",#REF!,Курс_840[Дата],,0,1)</calculatedColumnFormula>
    </tableColumn>
    <tableColumn id="22" xr3:uid="{5CFDFB8E-AC8A-4DC4-A9D3-48ACF7A0E0EB}" name="22" dataDxfId="27">
      <calculatedColumnFormula>_xlfn.XLOOKUP("МАКС",#REF!,#REF!,,0,1)</calculatedColumnFormula>
    </tableColumn>
    <tableColumn id="23" xr3:uid="{4A9FB422-E372-4E96-BB5F-BD72EFD53781}" name="23" dataDxfId="26">
      <calculatedColumnFormula>Шаблон_Формулы!$T3*Шаблон_Формулы!$V3</calculatedColumnFormula>
    </tableColumn>
    <tableColumn id="24" xr3:uid="{B4293233-93AA-4248-BF42-1CAFF7BDA958}" name="24" dataDxfId="25"/>
    <tableColumn id="25" xr3:uid="{F8AC5341-935E-486E-8BF5-585E1EFE217E}" name="25" dataDxfId="24">
      <calculatedColumnFormula>Шаблон_Формулы!$W3+Шаблон_Формулы!$X3</calculatedColumnFormula>
    </tableColumn>
    <tableColumn id="26" xr3:uid="{6C80E714-6993-4343-A4B1-A83F3EDBB997}" name="26" dataDxfId="23">
      <calculatedColumnFormula>_xlfn.XLOOKUP($A3,#REF!,#REF!,"",0,1)</calculatedColumnFormula>
    </tableColumn>
    <tableColumn id="27" xr3:uid="{EFF6D157-2699-4CC6-BCD8-61A1E103CD4E}" name="27" dataDxfId="2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158"/>
  <sheetViews>
    <sheetView tabSelected="1" zoomScale="70" zoomScaleNormal="70" workbookViewId="0">
      <selection activeCell="C8" sqref="C8"/>
    </sheetView>
  </sheetViews>
  <sheetFormatPr defaultRowHeight="14.4"/>
  <cols>
    <col min="1" max="1" width="7.33203125" bestFit="1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664062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>
      <c r="A1" s="54">
        <v>489</v>
      </c>
      <c r="B1" s="54"/>
      <c r="C1" s="54"/>
      <c r="D1" s="55" t="str">
        <f>AA5</f>
        <v>477 LCL</v>
      </c>
      <c r="E1" s="55"/>
      <c r="F1" s="55"/>
      <c r="G1" s="55"/>
      <c r="H1" s="56" t="s">
        <v>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29"/>
      <c r="Z1" s="41"/>
      <c r="AA1" s="41"/>
    </row>
    <row r="2" spans="1:27">
      <c r="A2" s="21" t="s">
        <v>30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42</v>
      </c>
      <c r="N2" s="21" t="s">
        <v>43</v>
      </c>
      <c r="O2" s="21" t="s">
        <v>44</v>
      </c>
      <c r="P2" s="21" t="s">
        <v>45</v>
      </c>
      <c r="Q2" s="21" t="s">
        <v>46</v>
      </c>
      <c r="R2" s="21" t="s">
        <v>47</v>
      </c>
      <c r="S2" s="21" t="s">
        <v>48</v>
      </c>
      <c r="T2" s="21" t="s">
        <v>49</v>
      </c>
      <c r="U2" s="21" t="s">
        <v>50</v>
      </c>
      <c r="V2" s="21" t="s">
        <v>51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</row>
    <row r="3" spans="1:27" s="30" customFormat="1" ht="83.4" customHeight="1">
      <c r="A3" s="49" t="s">
        <v>1</v>
      </c>
      <c r="B3" s="35" t="s">
        <v>112</v>
      </c>
      <c r="C3" s="35" t="s">
        <v>2</v>
      </c>
      <c r="D3" s="35" t="s">
        <v>113</v>
      </c>
      <c r="E3" s="34" t="s">
        <v>114</v>
      </c>
      <c r="F3" s="35" t="s">
        <v>3</v>
      </c>
      <c r="G3" s="32" t="s">
        <v>115</v>
      </c>
      <c r="H3" s="50" t="s">
        <v>62</v>
      </c>
      <c r="I3" s="33" t="s">
        <v>116</v>
      </c>
      <c r="J3" s="33" t="s">
        <v>117</v>
      </c>
      <c r="K3" s="50" t="s">
        <v>66</v>
      </c>
      <c r="L3" s="33" t="s">
        <v>118</v>
      </c>
      <c r="M3" s="33" t="s">
        <v>119</v>
      </c>
      <c r="N3" s="33" t="s">
        <v>120</v>
      </c>
      <c r="O3" s="33" t="s">
        <v>121</v>
      </c>
      <c r="P3" s="33" t="s">
        <v>122</v>
      </c>
      <c r="Q3" s="45" t="s">
        <v>123</v>
      </c>
      <c r="R3" s="33" t="s">
        <v>124</v>
      </c>
      <c r="S3" s="33" t="s">
        <v>125</v>
      </c>
      <c r="T3" s="33" t="s">
        <v>126</v>
      </c>
      <c r="U3" s="34" t="s">
        <v>127</v>
      </c>
      <c r="V3" s="33" t="s">
        <v>128</v>
      </c>
      <c r="W3" s="33" t="s">
        <v>129</v>
      </c>
      <c r="X3" s="34" t="s">
        <v>130</v>
      </c>
      <c r="Y3" s="33" t="s">
        <v>131</v>
      </c>
      <c r="Z3" s="46" t="s">
        <v>132</v>
      </c>
      <c r="AA3" s="31" t="s">
        <v>133</v>
      </c>
    </row>
    <row r="4" spans="1:27">
      <c r="A4" s="49" t="s">
        <v>4</v>
      </c>
      <c r="B4" s="35"/>
      <c r="C4" s="35"/>
      <c r="D4" s="35"/>
      <c r="E4" s="34"/>
      <c r="F4" s="35"/>
      <c r="G4" s="32"/>
      <c r="H4" s="50"/>
      <c r="I4" s="33"/>
      <c r="J4" s="33"/>
      <c r="K4" s="50"/>
      <c r="L4" s="33"/>
      <c r="M4" s="33"/>
      <c r="N4" s="33"/>
      <c r="O4" s="33"/>
      <c r="P4" s="33"/>
      <c r="Q4" s="45"/>
      <c r="R4" s="33"/>
      <c r="S4" s="33"/>
      <c r="T4" s="33"/>
      <c r="U4" s="34"/>
      <c r="V4" s="33"/>
      <c r="W4" s="33">
        <f>SUM(W5:W158)</f>
        <v>82660.279999999984</v>
      </c>
      <c r="X4" s="34">
        <f>X5</f>
        <v>45212</v>
      </c>
      <c r="Y4" s="33">
        <f>Y5</f>
        <v>12229.01</v>
      </c>
      <c r="Z4" s="46">
        <f>Шаблон_Формулы_2[[#This Row],[23]]*Шаблон_Формулы_2[[#This Row],[25]]</f>
        <v>1010853390.7227998</v>
      </c>
      <c r="AA4" s="31"/>
    </row>
    <row r="5" spans="1:27">
      <c r="A5" s="49">
        <v>1</v>
      </c>
      <c r="B5" s="35" t="s">
        <v>330</v>
      </c>
      <c r="C5" s="35" t="s">
        <v>135</v>
      </c>
      <c r="D5" s="35" t="s">
        <v>21</v>
      </c>
      <c r="E5" s="34">
        <v>45176</v>
      </c>
      <c r="F5" s="35" t="s">
        <v>319</v>
      </c>
      <c r="G5" s="32" t="s">
        <v>383</v>
      </c>
      <c r="H5" s="50">
        <v>34.630000000000003</v>
      </c>
      <c r="I5" s="33">
        <v>4478.59</v>
      </c>
      <c r="J5" s="33" t="s">
        <v>86</v>
      </c>
      <c r="K5" s="53">
        <v>60.52</v>
      </c>
      <c r="L5" s="33">
        <v>624000</v>
      </c>
      <c r="M5" s="33">
        <v>294008.7</v>
      </c>
      <c r="N5" s="33">
        <v>110893.82022471911</v>
      </c>
      <c r="O5" s="33">
        <v>28610.376734963651</v>
      </c>
      <c r="P5" s="33">
        <v>106087.27693324522</v>
      </c>
      <c r="Q5" s="45">
        <v>5207.0885657633844</v>
      </c>
      <c r="R5" s="33">
        <v>0</v>
      </c>
      <c r="S5" s="33">
        <v>160504.21348314607</v>
      </c>
      <c r="T5" s="33">
        <v>0</v>
      </c>
      <c r="U5" s="52"/>
      <c r="V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1329311.4759418373</v>
      </c>
      <c r="W5" s="33">
        <v>999.88</v>
      </c>
      <c r="X5" s="34">
        <v>45212</v>
      </c>
      <c r="Y5" s="33">
        <v>12229.01</v>
      </c>
      <c r="Z5" s="46">
        <f>Шаблон_Формулы_2[[#This Row],[23]]*Шаблон_Формулы_2[[#This Row],[25]]</f>
        <v>12227542.5188</v>
      </c>
      <c r="AA5" s="31" t="s">
        <v>536</v>
      </c>
    </row>
    <row r="6" spans="1:27">
      <c r="A6" s="49">
        <v>2</v>
      </c>
      <c r="B6" s="35" t="s">
        <v>330</v>
      </c>
      <c r="C6" s="35" t="s">
        <v>135</v>
      </c>
      <c r="D6" s="35" t="s">
        <v>21</v>
      </c>
      <c r="E6" s="34">
        <v>45176</v>
      </c>
      <c r="F6" s="35" t="s">
        <v>319</v>
      </c>
      <c r="G6" s="32" t="s">
        <v>384</v>
      </c>
      <c r="H6" s="50">
        <v>17.260000000000002</v>
      </c>
      <c r="I6" s="33">
        <v>14793.6</v>
      </c>
      <c r="J6" s="33" t="s">
        <v>86</v>
      </c>
      <c r="K6" s="53">
        <v>60.52</v>
      </c>
      <c r="L6" s="33">
        <v>724000</v>
      </c>
      <c r="M6" s="33">
        <v>146537.40000000002</v>
      </c>
      <c r="N6" s="33">
        <v>55270.786516853928</v>
      </c>
      <c r="O6" s="33">
        <v>14259.748843357567</v>
      </c>
      <c r="P6" s="33">
        <v>52875.148711169859</v>
      </c>
      <c r="Q6" s="45">
        <v>2595.2742894910771</v>
      </c>
      <c r="R6" s="33">
        <v>0</v>
      </c>
      <c r="S6" s="33">
        <v>79997.191011235947</v>
      </c>
      <c r="T6" s="33">
        <v>0</v>
      </c>
      <c r="U6" s="52"/>
      <c r="V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1075535.5493721084</v>
      </c>
      <c r="W6" s="33">
        <v>809</v>
      </c>
      <c r="X6" s="34">
        <v>45212</v>
      </c>
      <c r="Y6" s="33">
        <v>12229.01</v>
      </c>
      <c r="Z6" s="46">
        <f>Шаблон_Формулы_2[[#This Row],[23]]*Шаблон_Формулы_2[[#This Row],[25]]</f>
        <v>9893269.0899999999</v>
      </c>
      <c r="AA6" s="31" t="s">
        <v>536</v>
      </c>
    </row>
    <row r="7" spans="1:27">
      <c r="A7" s="49">
        <v>3</v>
      </c>
      <c r="B7" s="35" t="s">
        <v>330</v>
      </c>
      <c r="C7" s="35" t="s">
        <v>135</v>
      </c>
      <c r="D7" s="35" t="s">
        <v>21</v>
      </c>
      <c r="E7" s="34">
        <v>45176</v>
      </c>
      <c r="F7" s="35" t="s">
        <v>319</v>
      </c>
      <c r="G7" s="32" t="s">
        <v>385</v>
      </c>
      <c r="H7" s="50">
        <v>8.6300000000000008</v>
      </c>
      <c r="I7" s="33">
        <v>1074.72</v>
      </c>
      <c r="J7" s="33" t="s">
        <v>86</v>
      </c>
      <c r="K7" s="53">
        <v>60.52</v>
      </c>
      <c r="L7" s="33">
        <v>332000</v>
      </c>
      <c r="M7" s="33">
        <v>73268.700000000012</v>
      </c>
      <c r="N7" s="33">
        <v>27635.393258426964</v>
      </c>
      <c r="O7" s="33">
        <v>7129.8744216787836</v>
      </c>
      <c r="P7" s="33">
        <v>26437.574355584929</v>
      </c>
      <c r="Q7" s="45">
        <v>1297.6371447455385</v>
      </c>
      <c r="R7" s="33">
        <v>0</v>
      </c>
      <c r="S7" s="33">
        <v>39998.595505617974</v>
      </c>
      <c r="T7" s="33">
        <v>0</v>
      </c>
      <c r="U7" s="52"/>
      <c r="V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507767.77468605421</v>
      </c>
      <c r="W7" s="33">
        <v>381.93</v>
      </c>
      <c r="X7" s="34">
        <v>45212</v>
      </c>
      <c r="Y7" s="33">
        <v>12229.01</v>
      </c>
      <c r="Z7" s="46">
        <f>Шаблон_Формулы_2[[#This Row],[23]]*Шаблон_Формулы_2[[#This Row],[25]]</f>
        <v>4670625.7893000003</v>
      </c>
      <c r="AA7" s="31" t="s">
        <v>536</v>
      </c>
    </row>
    <row r="8" spans="1:27">
      <c r="A8" s="49">
        <v>4</v>
      </c>
      <c r="B8" s="35" t="s">
        <v>331</v>
      </c>
      <c r="C8" s="35" t="s">
        <v>135</v>
      </c>
      <c r="D8" s="35" t="s">
        <v>21</v>
      </c>
      <c r="E8" s="34">
        <v>45176</v>
      </c>
      <c r="F8" s="35" t="s">
        <v>319</v>
      </c>
      <c r="G8" s="32" t="s">
        <v>386</v>
      </c>
      <c r="H8" s="50">
        <v>25.97</v>
      </c>
      <c r="I8" s="33">
        <v>3358.95</v>
      </c>
      <c r="J8" s="33" t="s">
        <v>86</v>
      </c>
      <c r="K8" s="53">
        <v>60.490000000000009</v>
      </c>
      <c r="L8" s="33">
        <v>392000</v>
      </c>
      <c r="M8" s="33">
        <v>220485.3</v>
      </c>
      <c r="N8" s="33">
        <v>83203.603901471302</v>
      </c>
      <c r="O8" s="33">
        <v>21466.35807571499</v>
      </c>
      <c r="P8" s="33">
        <v>79597.255744751179</v>
      </c>
      <c r="Q8" s="45">
        <v>3906.877169780128</v>
      </c>
      <c r="R8" s="33">
        <v>0</v>
      </c>
      <c r="S8" s="33">
        <v>120426.26880476109</v>
      </c>
      <c r="T8" s="33">
        <v>0</v>
      </c>
      <c r="U8" s="52"/>
      <c r="V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921085.6636964787</v>
      </c>
      <c r="W8" s="33">
        <v>692.82</v>
      </c>
      <c r="X8" s="34">
        <v>45212</v>
      </c>
      <c r="Y8" s="33">
        <v>12229.01</v>
      </c>
      <c r="Z8" s="46">
        <f>Шаблон_Формулы_2[[#This Row],[23]]*Шаблон_Формулы_2[[#This Row],[25]]</f>
        <v>8472502.7082000002</v>
      </c>
      <c r="AA8" s="31" t="s">
        <v>536</v>
      </c>
    </row>
    <row r="9" spans="1:27">
      <c r="A9" s="49">
        <v>5</v>
      </c>
      <c r="B9" s="35" t="s">
        <v>331</v>
      </c>
      <c r="C9" s="35" t="s">
        <v>135</v>
      </c>
      <c r="D9" s="35" t="s">
        <v>21</v>
      </c>
      <c r="E9" s="34">
        <v>45176</v>
      </c>
      <c r="F9" s="35" t="s">
        <v>319</v>
      </c>
      <c r="G9" s="32" t="s">
        <v>387</v>
      </c>
      <c r="H9" s="50">
        <v>17.260000000000002</v>
      </c>
      <c r="I9" s="33">
        <v>14793.6</v>
      </c>
      <c r="J9" s="33" t="s">
        <v>86</v>
      </c>
      <c r="K9" s="53">
        <v>60.490000000000009</v>
      </c>
      <c r="L9" s="33">
        <v>724000</v>
      </c>
      <c r="M9" s="33">
        <v>146537.40000000002</v>
      </c>
      <c r="N9" s="33">
        <v>55298.198049264334</v>
      </c>
      <c r="O9" s="33">
        <v>14266.820962142501</v>
      </c>
      <c r="P9" s="33">
        <v>52901.372127624396</v>
      </c>
      <c r="Q9" s="45">
        <v>2596.5614151099353</v>
      </c>
      <c r="R9" s="33">
        <v>0</v>
      </c>
      <c r="S9" s="33">
        <v>80036.865597619428</v>
      </c>
      <c r="T9" s="33">
        <v>0</v>
      </c>
      <c r="U9" s="52"/>
      <c r="V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1075637.2181517605</v>
      </c>
      <c r="W9" s="33">
        <v>809.07</v>
      </c>
      <c r="X9" s="34">
        <v>45212</v>
      </c>
      <c r="Y9" s="33">
        <v>12229.01</v>
      </c>
      <c r="Z9" s="46">
        <f>Шаблон_Формулы_2[[#This Row],[23]]*Шаблон_Формулы_2[[#This Row],[25]]</f>
        <v>9894125.1207000017</v>
      </c>
      <c r="AA9" s="31" t="s">
        <v>536</v>
      </c>
    </row>
    <row r="10" spans="1:27">
      <c r="A10" s="49">
        <v>6</v>
      </c>
      <c r="B10" s="35" t="s">
        <v>331</v>
      </c>
      <c r="C10" s="35" t="s">
        <v>135</v>
      </c>
      <c r="D10" s="35" t="s">
        <v>21</v>
      </c>
      <c r="E10" s="34">
        <v>45176</v>
      </c>
      <c r="F10" s="35" t="s">
        <v>319</v>
      </c>
      <c r="G10" s="32" t="s">
        <v>388</v>
      </c>
      <c r="H10" s="50">
        <v>17.260000000000002</v>
      </c>
      <c r="I10" s="33">
        <v>2149.44</v>
      </c>
      <c r="J10" s="33" t="s">
        <v>86</v>
      </c>
      <c r="K10" s="53">
        <v>60.490000000000009</v>
      </c>
      <c r="L10" s="33">
        <v>376000</v>
      </c>
      <c r="M10" s="33">
        <v>146537.40000000002</v>
      </c>
      <c r="N10" s="33">
        <v>55298.198049264334</v>
      </c>
      <c r="O10" s="33">
        <v>14266.820962142501</v>
      </c>
      <c r="P10" s="33">
        <v>52901.372127624396</v>
      </c>
      <c r="Q10" s="45">
        <v>2596.5614151099353</v>
      </c>
      <c r="R10" s="33">
        <v>0</v>
      </c>
      <c r="S10" s="33">
        <v>80036.865597619428</v>
      </c>
      <c r="T10" s="33">
        <v>0</v>
      </c>
      <c r="U10" s="52"/>
      <c r="V1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727637.21815176064</v>
      </c>
      <c r="W10" s="33">
        <v>547.30999999999995</v>
      </c>
      <c r="X10" s="34">
        <v>45212</v>
      </c>
      <c r="Y10" s="33">
        <v>12229.01</v>
      </c>
      <c r="Z10" s="46">
        <f>Шаблон_Формулы_2[[#This Row],[23]]*Шаблон_Формулы_2[[#This Row],[25]]</f>
        <v>6693059.4630999994</v>
      </c>
      <c r="AA10" s="31" t="s">
        <v>536</v>
      </c>
    </row>
    <row r="11" spans="1:27">
      <c r="A11" s="49">
        <v>7</v>
      </c>
      <c r="B11" s="35" t="s">
        <v>332</v>
      </c>
      <c r="C11" s="35" t="s">
        <v>135</v>
      </c>
      <c r="D11" s="35" t="s">
        <v>21</v>
      </c>
      <c r="E11" s="34">
        <v>45176</v>
      </c>
      <c r="F11" s="35" t="s">
        <v>319</v>
      </c>
      <c r="G11" s="32" t="s">
        <v>389</v>
      </c>
      <c r="H11" s="50">
        <v>18.34</v>
      </c>
      <c r="I11" s="33">
        <v>2283.7800000000002</v>
      </c>
      <c r="J11" s="33" t="s">
        <v>86</v>
      </c>
      <c r="K11" s="53">
        <v>64.73</v>
      </c>
      <c r="L11" s="33">
        <v>376000</v>
      </c>
      <c r="M11" s="33">
        <v>155706.6</v>
      </c>
      <c r="N11" s="33">
        <v>54909.501004171172</v>
      </c>
      <c r="O11" s="33">
        <v>14166.537926772749</v>
      </c>
      <c r="P11" s="33">
        <v>52529.522632473352</v>
      </c>
      <c r="Q11" s="45">
        <v>2578.3099026726404</v>
      </c>
      <c r="R11" s="33">
        <v>0</v>
      </c>
      <c r="S11" s="33">
        <v>79474.27776919512</v>
      </c>
      <c r="T11" s="33">
        <v>0</v>
      </c>
      <c r="U11" s="52"/>
      <c r="V1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735364.7492352851</v>
      </c>
      <c r="W11" s="33">
        <v>553.13</v>
      </c>
      <c r="X11" s="34">
        <v>45212</v>
      </c>
      <c r="Y11" s="33">
        <v>12229.01</v>
      </c>
      <c r="Z11" s="46">
        <f>Шаблон_Формулы_2[[#This Row],[23]]*Шаблон_Формулы_2[[#This Row],[25]]</f>
        <v>6764232.3013000004</v>
      </c>
      <c r="AA11" s="31" t="s">
        <v>536</v>
      </c>
    </row>
    <row r="12" spans="1:27">
      <c r="A12" s="49">
        <v>8</v>
      </c>
      <c r="B12" s="35" t="s">
        <v>332</v>
      </c>
      <c r="C12" s="35" t="s">
        <v>135</v>
      </c>
      <c r="D12" s="35" t="s">
        <v>21</v>
      </c>
      <c r="E12" s="34">
        <v>45176</v>
      </c>
      <c r="F12" s="35" t="s">
        <v>319</v>
      </c>
      <c r="G12" s="32" t="s">
        <v>390</v>
      </c>
      <c r="H12" s="50">
        <v>10.79</v>
      </c>
      <c r="I12" s="33">
        <v>8614</v>
      </c>
      <c r="J12" s="33" t="s">
        <v>86</v>
      </c>
      <c r="K12" s="53">
        <v>64.73</v>
      </c>
      <c r="L12" s="33">
        <v>392000</v>
      </c>
      <c r="M12" s="33">
        <v>91607.099999999991</v>
      </c>
      <c r="N12" s="33">
        <v>32304.989958288272</v>
      </c>
      <c r="O12" s="33">
        <v>8334.6207322725149</v>
      </c>
      <c r="P12" s="33">
        <v>30904.77367526649</v>
      </c>
      <c r="Q12" s="45">
        <v>1516.9009732735979</v>
      </c>
      <c r="R12" s="33">
        <v>0</v>
      </c>
      <c r="S12" s="33">
        <v>46757.222308048811</v>
      </c>
      <c r="T12" s="33">
        <v>0</v>
      </c>
      <c r="U12" s="52"/>
      <c r="V1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603425.60764714971</v>
      </c>
      <c r="W12" s="33">
        <v>453.88</v>
      </c>
      <c r="X12" s="34">
        <v>45212</v>
      </c>
      <c r="Y12" s="33">
        <v>12229.01</v>
      </c>
      <c r="Z12" s="46">
        <f>Шаблон_Формулы_2[[#This Row],[23]]*Шаблон_Формулы_2[[#This Row],[25]]</f>
        <v>5550503.0587999998</v>
      </c>
      <c r="AA12" s="31" t="s">
        <v>536</v>
      </c>
    </row>
    <row r="13" spans="1:27">
      <c r="A13" s="49">
        <v>9</v>
      </c>
      <c r="B13" s="35" t="s">
        <v>332</v>
      </c>
      <c r="C13" s="35" t="s">
        <v>135</v>
      </c>
      <c r="D13" s="35" t="s">
        <v>21</v>
      </c>
      <c r="E13" s="34">
        <v>45176</v>
      </c>
      <c r="F13" s="35" t="s">
        <v>319</v>
      </c>
      <c r="G13" s="32" t="s">
        <v>391</v>
      </c>
      <c r="H13" s="50">
        <v>22.65</v>
      </c>
      <c r="I13" s="33">
        <v>3330.18</v>
      </c>
      <c r="J13" s="33" t="s">
        <v>86</v>
      </c>
      <c r="K13" s="53">
        <v>64.73</v>
      </c>
      <c r="L13" s="33">
        <v>392000</v>
      </c>
      <c r="M13" s="33">
        <v>192298.5</v>
      </c>
      <c r="N13" s="33">
        <v>67813.533137648687</v>
      </c>
      <c r="O13" s="33">
        <v>17495.751583500693</v>
      </c>
      <c r="P13" s="33">
        <v>64874.246871620569</v>
      </c>
      <c r="Q13" s="45">
        <v>3184.2267881971261</v>
      </c>
      <c r="R13" s="33">
        <v>0</v>
      </c>
      <c r="S13" s="33">
        <v>98151.166383438889</v>
      </c>
      <c r="T13" s="33">
        <v>0</v>
      </c>
      <c r="U13" s="52"/>
      <c r="V1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835817.42476440594</v>
      </c>
      <c r="W13" s="33">
        <v>628.67999999999995</v>
      </c>
      <c r="X13" s="34">
        <v>45212</v>
      </c>
      <c r="Y13" s="33">
        <v>12229.01</v>
      </c>
      <c r="Z13" s="46">
        <f>Шаблон_Формулы_2[[#This Row],[23]]*Шаблон_Формулы_2[[#This Row],[25]]</f>
        <v>7688134.0067999996</v>
      </c>
      <c r="AA13" s="31" t="s">
        <v>536</v>
      </c>
    </row>
    <row r="14" spans="1:27">
      <c r="A14" s="49">
        <v>10</v>
      </c>
      <c r="B14" s="35" t="s">
        <v>332</v>
      </c>
      <c r="C14" s="35" t="s">
        <v>135</v>
      </c>
      <c r="D14" s="35" t="s">
        <v>21</v>
      </c>
      <c r="E14" s="34">
        <v>45176</v>
      </c>
      <c r="F14" s="35" t="s">
        <v>319</v>
      </c>
      <c r="G14" s="32" t="s">
        <v>392</v>
      </c>
      <c r="H14" s="50">
        <v>7.55</v>
      </c>
      <c r="I14" s="33">
        <v>4228</v>
      </c>
      <c r="J14" s="33" t="s">
        <v>86</v>
      </c>
      <c r="K14" s="53">
        <v>64.73</v>
      </c>
      <c r="L14" s="33">
        <v>332000</v>
      </c>
      <c r="M14" s="33">
        <v>64099.5</v>
      </c>
      <c r="N14" s="33">
        <v>22604.511045882897</v>
      </c>
      <c r="O14" s="33">
        <v>5831.9171945002317</v>
      </c>
      <c r="P14" s="33">
        <v>21624.748957206859</v>
      </c>
      <c r="Q14" s="45">
        <v>1061.4089293990421</v>
      </c>
      <c r="R14" s="33">
        <v>0</v>
      </c>
      <c r="S14" s="33">
        <v>32717.055461146298</v>
      </c>
      <c r="T14" s="33">
        <v>0</v>
      </c>
      <c r="U14" s="52"/>
      <c r="V1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479939.14158813527</v>
      </c>
      <c r="W14" s="33">
        <v>361</v>
      </c>
      <c r="X14" s="34">
        <v>45212</v>
      </c>
      <c r="Y14" s="33">
        <v>12229.01</v>
      </c>
      <c r="Z14" s="46">
        <f>Шаблон_Формулы_2[[#This Row],[23]]*Шаблон_Формулы_2[[#This Row],[25]]</f>
        <v>4414672.6100000003</v>
      </c>
      <c r="AA14" s="31" t="s">
        <v>536</v>
      </c>
    </row>
    <row r="15" spans="1:27">
      <c r="A15" s="49">
        <v>11</v>
      </c>
      <c r="B15" s="35" t="s">
        <v>332</v>
      </c>
      <c r="C15" s="35" t="s">
        <v>135</v>
      </c>
      <c r="D15" s="35" t="s">
        <v>21</v>
      </c>
      <c r="E15" s="34">
        <v>45176</v>
      </c>
      <c r="F15" s="35" t="s">
        <v>319</v>
      </c>
      <c r="G15" s="32" t="s">
        <v>393</v>
      </c>
      <c r="H15" s="50">
        <v>5.4</v>
      </c>
      <c r="I15" s="33">
        <v>424.4</v>
      </c>
      <c r="J15" s="33" t="s">
        <v>86</v>
      </c>
      <c r="K15" s="53">
        <v>64.73</v>
      </c>
      <c r="L15" s="33">
        <v>291100</v>
      </c>
      <c r="M15" s="33">
        <v>45846</v>
      </c>
      <c r="N15" s="33">
        <v>16167.46485400896</v>
      </c>
      <c r="O15" s="33">
        <v>4171.1725629538078</v>
      </c>
      <c r="P15" s="33">
        <v>15466.707863432719</v>
      </c>
      <c r="Q15" s="45">
        <v>759.15340645759306</v>
      </c>
      <c r="R15" s="33">
        <v>0</v>
      </c>
      <c r="S15" s="33">
        <v>23400.278078170864</v>
      </c>
      <c r="T15" s="33">
        <v>0</v>
      </c>
      <c r="U15" s="52"/>
      <c r="V1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396910.77676502388</v>
      </c>
      <c r="W15" s="33">
        <v>298.55</v>
      </c>
      <c r="X15" s="34">
        <v>45212</v>
      </c>
      <c r="Y15" s="33">
        <v>12229.01</v>
      </c>
      <c r="Z15" s="46">
        <f>Шаблон_Формулы_2[[#This Row],[23]]*Шаблон_Формулы_2[[#This Row],[25]]</f>
        <v>3650970.9355000001</v>
      </c>
      <c r="AA15" s="31" t="s">
        <v>536</v>
      </c>
    </row>
    <row r="16" spans="1:27">
      <c r="A16" s="49">
        <v>12</v>
      </c>
      <c r="B16" s="35" t="s">
        <v>333</v>
      </c>
      <c r="C16" s="35" t="s">
        <v>135</v>
      </c>
      <c r="D16" s="35" t="s">
        <v>21</v>
      </c>
      <c r="E16" s="34">
        <v>45176</v>
      </c>
      <c r="F16" s="35" t="s">
        <v>319</v>
      </c>
      <c r="G16" s="32" t="s">
        <v>394</v>
      </c>
      <c r="H16" s="50">
        <v>30.21</v>
      </c>
      <c r="I16" s="33">
        <v>5096</v>
      </c>
      <c r="J16" s="33" t="s">
        <v>86</v>
      </c>
      <c r="K16" s="53">
        <v>63.21</v>
      </c>
      <c r="L16" s="33">
        <v>392000</v>
      </c>
      <c r="M16" s="33">
        <v>256482.9</v>
      </c>
      <c r="N16" s="33">
        <v>92622.971048884676</v>
      </c>
      <c r="O16" s="33">
        <v>23896.53535832938</v>
      </c>
      <c r="P16" s="33">
        <v>88608.353108685333</v>
      </c>
      <c r="Q16" s="45">
        <v>4349.1694352159475</v>
      </c>
      <c r="R16" s="33">
        <v>0</v>
      </c>
      <c r="S16" s="33">
        <v>134059.56336022782</v>
      </c>
      <c r="T16" s="33">
        <v>0</v>
      </c>
      <c r="U16" s="52"/>
      <c r="V1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992019.49231134332</v>
      </c>
      <c r="W16" s="33">
        <v>746.18</v>
      </c>
      <c r="X16" s="34">
        <v>45212</v>
      </c>
      <c r="Y16" s="33">
        <v>12229.01</v>
      </c>
      <c r="Z16" s="46">
        <f>Шаблон_Формулы_2[[#This Row],[23]]*Шаблон_Формулы_2[[#This Row],[25]]</f>
        <v>9125042.6818000004</v>
      </c>
      <c r="AA16" s="31" t="s">
        <v>536</v>
      </c>
    </row>
    <row r="17" spans="1:27">
      <c r="A17" s="49">
        <v>13</v>
      </c>
      <c r="B17" s="35" t="s">
        <v>333</v>
      </c>
      <c r="C17" s="35" t="s">
        <v>135</v>
      </c>
      <c r="D17" s="35" t="s">
        <v>21</v>
      </c>
      <c r="E17" s="34">
        <v>45176</v>
      </c>
      <c r="F17" s="35" t="s">
        <v>319</v>
      </c>
      <c r="G17" s="32" t="s">
        <v>395</v>
      </c>
      <c r="H17" s="50">
        <v>21.58</v>
      </c>
      <c r="I17" s="33">
        <v>6420</v>
      </c>
      <c r="J17" s="33" t="s">
        <v>86</v>
      </c>
      <c r="K17" s="53">
        <v>63.21</v>
      </c>
      <c r="L17" s="33">
        <v>392000</v>
      </c>
      <c r="M17" s="33">
        <v>183214.19999999998</v>
      </c>
      <c r="N17" s="33">
        <v>66163.644992880872</v>
      </c>
      <c r="O17" s="33">
        <v>17070.083847492486</v>
      </c>
      <c r="P17" s="33">
        <v>63295.870906502132</v>
      </c>
      <c r="Q17" s="45">
        <v>3106.7552602436322</v>
      </c>
      <c r="R17" s="33">
        <v>0</v>
      </c>
      <c r="S17" s="33">
        <v>95763.170384432844</v>
      </c>
      <c r="T17" s="33">
        <v>0</v>
      </c>
      <c r="U17" s="52"/>
      <c r="V1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820613.72539155197</v>
      </c>
      <c r="W17" s="33">
        <v>617.25</v>
      </c>
      <c r="X17" s="34">
        <v>45212</v>
      </c>
      <c r="Y17" s="33">
        <v>12229.01</v>
      </c>
      <c r="Z17" s="46">
        <f>Шаблон_Формулы_2[[#This Row],[23]]*Шаблон_Формулы_2[[#This Row],[25]]</f>
        <v>7548356.4225000003</v>
      </c>
      <c r="AA17" s="31" t="s">
        <v>536</v>
      </c>
    </row>
    <row r="18" spans="1:27">
      <c r="A18" s="49">
        <v>14</v>
      </c>
      <c r="B18" s="35" t="s">
        <v>333</v>
      </c>
      <c r="C18" s="35" t="s">
        <v>135</v>
      </c>
      <c r="D18" s="35" t="s">
        <v>21</v>
      </c>
      <c r="E18" s="34">
        <v>45176</v>
      </c>
      <c r="F18" s="35" t="s">
        <v>319</v>
      </c>
      <c r="G18" s="32" t="s">
        <v>396</v>
      </c>
      <c r="H18" s="50">
        <v>10.79</v>
      </c>
      <c r="I18" s="33">
        <v>8614</v>
      </c>
      <c r="J18" s="33" t="s">
        <v>86</v>
      </c>
      <c r="K18" s="53">
        <v>63.21</v>
      </c>
      <c r="L18" s="33">
        <v>392000</v>
      </c>
      <c r="M18" s="33">
        <v>91607.099999999991</v>
      </c>
      <c r="N18" s="33">
        <v>33081.822496440436</v>
      </c>
      <c r="O18" s="33">
        <v>8535.0419237462429</v>
      </c>
      <c r="P18" s="33">
        <v>31647.935453251066</v>
      </c>
      <c r="Q18" s="45">
        <v>1553.3776301218161</v>
      </c>
      <c r="R18" s="33">
        <v>0</v>
      </c>
      <c r="S18" s="33">
        <v>47881.585192216422</v>
      </c>
      <c r="T18" s="33">
        <v>0</v>
      </c>
      <c r="U18" s="52"/>
      <c r="V1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606306.86269577604</v>
      </c>
      <c r="W18" s="33">
        <v>456.05</v>
      </c>
      <c r="X18" s="34">
        <v>45212</v>
      </c>
      <c r="Y18" s="33">
        <v>12229.01</v>
      </c>
      <c r="Z18" s="46">
        <f>Шаблон_Формулы_2[[#This Row],[23]]*Шаблон_Формулы_2[[#This Row],[25]]</f>
        <v>5577040.0104999999</v>
      </c>
      <c r="AA18" s="31" t="s">
        <v>536</v>
      </c>
    </row>
    <row r="19" spans="1:27">
      <c r="A19" s="49">
        <v>15</v>
      </c>
      <c r="B19" s="35" t="s">
        <v>333</v>
      </c>
      <c r="C19" s="35" t="s">
        <v>135</v>
      </c>
      <c r="D19" s="35" t="s">
        <v>21</v>
      </c>
      <c r="E19" s="34">
        <v>45176</v>
      </c>
      <c r="F19" s="35" t="s">
        <v>319</v>
      </c>
      <c r="G19" s="32" t="s">
        <v>397</v>
      </c>
      <c r="H19" s="50">
        <v>0.63</v>
      </c>
      <c r="I19" s="33">
        <v>46.5</v>
      </c>
      <c r="J19" s="33" t="s">
        <v>86</v>
      </c>
      <c r="K19" s="53">
        <v>63.21</v>
      </c>
      <c r="L19" s="33">
        <v>232000</v>
      </c>
      <c r="M19" s="33">
        <v>5348.7</v>
      </c>
      <c r="N19" s="33">
        <v>1931.5614617940198</v>
      </c>
      <c r="O19" s="33">
        <v>498.33887043189367</v>
      </c>
      <c r="P19" s="33">
        <v>1847.8405315614616</v>
      </c>
      <c r="Q19" s="45">
        <v>90.697674418604649</v>
      </c>
      <c r="R19" s="33">
        <v>0</v>
      </c>
      <c r="S19" s="33">
        <v>2795.6810631229232</v>
      </c>
      <c r="T19" s="33">
        <v>0</v>
      </c>
      <c r="U19" s="52"/>
      <c r="V1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244512.81960132893</v>
      </c>
      <c r="W19" s="33">
        <v>183.92</v>
      </c>
      <c r="X19" s="34">
        <v>45212</v>
      </c>
      <c r="Y19" s="33">
        <v>12229.01</v>
      </c>
      <c r="Z19" s="46">
        <f>Шаблон_Формулы_2[[#This Row],[23]]*Шаблон_Формулы_2[[#This Row],[25]]</f>
        <v>2249159.5192</v>
      </c>
      <c r="AA19" s="31" t="s">
        <v>536</v>
      </c>
    </row>
    <row r="20" spans="1:27">
      <c r="A20" s="49">
        <v>16</v>
      </c>
      <c r="B20" s="35" t="s">
        <v>334</v>
      </c>
      <c r="C20" s="35" t="s">
        <v>135</v>
      </c>
      <c r="D20" s="35" t="s">
        <v>21</v>
      </c>
      <c r="E20" s="34">
        <v>45176</v>
      </c>
      <c r="F20" s="35" t="s">
        <v>319</v>
      </c>
      <c r="G20" s="32" t="s">
        <v>398</v>
      </c>
      <c r="H20" s="50">
        <v>30.21</v>
      </c>
      <c r="I20" s="33">
        <v>5096</v>
      </c>
      <c r="J20" s="33" t="s">
        <v>86</v>
      </c>
      <c r="K20" s="53">
        <v>64.739999999999995</v>
      </c>
      <c r="L20" s="33">
        <v>392000</v>
      </c>
      <c r="M20" s="33">
        <v>256482.9</v>
      </c>
      <c r="N20" s="33">
        <v>90434.012974976838</v>
      </c>
      <c r="O20" s="33">
        <v>23331.788693234477</v>
      </c>
      <c r="P20" s="33">
        <v>86514.272474513447</v>
      </c>
      <c r="Q20" s="45">
        <v>4246.3855421686749</v>
      </c>
      <c r="R20" s="33">
        <v>0</v>
      </c>
      <c r="S20" s="33">
        <v>130891.33456904543</v>
      </c>
      <c r="T20" s="33">
        <v>0</v>
      </c>
      <c r="U20" s="52"/>
      <c r="V2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983900.69425393874</v>
      </c>
      <c r="W20" s="33">
        <v>740.07</v>
      </c>
      <c r="X20" s="34">
        <v>45212</v>
      </c>
      <c r="Y20" s="33">
        <v>12229.01</v>
      </c>
      <c r="Z20" s="46">
        <f>Шаблон_Формулы_2[[#This Row],[23]]*Шаблон_Формулы_2[[#This Row],[25]]</f>
        <v>9050323.4307000004</v>
      </c>
      <c r="AA20" s="31" t="s">
        <v>536</v>
      </c>
    </row>
    <row r="21" spans="1:27">
      <c r="A21" s="49">
        <v>17</v>
      </c>
      <c r="B21" s="35" t="s">
        <v>334</v>
      </c>
      <c r="C21" s="35" t="s">
        <v>135</v>
      </c>
      <c r="D21" s="35" t="s">
        <v>21</v>
      </c>
      <c r="E21" s="34">
        <v>45176</v>
      </c>
      <c r="F21" s="35" t="s">
        <v>319</v>
      </c>
      <c r="G21" s="32" t="s">
        <v>399</v>
      </c>
      <c r="H21" s="50">
        <v>21.58</v>
      </c>
      <c r="I21" s="33">
        <v>6420</v>
      </c>
      <c r="J21" s="33" t="s">
        <v>86</v>
      </c>
      <c r="K21" s="53">
        <v>64.739999999999995</v>
      </c>
      <c r="L21" s="33">
        <v>392000</v>
      </c>
      <c r="M21" s="33">
        <v>183214.19999999998</v>
      </c>
      <c r="N21" s="33">
        <v>64600</v>
      </c>
      <c r="O21" s="33">
        <v>16666.666666666664</v>
      </c>
      <c r="P21" s="33">
        <v>61800</v>
      </c>
      <c r="Q21" s="45">
        <v>3033.333333333333</v>
      </c>
      <c r="R21" s="33">
        <v>0</v>
      </c>
      <c r="S21" s="33">
        <v>93500</v>
      </c>
      <c r="T21" s="33">
        <v>0</v>
      </c>
      <c r="U21" s="52"/>
      <c r="V2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814814.2</v>
      </c>
      <c r="W21" s="33">
        <v>612.89</v>
      </c>
      <c r="X21" s="34">
        <v>45212</v>
      </c>
      <c r="Y21" s="33">
        <v>12229.01</v>
      </c>
      <c r="Z21" s="46">
        <f>Шаблон_Формулы_2[[#This Row],[23]]*Шаблон_Формулы_2[[#This Row],[25]]</f>
        <v>7495037.9389000004</v>
      </c>
      <c r="AA21" s="31" t="s">
        <v>536</v>
      </c>
    </row>
    <row r="22" spans="1:27">
      <c r="A22" s="49">
        <v>18</v>
      </c>
      <c r="B22" s="35" t="s">
        <v>334</v>
      </c>
      <c r="C22" s="35" t="s">
        <v>135</v>
      </c>
      <c r="D22" s="35" t="s">
        <v>21</v>
      </c>
      <c r="E22" s="34">
        <v>45176</v>
      </c>
      <c r="F22" s="35" t="s">
        <v>319</v>
      </c>
      <c r="G22" s="32" t="s">
        <v>400</v>
      </c>
      <c r="H22" s="50">
        <v>12.95</v>
      </c>
      <c r="I22" s="33">
        <v>1612.08</v>
      </c>
      <c r="J22" s="33" t="s">
        <v>86</v>
      </c>
      <c r="K22" s="53">
        <v>64.739999999999995</v>
      </c>
      <c r="L22" s="33">
        <v>332000</v>
      </c>
      <c r="M22" s="33">
        <v>109945.5</v>
      </c>
      <c r="N22" s="33">
        <v>38765.987025023169</v>
      </c>
      <c r="O22" s="33">
        <v>10001.544640098857</v>
      </c>
      <c r="P22" s="33">
        <v>37085.72752548656</v>
      </c>
      <c r="Q22" s="45">
        <v>1820.2811244979919</v>
      </c>
      <c r="R22" s="33">
        <v>0</v>
      </c>
      <c r="S22" s="33">
        <v>56108.665430954585</v>
      </c>
      <c r="T22" s="33">
        <v>0</v>
      </c>
      <c r="U22" s="52"/>
      <c r="V2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585727.70574606117</v>
      </c>
      <c r="W22" s="33">
        <v>440.57</v>
      </c>
      <c r="X22" s="34">
        <v>45212</v>
      </c>
      <c r="Y22" s="33">
        <v>12229.01</v>
      </c>
      <c r="Z22" s="46">
        <f>Шаблон_Формулы_2[[#This Row],[23]]*Шаблон_Формулы_2[[#This Row],[25]]</f>
        <v>5387734.9357000003</v>
      </c>
      <c r="AA22" s="31" t="s">
        <v>536</v>
      </c>
    </row>
    <row r="23" spans="1:27">
      <c r="A23" s="49">
        <v>19</v>
      </c>
      <c r="B23" s="35" t="s">
        <v>335</v>
      </c>
      <c r="C23" s="35" t="s">
        <v>135</v>
      </c>
      <c r="D23" s="35" t="s">
        <v>21</v>
      </c>
      <c r="E23" s="34">
        <v>45176</v>
      </c>
      <c r="F23" s="35" t="s">
        <v>319</v>
      </c>
      <c r="G23" s="32" t="s">
        <v>401</v>
      </c>
      <c r="H23" s="50">
        <v>12.95</v>
      </c>
      <c r="I23" s="33">
        <v>1612.08</v>
      </c>
      <c r="J23" s="33" t="s">
        <v>86</v>
      </c>
      <c r="K23" s="53">
        <v>59.155999999999999</v>
      </c>
      <c r="L23" s="33">
        <v>332000</v>
      </c>
      <c r="M23" s="33">
        <v>109945.5</v>
      </c>
      <c r="N23" s="33">
        <v>42425.282304415443</v>
      </c>
      <c r="O23" s="33">
        <v>10945.635269457029</v>
      </c>
      <c r="P23" s="33">
        <v>40586.415579146662</v>
      </c>
      <c r="Q23" s="45">
        <v>1992.1056190411791</v>
      </c>
      <c r="R23" s="33">
        <v>0</v>
      </c>
      <c r="S23" s="33">
        <v>61405.013861653926</v>
      </c>
      <c r="T23" s="33">
        <v>0</v>
      </c>
      <c r="U23" s="52"/>
      <c r="V2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599299.95263371419</v>
      </c>
      <c r="W23" s="33">
        <v>450.78</v>
      </c>
      <c r="X23" s="34">
        <v>45212</v>
      </c>
      <c r="Y23" s="33">
        <v>12229.01</v>
      </c>
      <c r="Z23" s="46">
        <f>Шаблон_Формулы_2[[#This Row],[23]]*Шаблон_Формулы_2[[#This Row],[25]]</f>
        <v>5512593.1277999999</v>
      </c>
      <c r="AA23" s="31" t="s">
        <v>536</v>
      </c>
    </row>
    <row r="24" spans="1:27">
      <c r="A24" s="49">
        <v>20</v>
      </c>
      <c r="B24" s="35" t="s">
        <v>335</v>
      </c>
      <c r="C24" s="35" t="s">
        <v>135</v>
      </c>
      <c r="D24" s="35" t="s">
        <v>21</v>
      </c>
      <c r="E24" s="34">
        <v>45176</v>
      </c>
      <c r="F24" s="35" t="s">
        <v>319</v>
      </c>
      <c r="G24" s="32" t="s">
        <v>402</v>
      </c>
      <c r="H24" s="50">
        <v>12.67</v>
      </c>
      <c r="I24" s="33">
        <v>5225</v>
      </c>
      <c r="J24" s="33" t="s">
        <v>86</v>
      </c>
      <c r="K24" s="53">
        <v>59.155999999999999</v>
      </c>
      <c r="L24" s="33">
        <v>376000</v>
      </c>
      <c r="M24" s="33">
        <v>107568.3</v>
      </c>
      <c r="N24" s="33">
        <v>41507.978903238894</v>
      </c>
      <c r="O24" s="33">
        <v>10708.972885252553</v>
      </c>
      <c r="P24" s="33">
        <v>39708.871458516463</v>
      </c>
      <c r="Q24" s="45">
        <v>1949.0330651159647</v>
      </c>
      <c r="R24" s="33">
        <v>0</v>
      </c>
      <c r="S24" s="33">
        <v>60077.337886266825</v>
      </c>
      <c r="T24" s="33">
        <v>0</v>
      </c>
      <c r="U24" s="52"/>
      <c r="V2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637520.49419839075</v>
      </c>
      <c r="W24" s="33">
        <v>479.53</v>
      </c>
      <c r="X24" s="34">
        <v>45212</v>
      </c>
      <c r="Y24" s="33">
        <v>12229.01</v>
      </c>
      <c r="Z24" s="46">
        <f>Шаблон_Формулы_2[[#This Row],[23]]*Шаблон_Формулы_2[[#This Row],[25]]</f>
        <v>5864177.1652999995</v>
      </c>
      <c r="AA24" s="31" t="s">
        <v>536</v>
      </c>
    </row>
    <row r="25" spans="1:27">
      <c r="A25" s="49">
        <v>21</v>
      </c>
      <c r="B25" s="35" t="s">
        <v>335</v>
      </c>
      <c r="C25" s="35" t="s">
        <v>135</v>
      </c>
      <c r="D25" s="35" t="s">
        <v>21</v>
      </c>
      <c r="E25" s="34">
        <v>45176</v>
      </c>
      <c r="F25" s="35" t="s">
        <v>319</v>
      </c>
      <c r="G25" s="32" t="s">
        <v>403</v>
      </c>
      <c r="H25" s="50">
        <v>18.850000000000001</v>
      </c>
      <c r="I25" s="33">
        <v>6745</v>
      </c>
      <c r="J25" s="33" t="s">
        <v>86</v>
      </c>
      <c r="K25" s="53">
        <v>59.155999999999999</v>
      </c>
      <c r="L25" s="33">
        <v>376000</v>
      </c>
      <c r="M25" s="33">
        <v>160036.5</v>
      </c>
      <c r="N25" s="33">
        <v>61754.175400635613</v>
      </c>
      <c r="O25" s="33">
        <v>15932.449793765638</v>
      </c>
      <c r="P25" s="33">
        <v>59077.523835282984</v>
      </c>
      <c r="Q25" s="45">
        <v>2899.7058624653459</v>
      </c>
      <c r="R25" s="33">
        <v>0</v>
      </c>
      <c r="S25" s="33">
        <v>89381.043343025231</v>
      </c>
      <c r="T25" s="33">
        <v>0</v>
      </c>
      <c r="U25" s="52"/>
      <c r="V2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765081.39823517483</v>
      </c>
      <c r="W25" s="33">
        <v>575.48</v>
      </c>
      <c r="X25" s="34">
        <v>45212</v>
      </c>
      <c r="Y25" s="33">
        <v>12229.01</v>
      </c>
      <c r="Z25" s="46">
        <f>Шаблон_Формулы_2[[#This Row],[23]]*Шаблон_Формулы_2[[#This Row],[25]]</f>
        <v>7037550.6748000002</v>
      </c>
      <c r="AA25" s="31" t="s">
        <v>536</v>
      </c>
    </row>
    <row r="26" spans="1:27">
      <c r="A26" s="49">
        <v>22</v>
      </c>
      <c r="B26" s="35" t="s">
        <v>335</v>
      </c>
      <c r="C26" s="35" t="s">
        <v>135</v>
      </c>
      <c r="D26" s="35" t="s">
        <v>21</v>
      </c>
      <c r="E26" s="34">
        <v>45176</v>
      </c>
      <c r="F26" s="35" t="s">
        <v>319</v>
      </c>
      <c r="G26" s="32" t="s">
        <v>404</v>
      </c>
      <c r="H26" s="50">
        <v>14.686</v>
      </c>
      <c r="I26" s="33">
        <v>6028</v>
      </c>
      <c r="J26" s="33" t="s">
        <v>86</v>
      </c>
      <c r="K26" s="53">
        <v>59.155999999999999</v>
      </c>
      <c r="L26" s="33">
        <v>376000</v>
      </c>
      <c r="M26" s="33">
        <v>124684.14</v>
      </c>
      <c r="N26" s="33">
        <v>48112.563391710057</v>
      </c>
      <c r="O26" s="33">
        <v>12412.942051524782</v>
      </c>
      <c r="P26" s="33">
        <v>46027.189127053891</v>
      </c>
      <c r="Q26" s="45">
        <v>2259.1554533775102</v>
      </c>
      <c r="R26" s="33">
        <v>0</v>
      </c>
      <c r="S26" s="33">
        <v>69636.604909054033</v>
      </c>
      <c r="T26" s="33">
        <v>0</v>
      </c>
      <c r="U26" s="52"/>
      <c r="V2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679132.59493272018</v>
      </c>
      <c r="W26" s="33">
        <v>510.83</v>
      </c>
      <c r="X26" s="34">
        <v>45212</v>
      </c>
      <c r="Y26" s="33">
        <v>12229.01</v>
      </c>
      <c r="Z26" s="46">
        <f>Шаблон_Формулы_2[[#This Row],[23]]*Шаблон_Формулы_2[[#This Row],[25]]</f>
        <v>6246945.1782999998</v>
      </c>
      <c r="AA26" s="31" t="s">
        <v>536</v>
      </c>
    </row>
    <row r="27" spans="1:27">
      <c r="A27" s="49">
        <v>23</v>
      </c>
      <c r="B27" s="35" t="s">
        <v>336</v>
      </c>
      <c r="C27" s="35" t="s">
        <v>135</v>
      </c>
      <c r="D27" s="35" t="s">
        <v>21</v>
      </c>
      <c r="E27" s="34">
        <v>45176</v>
      </c>
      <c r="F27" s="35" t="s">
        <v>319</v>
      </c>
      <c r="G27" s="32" t="s">
        <v>405</v>
      </c>
      <c r="H27" s="50">
        <v>8.6300000000000008</v>
      </c>
      <c r="I27" s="33">
        <v>4832</v>
      </c>
      <c r="J27" s="33" t="s">
        <v>86</v>
      </c>
      <c r="K27" s="53">
        <v>46.967000000000006</v>
      </c>
      <c r="L27" s="33">
        <v>332000</v>
      </c>
      <c r="M27" s="33">
        <v>73268.700000000012</v>
      </c>
      <c r="N27" s="33">
        <v>35609.981476355737</v>
      </c>
      <c r="O27" s="33">
        <v>9187.3017224860014</v>
      </c>
      <c r="P27" s="33">
        <v>34066.514786978092</v>
      </c>
      <c r="Q27" s="45">
        <v>1672.0889134924521</v>
      </c>
      <c r="R27" s="33">
        <v>0</v>
      </c>
      <c r="S27" s="33">
        <v>51540.762663146466</v>
      </c>
      <c r="T27" s="33">
        <v>0</v>
      </c>
      <c r="U27" s="52"/>
      <c r="V2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537345.34956245869</v>
      </c>
      <c r="W27" s="33">
        <v>404.18</v>
      </c>
      <c r="X27" s="34">
        <v>45212</v>
      </c>
      <c r="Y27" s="33">
        <v>12229.01</v>
      </c>
      <c r="Z27" s="46">
        <f>Шаблон_Формулы_2[[#This Row],[23]]*Шаблон_Формулы_2[[#This Row],[25]]</f>
        <v>4942721.2618000004</v>
      </c>
      <c r="AA27" s="31" t="s">
        <v>536</v>
      </c>
    </row>
    <row r="28" spans="1:27">
      <c r="A28" s="49">
        <v>24</v>
      </c>
      <c r="B28" s="35" t="s">
        <v>336</v>
      </c>
      <c r="C28" s="35" t="s">
        <v>135</v>
      </c>
      <c r="D28" s="35" t="s">
        <v>21</v>
      </c>
      <c r="E28" s="34">
        <v>45176</v>
      </c>
      <c r="F28" s="35" t="s">
        <v>319</v>
      </c>
      <c r="G28" s="32" t="s">
        <v>406</v>
      </c>
      <c r="H28" s="50">
        <v>21.576000000000001</v>
      </c>
      <c r="I28" s="33">
        <v>14320</v>
      </c>
      <c r="J28" s="33" t="s">
        <v>86</v>
      </c>
      <c r="K28" s="53">
        <v>46.967000000000006</v>
      </c>
      <c r="L28" s="33">
        <v>724000</v>
      </c>
      <c r="M28" s="33">
        <v>183180.24</v>
      </c>
      <c r="N28" s="33">
        <v>89029.079992335028</v>
      </c>
      <c r="O28" s="33">
        <v>22969.318883471369</v>
      </c>
      <c r="P28" s="33">
        <v>85170.234419911838</v>
      </c>
      <c r="Q28" s="45">
        <v>4180.4160367917893</v>
      </c>
      <c r="R28" s="33">
        <v>0</v>
      </c>
      <c r="S28" s="33">
        <v>128857.87893627438</v>
      </c>
      <c r="T28" s="33">
        <v>0</v>
      </c>
      <c r="U28" s="52"/>
      <c r="V2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1237387.1682687846</v>
      </c>
      <c r="W28" s="33">
        <v>930.74</v>
      </c>
      <c r="X28" s="34">
        <v>45212</v>
      </c>
      <c r="Y28" s="33">
        <v>12229.01</v>
      </c>
      <c r="Z28" s="46">
        <f>Шаблон_Формулы_2[[#This Row],[23]]*Шаблон_Формулы_2[[#This Row],[25]]</f>
        <v>11382028.7674</v>
      </c>
      <c r="AA28" s="31" t="s">
        <v>536</v>
      </c>
    </row>
    <row r="29" spans="1:27">
      <c r="A29" s="49">
        <v>25</v>
      </c>
      <c r="B29" s="35" t="s">
        <v>336</v>
      </c>
      <c r="C29" s="35" t="s">
        <v>135</v>
      </c>
      <c r="D29" s="35" t="s">
        <v>21</v>
      </c>
      <c r="E29" s="34">
        <v>45176</v>
      </c>
      <c r="F29" s="35" t="s">
        <v>319</v>
      </c>
      <c r="G29" s="32" t="s">
        <v>407</v>
      </c>
      <c r="H29" s="50">
        <v>9.4860000000000007</v>
      </c>
      <c r="I29" s="33">
        <v>3080</v>
      </c>
      <c r="J29" s="33" t="s">
        <v>86</v>
      </c>
      <c r="K29" s="53">
        <v>46.967000000000006</v>
      </c>
      <c r="L29" s="33">
        <v>332000</v>
      </c>
      <c r="M29" s="33">
        <v>80536.14</v>
      </c>
      <c r="N29" s="33">
        <v>39142.095513871442</v>
      </c>
      <c r="O29" s="33">
        <v>10098.57985394</v>
      </c>
      <c r="P29" s="33">
        <v>37445.534098409516</v>
      </c>
      <c r="Q29" s="45">
        <v>1837.9415334170799</v>
      </c>
      <c r="R29" s="33">
        <v>0</v>
      </c>
      <c r="S29" s="33">
        <v>56653.032980603399</v>
      </c>
      <c r="T29" s="33">
        <v>0</v>
      </c>
      <c r="U29" s="52"/>
      <c r="V2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557713.32398024155</v>
      </c>
      <c r="W29" s="33">
        <v>419.5</v>
      </c>
      <c r="X29" s="34">
        <v>45212</v>
      </c>
      <c r="Y29" s="33">
        <v>12229.01</v>
      </c>
      <c r="Z29" s="46">
        <f>Шаблон_Формулы_2[[#This Row],[23]]*Шаблон_Формулы_2[[#This Row],[25]]</f>
        <v>5130069.6950000003</v>
      </c>
      <c r="AA29" s="31" t="s">
        <v>536</v>
      </c>
    </row>
    <row r="30" spans="1:27">
      <c r="A30" s="49">
        <v>26</v>
      </c>
      <c r="B30" s="35" t="s">
        <v>336</v>
      </c>
      <c r="C30" s="35" t="s">
        <v>135</v>
      </c>
      <c r="D30" s="35" t="s">
        <v>21</v>
      </c>
      <c r="E30" s="34">
        <v>45176</v>
      </c>
      <c r="F30" s="35" t="s">
        <v>85</v>
      </c>
      <c r="G30" s="32" t="s">
        <v>408</v>
      </c>
      <c r="H30" s="50">
        <v>0.73</v>
      </c>
      <c r="I30" s="33">
        <v>297</v>
      </c>
      <c r="J30" s="33" t="s">
        <v>86</v>
      </c>
      <c r="K30" s="53">
        <v>46.967000000000006</v>
      </c>
      <c r="L30" s="33">
        <v>412000</v>
      </c>
      <c r="M30" s="33">
        <v>6197.7</v>
      </c>
      <c r="N30" s="33">
        <v>3012.2000553580169</v>
      </c>
      <c r="O30" s="33">
        <v>777.14139715119109</v>
      </c>
      <c r="P30" s="33">
        <v>2881.6403006366168</v>
      </c>
      <c r="Q30" s="45">
        <v>141.43973428151679</v>
      </c>
      <c r="R30" s="33">
        <v>0</v>
      </c>
      <c r="S30" s="33">
        <v>4359.7632380181822</v>
      </c>
      <c r="T30" s="33">
        <v>0</v>
      </c>
      <c r="U30" s="52"/>
      <c r="V3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429369.88472544553</v>
      </c>
      <c r="W30" s="33">
        <v>322.95999999999998</v>
      </c>
      <c r="X30" s="34">
        <v>45212</v>
      </c>
      <c r="Y30" s="33">
        <v>12229.01</v>
      </c>
      <c r="Z30" s="46">
        <f>Шаблон_Формулы_2[[#This Row],[23]]*Шаблон_Формулы_2[[#This Row],[25]]</f>
        <v>3949481.0696</v>
      </c>
      <c r="AA30" s="31" t="s">
        <v>536</v>
      </c>
    </row>
    <row r="31" spans="1:27">
      <c r="A31" s="49">
        <v>27</v>
      </c>
      <c r="B31" s="35" t="s">
        <v>336</v>
      </c>
      <c r="C31" s="35" t="s">
        <v>135</v>
      </c>
      <c r="D31" s="35" t="s">
        <v>21</v>
      </c>
      <c r="E31" s="34">
        <v>45176</v>
      </c>
      <c r="F31" s="35" t="s">
        <v>90</v>
      </c>
      <c r="G31" s="60">
        <v>62131146</v>
      </c>
      <c r="H31" s="50">
        <v>0.64600000000000002</v>
      </c>
      <c r="I31" s="33">
        <v>115</v>
      </c>
      <c r="J31" s="33" t="s">
        <v>86</v>
      </c>
      <c r="K31" s="53">
        <v>46.967000000000006</v>
      </c>
      <c r="L31" s="33">
        <v>265000</v>
      </c>
      <c r="M31" s="33">
        <v>5484.54</v>
      </c>
      <c r="N31" s="33">
        <v>2665.5907339195601</v>
      </c>
      <c r="O31" s="33">
        <v>687.71690761598563</v>
      </c>
      <c r="P31" s="33">
        <v>2550.0542934400746</v>
      </c>
      <c r="Q31" s="45">
        <v>125.16447718610938</v>
      </c>
      <c r="R31" s="33">
        <v>0</v>
      </c>
      <c r="S31" s="33">
        <v>3858.0918517256791</v>
      </c>
      <c r="T31" s="33">
        <v>0</v>
      </c>
      <c r="U31" s="52"/>
      <c r="V3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280371.1582638874</v>
      </c>
      <c r="W31" s="33">
        <v>210.89</v>
      </c>
      <c r="X31" s="34">
        <v>45212</v>
      </c>
      <c r="Y31" s="33">
        <v>12229.01</v>
      </c>
      <c r="Z31" s="46">
        <f>Шаблон_Формулы_2[[#This Row],[23]]*Шаблон_Формулы_2[[#This Row],[25]]</f>
        <v>2578975.9188999999</v>
      </c>
      <c r="AA31" s="31" t="s">
        <v>536</v>
      </c>
    </row>
    <row r="32" spans="1:27">
      <c r="A32" s="49">
        <v>28</v>
      </c>
      <c r="B32" s="35" t="s">
        <v>336</v>
      </c>
      <c r="C32" s="35" t="s">
        <v>135</v>
      </c>
      <c r="D32" s="35" t="s">
        <v>21</v>
      </c>
      <c r="E32" s="34">
        <v>45176</v>
      </c>
      <c r="F32" s="35" t="s">
        <v>97</v>
      </c>
      <c r="G32" s="32" t="s">
        <v>409</v>
      </c>
      <c r="H32" s="50">
        <v>5.899</v>
      </c>
      <c r="I32" s="33">
        <v>1402.15</v>
      </c>
      <c r="J32" s="33" t="s">
        <v>86</v>
      </c>
      <c r="K32" s="53">
        <v>46.967000000000006</v>
      </c>
      <c r="L32" s="33">
        <v>235000</v>
      </c>
      <c r="M32" s="33">
        <v>50082.51</v>
      </c>
      <c r="N32" s="33">
        <v>24341.052228160192</v>
      </c>
      <c r="O32" s="33">
        <v>6279.9412353354473</v>
      </c>
      <c r="P32" s="33">
        <v>23286.022100623839</v>
      </c>
      <c r="Q32" s="45">
        <v>1142.9493048310514</v>
      </c>
      <c r="R32" s="33">
        <v>0</v>
      </c>
      <c r="S32" s="33">
        <v>35230.470330231859</v>
      </c>
      <c r="T32" s="33">
        <v>0</v>
      </c>
      <c r="U32" s="52"/>
      <c r="V3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375362.94519918237</v>
      </c>
      <c r="W32" s="33">
        <v>282.33999999999997</v>
      </c>
      <c r="X32" s="34">
        <v>45212</v>
      </c>
      <c r="Y32" s="33">
        <v>12229.01</v>
      </c>
      <c r="Z32" s="46">
        <f>Шаблон_Формулы_2[[#This Row],[23]]*Шаблон_Формулы_2[[#This Row],[25]]</f>
        <v>3452738.6834</v>
      </c>
      <c r="AA32" s="31" t="s">
        <v>536</v>
      </c>
    </row>
    <row r="33" spans="1:27">
      <c r="A33" s="49">
        <v>29</v>
      </c>
      <c r="B33" s="35" t="s">
        <v>337</v>
      </c>
      <c r="C33" s="35" t="s">
        <v>135</v>
      </c>
      <c r="D33" s="35" t="s">
        <v>21</v>
      </c>
      <c r="E33" s="34">
        <v>45176</v>
      </c>
      <c r="F33" s="35" t="s">
        <v>319</v>
      </c>
      <c r="G33" s="32" t="s">
        <v>410</v>
      </c>
      <c r="H33" s="50">
        <v>37.031999999999996</v>
      </c>
      <c r="I33" s="33">
        <v>5640.54</v>
      </c>
      <c r="J33" s="33" t="s">
        <v>86</v>
      </c>
      <c r="K33" s="53">
        <v>67.481999999999999</v>
      </c>
      <c r="L33" s="33">
        <v>683100</v>
      </c>
      <c r="M33" s="33">
        <v>314401.68</v>
      </c>
      <c r="N33" s="33">
        <v>106351.34702587356</v>
      </c>
      <c r="O33" s="33">
        <v>27438.428025251178</v>
      </c>
      <c r="P33" s="33">
        <v>101741.69111763136</v>
      </c>
      <c r="Q33" s="45">
        <v>4993.7939005957141</v>
      </c>
      <c r="R33" s="33">
        <v>0</v>
      </c>
      <c r="S33" s="33">
        <v>153929.58122165911</v>
      </c>
      <c r="T33" s="33">
        <v>0</v>
      </c>
      <c r="U33" s="52"/>
      <c r="V3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1391956.521291011</v>
      </c>
      <c r="W33" s="33">
        <v>1047</v>
      </c>
      <c r="X33" s="34">
        <v>45212</v>
      </c>
      <c r="Y33" s="33">
        <v>12229.01</v>
      </c>
      <c r="Z33" s="46">
        <f>Шаблон_Формулы_2[[#This Row],[23]]*Шаблон_Формулы_2[[#This Row],[25]]</f>
        <v>12803773.470000001</v>
      </c>
      <c r="AA33" s="31" t="s">
        <v>536</v>
      </c>
    </row>
    <row r="34" spans="1:27">
      <c r="A34" s="49">
        <v>30</v>
      </c>
      <c r="B34" s="35" t="s">
        <v>337</v>
      </c>
      <c r="C34" s="35" t="s">
        <v>135</v>
      </c>
      <c r="D34" s="35" t="s">
        <v>21</v>
      </c>
      <c r="E34" s="34">
        <v>45176</v>
      </c>
      <c r="F34" s="35" t="s">
        <v>319</v>
      </c>
      <c r="G34" s="32" t="s">
        <v>411</v>
      </c>
      <c r="H34" s="50">
        <v>30.45</v>
      </c>
      <c r="I34" s="33">
        <v>5203</v>
      </c>
      <c r="J34" s="33" t="s">
        <v>86</v>
      </c>
      <c r="K34" s="53">
        <v>67.481999999999999</v>
      </c>
      <c r="L34" s="33">
        <v>392000</v>
      </c>
      <c r="M34" s="33">
        <v>258520.5</v>
      </c>
      <c r="N34" s="33">
        <v>87448.652974126424</v>
      </c>
      <c r="O34" s="33">
        <v>22561.571974748822</v>
      </c>
      <c r="P34" s="33">
        <v>83658.308882368627</v>
      </c>
      <c r="Q34" s="45">
        <v>4106.2060994042849</v>
      </c>
      <c r="R34" s="33">
        <v>0</v>
      </c>
      <c r="S34" s="33">
        <v>126570.41877834089</v>
      </c>
      <c r="T34" s="33">
        <v>0</v>
      </c>
      <c r="U34" s="52"/>
      <c r="V3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974865.65870898904</v>
      </c>
      <c r="W34" s="33">
        <v>733.27</v>
      </c>
      <c r="X34" s="34">
        <v>45212</v>
      </c>
      <c r="Y34" s="33">
        <v>12229.01</v>
      </c>
      <c r="Z34" s="46">
        <f>Шаблон_Формулы_2[[#This Row],[23]]*Шаблон_Формулы_2[[#This Row],[25]]</f>
        <v>8967166.1626999993</v>
      </c>
      <c r="AA34" s="31" t="s">
        <v>536</v>
      </c>
    </row>
    <row r="35" spans="1:27">
      <c r="A35" s="49">
        <v>31</v>
      </c>
      <c r="B35" s="35" t="s">
        <v>338</v>
      </c>
      <c r="C35" s="35" t="s">
        <v>135</v>
      </c>
      <c r="D35" s="35" t="s">
        <v>21</v>
      </c>
      <c r="E35" s="34">
        <v>45176</v>
      </c>
      <c r="F35" s="35" t="s">
        <v>319</v>
      </c>
      <c r="G35" s="32" t="s">
        <v>412</v>
      </c>
      <c r="H35" s="50">
        <v>66.418000000000006</v>
      </c>
      <c r="I35" s="33">
        <v>11352</v>
      </c>
      <c r="J35" s="33" t="s">
        <v>86</v>
      </c>
      <c r="K35" s="53">
        <v>66.418000000000006</v>
      </c>
      <c r="L35" s="33">
        <v>1016000</v>
      </c>
      <c r="M35" s="33">
        <v>563888.82000000007</v>
      </c>
      <c r="N35" s="33">
        <v>193800</v>
      </c>
      <c r="O35" s="33">
        <v>50000</v>
      </c>
      <c r="P35" s="33">
        <v>185400</v>
      </c>
      <c r="Q35" s="45">
        <v>9100</v>
      </c>
      <c r="R35" s="33">
        <v>0</v>
      </c>
      <c r="S35" s="33">
        <v>280500</v>
      </c>
      <c r="T35" s="33">
        <v>0</v>
      </c>
      <c r="U35" s="52"/>
      <c r="V3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2298688.8200000003</v>
      </c>
      <c r="W35" s="33">
        <v>1729.03</v>
      </c>
      <c r="X35" s="34">
        <v>45212</v>
      </c>
      <c r="Y35" s="33">
        <v>12229.01</v>
      </c>
      <c r="Z35" s="46">
        <f>Шаблон_Формулы_2[[#This Row],[23]]*Шаблон_Формулы_2[[#This Row],[25]]</f>
        <v>21144325.160300002</v>
      </c>
      <c r="AA35" s="31" t="s">
        <v>536</v>
      </c>
    </row>
    <row r="36" spans="1:27">
      <c r="A36" s="49">
        <v>32</v>
      </c>
      <c r="B36" s="35" t="s">
        <v>339</v>
      </c>
      <c r="C36" s="35" t="s">
        <v>135</v>
      </c>
      <c r="D36" s="35" t="s">
        <v>21</v>
      </c>
      <c r="E36" s="34">
        <v>45176</v>
      </c>
      <c r="F36" s="35" t="s">
        <v>319</v>
      </c>
      <c r="G36" s="32" t="s">
        <v>413</v>
      </c>
      <c r="H36" s="50">
        <v>26.3</v>
      </c>
      <c r="I36" s="33">
        <v>4493.5</v>
      </c>
      <c r="J36" s="33" t="s">
        <v>86</v>
      </c>
      <c r="K36" s="53">
        <v>51.002000000000002</v>
      </c>
      <c r="L36" s="33">
        <v>392000</v>
      </c>
      <c r="M36" s="33">
        <v>223287</v>
      </c>
      <c r="N36" s="33">
        <v>99936.080938002429</v>
      </c>
      <c r="O36" s="33">
        <v>25783.302615583703</v>
      </c>
      <c r="P36" s="33">
        <v>95604.48609858437</v>
      </c>
      <c r="Q36" s="45">
        <v>4692.5610760362342</v>
      </c>
      <c r="R36" s="33">
        <v>0</v>
      </c>
      <c r="S36" s="33">
        <v>144644.32767342459</v>
      </c>
      <c r="T36" s="33">
        <v>0</v>
      </c>
      <c r="U36" s="52"/>
      <c r="V3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985947.75840163138</v>
      </c>
      <c r="W36" s="33">
        <v>741.61</v>
      </c>
      <c r="X36" s="34">
        <v>45212</v>
      </c>
      <c r="Y36" s="33">
        <v>12229.01</v>
      </c>
      <c r="Z36" s="46">
        <f>Шаблон_Формулы_2[[#This Row],[23]]*Шаблон_Формулы_2[[#This Row],[25]]</f>
        <v>9069156.1061000004</v>
      </c>
      <c r="AA36" s="31" t="s">
        <v>536</v>
      </c>
    </row>
    <row r="37" spans="1:27">
      <c r="A37" s="49">
        <v>33</v>
      </c>
      <c r="B37" s="35" t="s">
        <v>339</v>
      </c>
      <c r="C37" s="35" t="s">
        <v>135</v>
      </c>
      <c r="D37" s="35" t="s">
        <v>21</v>
      </c>
      <c r="E37" s="34">
        <v>45176</v>
      </c>
      <c r="F37" s="35" t="s">
        <v>85</v>
      </c>
      <c r="G37" s="32" t="s">
        <v>414</v>
      </c>
      <c r="H37" s="50">
        <v>24.702000000000002</v>
      </c>
      <c r="I37" s="33">
        <v>18480</v>
      </c>
      <c r="J37" s="33" t="s">
        <v>86</v>
      </c>
      <c r="K37" s="53">
        <v>51.002000000000002</v>
      </c>
      <c r="L37" s="33">
        <v>1450500</v>
      </c>
      <c r="M37" s="33">
        <v>209719.98</v>
      </c>
      <c r="N37" s="33">
        <v>93863.919061997571</v>
      </c>
      <c r="O37" s="33">
        <v>24216.697384416297</v>
      </c>
      <c r="P37" s="33">
        <v>89795.51390141563</v>
      </c>
      <c r="Q37" s="45">
        <v>4407.4389239637658</v>
      </c>
      <c r="R37" s="33">
        <v>0</v>
      </c>
      <c r="S37" s="33">
        <v>135855.67232657541</v>
      </c>
      <c r="T37" s="33">
        <v>0</v>
      </c>
      <c r="U37" s="52"/>
      <c r="V3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2008359.2215983691</v>
      </c>
      <c r="W37" s="33">
        <v>1510.65</v>
      </c>
      <c r="X37" s="34">
        <v>45212</v>
      </c>
      <c r="Y37" s="33">
        <v>12229.01</v>
      </c>
      <c r="Z37" s="46">
        <f>Шаблон_Формулы_2[[#This Row],[23]]*Шаблон_Формулы_2[[#This Row],[25]]</f>
        <v>18473753.956500001</v>
      </c>
      <c r="AA37" s="31" t="s">
        <v>536</v>
      </c>
    </row>
    <row r="38" spans="1:27">
      <c r="A38" s="49">
        <v>34</v>
      </c>
      <c r="B38" s="35" t="s">
        <v>340</v>
      </c>
      <c r="C38" s="35" t="s">
        <v>135</v>
      </c>
      <c r="D38" s="35" t="s">
        <v>21</v>
      </c>
      <c r="E38" s="34">
        <v>45176</v>
      </c>
      <c r="F38" s="35" t="s">
        <v>85</v>
      </c>
      <c r="G38" s="32" t="s">
        <v>415</v>
      </c>
      <c r="H38" s="50">
        <v>18.527000000000001</v>
      </c>
      <c r="I38" s="33">
        <v>13860</v>
      </c>
      <c r="J38" s="33" t="s">
        <v>86</v>
      </c>
      <c r="K38" s="53">
        <v>63.587000000000003</v>
      </c>
      <c r="L38" s="33">
        <v>1384500</v>
      </c>
      <c r="M38" s="33">
        <v>157294.23000000001</v>
      </c>
      <c r="N38" s="33">
        <v>56466.456980200361</v>
      </c>
      <c r="O38" s="33">
        <v>14568.229355056852</v>
      </c>
      <c r="P38" s="33">
        <v>54018.994448550809</v>
      </c>
      <c r="Q38" s="45">
        <v>2651.4177426203473</v>
      </c>
      <c r="R38" s="33">
        <v>0</v>
      </c>
      <c r="S38" s="33">
        <v>81727.766681868947</v>
      </c>
      <c r="T38" s="33">
        <v>0</v>
      </c>
      <c r="U38" s="52"/>
      <c r="V3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1751227.0952082973</v>
      </c>
      <c r="W38" s="33">
        <v>1317.24</v>
      </c>
      <c r="X38" s="34">
        <v>45212</v>
      </c>
      <c r="Y38" s="33">
        <v>12229.01</v>
      </c>
      <c r="Z38" s="46">
        <f>Шаблон_Формулы_2[[#This Row],[23]]*Шаблон_Формулы_2[[#This Row],[25]]</f>
        <v>16108541.1324</v>
      </c>
      <c r="AA38" s="31" t="s">
        <v>536</v>
      </c>
    </row>
    <row r="39" spans="1:27">
      <c r="A39" s="49">
        <v>35</v>
      </c>
      <c r="B39" s="35" t="s">
        <v>340</v>
      </c>
      <c r="C39" s="35" t="s">
        <v>135</v>
      </c>
      <c r="D39" s="35" t="s">
        <v>21</v>
      </c>
      <c r="E39" s="34">
        <v>45176</v>
      </c>
      <c r="F39" s="35" t="s">
        <v>85</v>
      </c>
      <c r="G39" s="32" t="s">
        <v>416</v>
      </c>
      <c r="H39" s="50">
        <v>2.06</v>
      </c>
      <c r="I39" s="33">
        <v>1540</v>
      </c>
      <c r="J39" s="33" t="s">
        <v>86</v>
      </c>
      <c r="K39" s="53">
        <v>63.587000000000003</v>
      </c>
      <c r="L39" s="33">
        <v>478000</v>
      </c>
      <c r="M39" s="33">
        <v>17489.400000000001</v>
      </c>
      <c r="N39" s="33">
        <v>6278.4531429380222</v>
      </c>
      <c r="O39" s="33">
        <v>1619.8279522543917</v>
      </c>
      <c r="P39" s="33">
        <v>6006.3220469592843</v>
      </c>
      <c r="Q39" s="45">
        <v>294.80868731029932</v>
      </c>
      <c r="R39" s="33">
        <v>0</v>
      </c>
      <c r="S39" s="33">
        <v>9087.2348121471368</v>
      </c>
      <c r="T39" s="33">
        <v>0</v>
      </c>
      <c r="U39" s="52"/>
      <c r="V3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518776.04664160922</v>
      </c>
      <c r="W39" s="33">
        <v>390.21</v>
      </c>
      <c r="X39" s="34">
        <v>45212</v>
      </c>
      <c r="Y39" s="33">
        <v>12229.01</v>
      </c>
      <c r="Z39" s="46">
        <f>Шаблон_Формулы_2[[#This Row],[23]]*Шаблон_Формулы_2[[#This Row],[25]]</f>
        <v>4771881.9920999995</v>
      </c>
      <c r="AA39" s="31" t="s">
        <v>536</v>
      </c>
    </row>
    <row r="40" spans="1:27">
      <c r="A40" s="49">
        <v>36</v>
      </c>
      <c r="B40" s="35" t="s">
        <v>340</v>
      </c>
      <c r="C40" s="35" t="s">
        <v>135</v>
      </c>
      <c r="D40" s="35" t="s">
        <v>21</v>
      </c>
      <c r="E40" s="34">
        <v>45176</v>
      </c>
      <c r="F40" s="35" t="s">
        <v>104</v>
      </c>
      <c r="G40" s="32" t="s">
        <v>417</v>
      </c>
      <c r="H40" s="50">
        <v>43</v>
      </c>
      <c r="I40" s="33">
        <v>7897.6</v>
      </c>
      <c r="J40" s="33" t="s">
        <v>86</v>
      </c>
      <c r="K40" s="53">
        <v>63.587000000000003</v>
      </c>
      <c r="L40" s="33">
        <v>992000</v>
      </c>
      <c r="M40" s="33">
        <v>365070</v>
      </c>
      <c r="N40" s="33">
        <v>131055.08987686162</v>
      </c>
      <c r="O40" s="33">
        <v>33811.942692688754</v>
      </c>
      <c r="P40" s="33">
        <v>125374.68350448991</v>
      </c>
      <c r="Q40" s="45">
        <v>6153.7735700693538</v>
      </c>
      <c r="R40" s="33">
        <v>0</v>
      </c>
      <c r="S40" s="33">
        <v>189684.99850598394</v>
      </c>
      <c r="T40" s="33">
        <v>0</v>
      </c>
      <c r="U40" s="52"/>
      <c r="V4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1843150.4881500935</v>
      </c>
      <c r="W40" s="33">
        <v>1386.38</v>
      </c>
      <c r="X40" s="34">
        <v>45212</v>
      </c>
      <c r="Y40" s="33">
        <v>12229.01</v>
      </c>
      <c r="Z40" s="46">
        <f>Шаблон_Формулы_2[[#This Row],[23]]*Шаблон_Формулы_2[[#This Row],[25]]</f>
        <v>16954054.8838</v>
      </c>
      <c r="AA40" s="31" t="s">
        <v>536</v>
      </c>
    </row>
    <row r="41" spans="1:27">
      <c r="A41" s="49">
        <v>37</v>
      </c>
      <c r="B41" s="35" t="s">
        <v>341</v>
      </c>
      <c r="C41" s="35" t="s">
        <v>135</v>
      </c>
      <c r="D41" s="35" t="s">
        <v>21</v>
      </c>
      <c r="E41" s="34">
        <v>45176</v>
      </c>
      <c r="F41" s="35" t="s">
        <v>85</v>
      </c>
      <c r="G41" s="32" t="s">
        <v>418</v>
      </c>
      <c r="H41" s="50">
        <v>24.702000000000002</v>
      </c>
      <c r="I41" s="33">
        <v>18480</v>
      </c>
      <c r="J41" s="33" t="s">
        <v>86</v>
      </c>
      <c r="K41" s="53">
        <v>50.959000000000003</v>
      </c>
      <c r="L41" s="33">
        <v>1450500</v>
      </c>
      <c r="M41" s="33">
        <v>209719.98</v>
      </c>
      <c r="N41" s="33">
        <v>93943.122902725721</v>
      </c>
      <c r="O41" s="33">
        <v>24237.131811848743</v>
      </c>
      <c r="P41" s="33">
        <v>89871.284758335139</v>
      </c>
      <c r="Q41" s="45">
        <v>4411.1579897564707</v>
      </c>
      <c r="R41" s="33">
        <v>0</v>
      </c>
      <c r="S41" s="33">
        <v>135970.30946447144</v>
      </c>
      <c r="T41" s="33">
        <v>0</v>
      </c>
      <c r="U41" s="52"/>
      <c r="V4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2008652.9869271377</v>
      </c>
      <c r="W41" s="33">
        <v>1510.87</v>
      </c>
      <c r="X41" s="34">
        <v>45212</v>
      </c>
      <c r="Y41" s="33">
        <v>12229.01</v>
      </c>
      <c r="Z41" s="46">
        <f>Шаблон_Формулы_2[[#This Row],[23]]*Шаблон_Формулы_2[[#This Row],[25]]</f>
        <v>18476444.3387</v>
      </c>
      <c r="AA41" s="31" t="s">
        <v>536</v>
      </c>
    </row>
    <row r="42" spans="1:27">
      <c r="A42" s="49">
        <v>38</v>
      </c>
      <c r="B42" s="35" t="s">
        <v>341</v>
      </c>
      <c r="C42" s="35" t="s">
        <v>135</v>
      </c>
      <c r="D42" s="35" t="s">
        <v>21</v>
      </c>
      <c r="E42" s="34">
        <v>45176</v>
      </c>
      <c r="F42" s="35" t="s">
        <v>323</v>
      </c>
      <c r="G42" s="32" t="s">
        <v>419</v>
      </c>
      <c r="H42" s="50">
        <v>26.257000000000005</v>
      </c>
      <c r="I42" s="33">
        <v>3570</v>
      </c>
      <c r="J42" s="33" t="s">
        <v>86</v>
      </c>
      <c r="K42" s="53">
        <v>50.959000000000003</v>
      </c>
      <c r="L42" s="33">
        <v>370000</v>
      </c>
      <c r="M42" s="33">
        <v>222921.93000000005</v>
      </c>
      <c r="N42" s="33">
        <v>99856.877097274293</v>
      </c>
      <c r="O42" s="33">
        <v>25762.86818815126</v>
      </c>
      <c r="P42" s="33">
        <v>95528.715241664875</v>
      </c>
      <c r="Q42" s="45">
        <v>4688.8420102435293</v>
      </c>
      <c r="R42" s="33">
        <v>0</v>
      </c>
      <c r="S42" s="33">
        <v>144529.69053552859</v>
      </c>
      <c r="T42" s="33">
        <v>0</v>
      </c>
      <c r="U42" s="52"/>
      <c r="V4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963288.92307286267</v>
      </c>
      <c r="W42" s="33">
        <v>724.57</v>
      </c>
      <c r="X42" s="34">
        <v>45212</v>
      </c>
      <c r="Y42" s="33">
        <v>12229.01</v>
      </c>
      <c r="Z42" s="46">
        <f>Шаблон_Формулы_2[[#This Row],[23]]*Шаблон_Формулы_2[[#This Row],[25]]</f>
        <v>8860773.775700001</v>
      </c>
      <c r="AA42" s="31" t="s">
        <v>536</v>
      </c>
    </row>
    <row r="43" spans="1:27">
      <c r="A43" s="49">
        <v>39</v>
      </c>
      <c r="B43" s="35" t="s">
        <v>342</v>
      </c>
      <c r="C43" s="35" t="s">
        <v>135</v>
      </c>
      <c r="D43" s="35" t="s">
        <v>21</v>
      </c>
      <c r="E43" s="34">
        <v>45176</v>
      </c>
      <c r="F43" s="35" t="s">
        <v>85</v>
      </c>
      <c r="G43" s="32" t="s">
        <v>420</v>
      </c>
      <c r="H43" s="50">
        <v>14.41</v>
      </c>
      <c r="I43" s="33">
        <v>10780</v>
      </c>
      <c r="J43" s="33" t="s">
        <v>86</v>
      </c>
      <c r="K43" s="53">
        <v>47.507000000000012</v>
      </c>
      <c r="L43" s="33">
        <v>752000</v>
      </c>
      <c r="M43" s="33">
        <v>122340.9</v>
      </c>
      <c r="N43" s="33">
        <v>58784.137074536367</v>
      </c>
      <c r="O43" s="33">
        <v>15166.186035742096</v>
      </c>
      <c r="P43" s="33">
        <v>56236.217820531696</v>
      </c>
      <c r="Q43" s="45">
        <v>2760.2458585050617</v>
      </c>
      <c r="R43" s="33">
        <v>0</v>
      </c>
      <c r="S43" s="33">
        <v>85082.303660513164</v>
      </c>
      <c r="T43" s="33">
        <v>0</v>
      </c>
      <c r="U43" s="52"/>
      <c r="V4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1092369.9904498283</v>
      </c>
      <c r="W43" s="33">
        <v>821.66</v>
      </c>
      <c r="X43" s="34">
        <v>45212</v>
      </c>
      <c r="Y43" s="33">
        <v>12229.01</v>
      </c>
      <c r="Z43" s="46">
        <f>Шаблон_Формулы_2[[#This Row],[23]]*Шаблон_Формулы_2[[#This Row],[25]]</f>
        <v>10048088.3566</v>
      </c>
      <c r="AA43" s="31" t="s">
        <v>536</v>
      </c>
    </row>
    <row r="44" spans="1:27">
      <c r="A44" s="49">
        <v>40</v>
      </c>
      <c r="B44" s="35" t="s">
        <v>342</v>
      </c>
      <c r="C44" s="35" t="s">
        <v>135</v>
      </c>
      <c r="D44" s="35" t="s">
        <v>21</v>
      </c>
      <c r="E44" s="34">
        <v>45176</v>
      </c>
      <c r="F44" s="35" t="s">
        <v>100</v>
      </c>
      <c r="G44" s="32" t="s">
        <v>421</v>
      </c>
      <c r="H44" s="50">
        <v>11.7</v>
      </c>
      <c r="I44" s="33">
        <v>4830</v>
      </c>
      <c r="J44" s="33" t="s">
        <v>86</v>
      </c>
      <c r="K44" s="53">
        <v>47.507000000000012</v>
      </c>
      <c r="L44" s="33">
        <v>593000</v>
      </c>
      <c r="M44" s="33">
        <v>99333</v>
      </c>
      <c r="N44" s="33">
        <v>47728.966257604123</v>
      </c>
      <c r="O44" s="33">
        <v>12313.974782663603</v>
      </c>
      <c r="P44" s="33">
        <v>45660.218494116642</v>
      </c>
      <c r="Q44" s="45">
        <v>2241.1434104447758</v>
      </c>
      <c r="R44" s="33">
        <v>0</v>
      </c>
      <c r="S44" s="33">
        <v>69081.398530742808</v>
      </c>
      <c r="T44" s="33">
        <v>0</v>
      </c>
      <c r="U44" s="52"/>
      <c r="V4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869358.70147557196</v>
      </c>
      <c r="W44" s="33">
        <v>653.91</v>
      </c>
      <c r="X44" s="34">
        <v>45212</v>
      </c>
      <c r="Y44" s="33">
        <v>12229.01</v>
      </c>
      <c r="Z44" s="46">
        <f>Шаблон_Формулы_2[[#This Row],[23]]*Шаблон_Формулы_2[[#This Row],[25]]</f>
        <v>7996671.9290999994</v>
      </c>
      <c r="AA44" s="31" t="s">
        <v>536</v>
      </c>
    </row>
    <row r="45" spans="1:27">
      <c r="A45" s="49">
        <v>41</v>
      </c>
      <c r="B45" s="35" t="s">
        <v>342</v>
      </c>
      <c r="C45" s="35" t="s">
        <v>135</v>
      </c>
      <c r="D45" s="35" t="s">
        <v>21</v>
      </c>
      <c r="E45" s="34">
        <v>45176</v>
      </c>
      <c r="F45" s="35" t="s">
        <v>88</v>
      </c>
      <c r="G45" s="32" t="s">
        <v>422</v>
      </c>
      <c r="H45" s="50">
        <v>6.09</v>
      </c>
      <c r="I45" s="33">
        <v>1303</v>
      </c>
      <c r="J45" s="33" t="s">
        <v>86</v>
      </c>
      <c r="K45" s="53">
        <v>47.507000000000012</v>
      </c>
      <c r="L45" s="33">
        <v>147000</v>
      </c>
      <c r="M45" s="33">
        <v>51704.1</v>
      </c>
      <c r="N45" s="33">
        <v>24843.538846906762</v>
      </c>
      <c r="O45" s="33">
        <v>6409.5817458479778</v>
      </c>
      <c r="P45" s="33">
        <v>23766.729113604302</v>
      </c>
      <c r="Q45" s="45">
        <v>1166.5438777443321</v>
      </c>
      <c r="R45" s="33">
        <v>0</v>
      </c>
      <c r="S45" s="33">
        <v>35957.753594207155</v>
      </c>
      <c r="T45" s="33">
        <v>0</v>
      </c>
      <c r="U45" s="52"/>
      <c r="V4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290848.24717831053</v>
      </c>
      <c r="W45" s="33">
        <v>218.77</v>
      </c>
      <c r="X45" s="34">
        <v>45212</v>
      </c>
      <c r="Y45" s="33">
        <v>12229.01</v>
      </c>
      <c r="Z45" s="46">
        <f>Шаблон_Формулы_2[[#This Row],[23]]*Шаблон_Формулы_2[[#This Row],[25]]</f>
        <v>2675340.5177000002</v>
      </c>
      <c r="AA45" s="31" t="s">
        <v>536</v>
      </c>
    </row>
    <row r="46" spans="1:27">
      <c r="A46" s="49">
        <v>42</v>
      </c>
      <c r="B46" s="35" t="s">
        <v>342</v>
      </c>
      <c r="C46" s="35" t="s">
        <v>135</v>
      </c>
      <c r="D46" s="35" t="s">
        <v>21</v>
      </c>
      <c r="E46" s="34">
        <v>45176</v>
      </c>
      <c r="F46" s="35" t="s">
        <v>88</v>
      </c>
      <c r="G46" s="32" t="s">
        <v>423</v>
      </c>
      <c r="H46" s="50">
        <v>6.09</v>
      </c>
      <c r="I46" s="33">
        <v>386</v>
      </c>
      <c r="J46" s="33" t="s">
        <v>86</v>
      </c>
      <c r="K46" s="53">
        <v>47.507000000000012</v>
      </c>
      <c r="L46" s="33">
        <v>147000</v>
      </c>
      <c r="M46" s="33">
        <v>51704.1</v>
      </c>
      <c r="N46" s="33">
        <v>24843.538846906762</v>
      </c>
      <c r="O46" s="33">
        <v>6409.5817458479778</v>
      </c>
      <c r="P46" s="33">
        <v>23766.729113604302</v>
      </c>
      <c r="Q46" s="45">
        <v>1166.5438777443321</v>
      </c>
      <c r="R46" s="33">
        <v>0</v>
      </c>
      <c r="S46" s="33">
        <v>35957.753594207155</v>
      </c>
      <c r="T46" s="33">
        <v>0</v>
      </c>
      <c r="U46" s="52"/>
      <c r="V4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290848.24717831053</v>
      </c>
      <c r="W46" s="33">
        <v>218.77</v>
      </c>
      <c r="X46" s="34">
        <v>45212</v>
      </c>
      <c r="Y46" s="33">
        <v>12229.01</v>
      </c>
      <c r="Z46" s="46">
        <f>Шаблон_Формулы_2[[#This Row],[23]]*Шаблон_Формулы_2[[#This Row],[25]]</f>
        <v>2675340.5177000002</v>
      </c>
      <c r="AA46" s="31" t="s">
        <v>536</v>
      </c>
    </row>
    <row r="47" spans="1:27">
      <c r="A47" s="49">
        <v>43</v>
      </c>
      <c r="B47" s="35" t="s">
        <v>342</v>
      </c>
      <c r="C47" s="35" t="s">
        <v>135</v>
      </c>
      <c r="D47" s="35" t="s">
        <v>21</v>
      </c>
      <c r="E47" s="34">
        <v>45176</v>
      </c>
      <c r="F47" s="35" t="s">
        <v>325</v>
      </c>
      <c r="G47" s="32" t="s">
        <v>424</v>
      </c>
      <c r="H47" s="50">
        <v>1.24</v>
      </c>
      <c r="I47" s="33">
        <v>1494.4</v>
      </c>
      <c r="J47" s="33" t="s">
        <v>96</v>
      </c>
      <c r="K47" s="53">
        <v>47.507000000000012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45">
        <v>0</v>
      </c>
      <c r="R47" s="33">
        <v>0</v>
      </c>
      <c r="S47" s="33">
        <v>0</v>
      </c>
      <c r="T47" s="33">
        <v>0</v>
      </c>
      <c r="U47" s="52"/>
      <c r="V4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47" s="33">
        <v>0</v>
      </c>
      <c r="X47" s="34">
        <v>45212</v>
      </c>
      <c r="Y47" s="33">
        <v>12229.01</v>
      </c>
      <c r="Z47" s="46">
        <f>Шаблон_Формулы_2[[#This Row],[23]]*Шаблон_Формулы_2[[#This Row],[25]]</f>
        <v>0</v>
      </c>
      <c r="AA47" s="31" t="s">
        <v>536</v>
      </c>
    </row>
    <row r="48" spans="1:27">
      <c r="A48" s="49">
        <v>44</v>
      </c>
      <c r="B48" s="35" t="s">
        <v>342</v>
      </c>
      <c r="C48" s="35" t="s">
        <v>135</v>
      </c>
      <c r="D48" s="35" t="s">
        <v>21</v>
      </c>
      <c r="E48" s="34">
        <v>45176</v>
      </c>
      <c r="F48" s="35" t="s">
        <v>325</v>
      </c>
      <c r="G48" s="32" t="s">
        <v>425</v>
      </c>
      <c r="H48" s="50">
        <v>0.42</v>
      </c>
      <c r="I48" s="33">
        <v>44</v>
      </c>
      <c r="J48" s="33" t="s">
        <v>96</v>
      </c>
      <c r="K48" s="53">
        <v>47.507000000000012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45">
        <v>0</v>
      </c>
      <c r="R48" s="33">
        <v>0</v>
      </c>
      <c r="S48" s="33">
        <v>0</v>
      </c>
      <c r="T48" s="33">
        <v>0</v>
      </c>
      <c r="U48" s="52"/>
      <c r="V4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48" s="33">
        <v>0</v>
      </c>
      <c r="X48" s="34">
        <v>45212</v>
      </c>
      <c r="Y48" s="33">
        <v>12229.01</v>
      </c>
      <c r="Z48" s="46">
        <f>Шаблон_Формулы_2[[#This Row],[23]]*Шаблон_Формулы_2[[#This Row],[25]]</f>
        <v>0</v>
      </c>
      <c r="AA48" s="31" t="s">
        <v>536</v>
      </c>
    </row>
    <row r="49" spans="1:27">
      <c r="A49" s="49">
        <v>45</v>
      </c>
      <c r="B49" s="35" t="s">
        <v>342</v>
      </c>
      <c r="C49" s="35" t="s">
        <v>135</v>
      </c>
      <c r="D49" s="35" t="s">
        <v>21</v>
      </c>
      <c r="E49" s="34">
        <v>45176</v>
      </c>
      <c r="F49" s="35" t="s">
        <v>325</v>
      </c>
      <c r="G49" s="32" t="s">
        <v>426</v>
      </c>
      <c r="H49" s="50">
        <v>3.7440000000000002</v>
      </c>
      <c r="I49" s="33">
        <v>3209</v>
      </c>
      <c r="J49" s="33" t="s">
        <v>96</v>
      </c>
      <c r="K49" s="53">
        <v>47.507000000000012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45">
        <v>0</v>
      </c>
      <c r="R49" s="33">
        <v>0</v>
      </c>
      <c r="S49" s="33">
        <v>0</v>
      </c>
      <c r="T49" s="33">
        <v>0</v>
      </c>
      <c r="U49" s="52"/>
      <c r="V4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49" s="33">
        <v>0</v>
      </c>
      <c r="X49" s="34">
        <v>45212</v>
      </c>
      <c r="Y49" s="33">
        <v>12229.01</v>
      </c>
      <c r="Z49" s="46">
        <f>Шаблон_Формулы_2[[#This Row],[23]]*Шаблон_Формулы_2[[#This Row],[25]]</f>
        <v>0</v>
      </c>
      <c r="AA49" s="31" t="s">
        <v>536</v>
      </c>
    </row>
    <row r="50" spans="1:27">
      <c r="A50" s="49">
        <v>46</v>
      </c>
      <c r="B50" s="35" t="s">
        <v>342</v>
      </c>
      <c r="C50" s="35" t="s">
        <v>135</v>
      </c>
      <c r="D50" s="35" t="s">
        <v>21</v>
      </c>
      <c r="E50" s="34">
        <v>45176</v>
      </c>
      <c r="F50" s="35" t="s">
        <v>325</v>
      </c>
      <c r="G50" s="32" t="s">
        <v>427</v>
      </c>
      <c r="H50" s="50">
        <v>3.8130000000000002</v>
      </c>
      <c r="I50" s="33">
        <v>2100</v>
      </c>
      <c r="J50" s="33" t="s">
        <v>96</v>
      </c>
      <c r="K50" s="53">
        <v>47.507000000000012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45">
        <v>0</v>
      </c>
      <c r="R50" s="33">
        <v>0</v>
      </c>
      <c r="S50" s="33">
        <v>0</v>
      </c>
      <c r="T50" s="33">
        <v>0</v>
      </c>
      <c r="U50" s="52"/>
      <c r="V5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50" s="33">
        <v>0</v>
      </c>
      <c r="X50" s="34">
        <v>45212</v>
      </c>
      <c r="Y50" s="33">
        <v>12229.01</v>
      </c>
      <c r="Z50" s="46">
        <f>Шаблон_Формулы_2[[#This Row],[23]]*Шаблон_Формулы_2[[#This Row],[25]]</f>
        <v>0</v>
      </c>
      <c r="AA50" s="31" t="s">
        <v>536</v>
      </c>
    </row>
    <row r="51" spans="1:27">
      <c r="A51" s="49">
        <v>47</v>
      </c>
      <c r="B51" s="35" t="s">
        <v>343</v>
      </c>
      <c r="C51" s="35" t="s">
        <v>135</v>
      </c>
      <c r="D51" s="35" t="s">
        <v>21</v>
      </c>
      <c r="E51" s="34">
        <v>45176</v>
      </c>
      <c r="F51" s="35" t="s">
        <v>322</v>
      </c>
      <c r="G51" s="32" t="s">
        <v>428</v>
      </c>
      <c r="H51" s="50">
        <v>2.6619999999999999</v>
      </c>
      <c r="I51" s="33">
        <v>1358</v>
      </c>
      <c r="J51" s="33" t="s">
        <v>86</v>
      </c>
      <c r="K51" s="53">
        <v>23.993000000000002</v>
      </c>
      <c r="L51" s="33">
        <v>392000</v>
      </c>
      <c r="M51" s="33">
        <v>22600.38</v>
      </c>
      <c r="N51" s="33">
        <v>21501.921393739838</v>
      </c>
      <c r="O51" s="33">
        <v>5547.4513399741581</v>
      </c>
      <c r="P51" s="33">
        <v>20569.949568624179</v>
      </c>
      <c r="Q51" s="45">
        <v>1009.6361438752969</v>
      </c>
      <c r="R51" s="33">
        <v>0</v>
      </c>
      <c r="S51" s="33">
        <v>31121.202017255029</v>
      </c>
      <c r="T51" s="33">
        <v>0</v>
      </c>
      <c r="U51" s="52"/>
      <c r="V5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494350.54046346853</v>
      </c>
      <c r="W51" s="33">
        <v>371.84</v>
      </c>
      <c r="X51" s="34">
        <v>45212</v>
      </c>
      <c r="Y51" s="33">
        <v>12229.01</v>
      </c>
      <c r="Z51" s="46">
        <f>Шаблон_Формулы_2[[#This Row],[23]]*Шаблон_Формулы_2[[#This Row],[25]]</f>
        <v>4547235.0784</v>
      </c>
      <c r="AA51" s="31" t="s">
        <v>536</v>
      </c>
    </row>
    <row r="52" spans="1:27">
      <c r="A52" s="49">
        <v>48</v>
      </c>
      <c r="B52" s="35" t="s">
        <v>343</v>
      </c>
      <c r="C52" s="35" t="s">
        <v>135</v>
      </c>
      <c r="D52" s="35" t="s">
        <v>21</v>
      </c>
      <c r="E52" s="34">
        <v>45176</v>
      </c>
      <c r="F52" s="35" t="s">
        <v>327</v>
      </c>
      <c r="G52" s="32" t="s">
        <v>429</v>
      </c>
      <c r="H52" s="50">
        <v>0.72</v>
      </c>
      <c r="I52" s="33">
        <v>908</v>
      </c>
      <c r="J52" s="33" t="s">
        <v>86</v>
      </c>
      <c r="K52" s="53">
        <v>23.993000000000002</v>
      </c>
      <c r="L52" s="33">
        <v>288000</v>
      </c>
      <c r="M52" s="33">
        <v>6112.8</v>
      </c>
      <c r="N52" s="33">
        <v>5815.6962447380483</v>
      </c>
      <c r="O52" s="33">
        <v>1500.4376276413952</v>
      </c>
      <c r="P52" s="33">
        <v>5563.6227232942938</v>
      </c>
      <c r="Q52" s="45">
        <v>273.07964823073394</v>
      </c>
      <c r="R52" s="33">
        <v>0</v>
      </c>
      <c r="S52" s="33">
        <v>8417.4550910682265</v>
      </c>
      <c r="T52" s="33">
        <v>0</v>
      </c>
      <c r="U52" s="52"/>
      <c r="V5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315683.09133497271</v>
      </c>
      <c r="W52" s="33">
        <v>237.45</v>
      </c>
      <c r="X52" s="34">
        <v>45212</v>
      </c>
      <c r="Y52" s="33">
        <v>12229.01</v>
      </c>
      <c r="Z52" s="46">
        <f>Шаблон_Формулы_2[[#This Row],[23]]*Шаблон_Формулы_2[[#This Row],[25]]</f>
        <v>2903778.4244999997</v>
      </c>
      <c r="AA52" s="31" t="s">
        <v>536</v>
      </c>
    </row>
    <row r="53" spans="1:27">
      <c r="A53" s="49">
        <v>49</v>
      </c>
      <c r="B53" s="35" t="s">
        <v>343</v>
      </c>
      <c r="C53" s="35" t="s">
        <v>135</v>
      </c>
      <c r="D53" s="35" t="s">
        <v>21</v>
      </c>
      <c r="E53" s="34">
        <v>45176</v>
      </c>
      <c r="F53" s="35" t="s">
        <v>370</v>
      </c>
      <c r="G53" s="32" t="s">
        <v>430</v>
      </c>
      <c r="H53" s="50">
        <v>0.57999999999999996</v>
      </c>
      <c r="I53" s="33">
        <v>192.8</v>
      </c>
      <c r="J53" s="33" t="s">
        <v>96</v>
      </c>
      <c r="K53" s="53">
        <v>23.993000000000002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45">
        <v>0</v>
      </c>
      <c r="R53" s="33">
        <v>0</v>
      </c>
      <c r="S53" s="33">
        <v>0</v>
      </c>
      <c r="T53" s="33">
        <v>0</v>
      </c>
      <c r="U53" s="52"/>
      <c r="V5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53" s="33">
        <v>0</v>
      </c>
      <c r="X53" s="34">
        <v>45212</v>
      </c>
      <c r="Y53" s="33">
        <v>12229.01</v>
      </c>
      <c r="Z53" s="46">
        <f>Шаблон_Формулы_2[[#This Row],[23]]*Шаблон_Формулы_2[[#This Row],[25]]</f>
        <v>0</v>
      </c>
      <c r="AA53" s="31" t="s">
        <v>536</v>
      </c>
    </row>
    <row r="54" spans="1:27" ht="24.6">
      <c r="A54" s="49">
        <v>50</v>
      </c>
      <c r="B54" s="35" t="s">
        <v>343</v>
      </c>
      <c r="C54" s="35" t="s">
        <v>135</v>
      </c>
      <c r="D54" s="35" t="s">
        <v>21</v>
      </c>
      <c r="E54" s="34">
        <v>45176</v>
      </c>
      <c r="F54" s="35" t="s">
        <v>371</v>
      </c>
      <c r="G54" s="32" t="s">
        <v>431</v>
      </c>
      <c r="H54" s="50">
        <v>0.55000000000000004</v>
      </c>
      <c r="I54" s="33">
        <v>105.5</v>
      </c>
      <c r="J54" s="33" t="s">
        <v>96</v>
      </c>
      <c r="K54" s="53">
        <v>23.993000000000002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45">
        <v>0</v>
      </c>
      <c r="R54" s="33">
        <v>0</v>
      </c>
      <c r="S54" s="33">
        <v>0</v>
      </c>
      <c r="T54" s="33">
        <v>0</v>
      </c>
      <c r="U54" s="52"/>
      <c r="V5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54" s="33">
        <v>0</v>
      </c>
      <c r="X54" s="34">
        <v>45212</v>
      </c>
      <c r="Y54" s="33">
        <v>12229.01</v>
      </c>
      <c r="Z54" s="46">
        <f>Шаблон_Формулы_2[[#This Row],[23]]*Шаблон_Формулы_2[[#This Row],[25]]</f>
        <v>0</v>
      </c>
      <c r="AA54" s="31" t="s">
        <v>536</v>
      </c>
    </row>
    <row r="55" spans="1:27" ht="24.6">
      <c r="A55" s="49">
        <v>51</v>
      </c>
      <c r="B55" s="35" t="s">
        <v>343</v>
      </c>
      <c r="C55" s="35" t="s">
        <v>135</v>
      </c>
      <c r="D55" s="35" t="s">
        <v>21</v>
      </c>
      <c r="E55" s="34">
        <v>45176</v>
      </c>
      <c r="F55" s="35" t="s">
        <v>372</v>
      </c>
      <c r="G55" s="32" t="s">
        <v>432</v>
      </c>
      <c r="H55" s="50">
        <v>1.32</v>
      </c>
      <c r="I55" s="33">
        <v>158</v>
      </c>
      <c r="J55" s="33" t="s">
        <v>96</v>
      </c>
      <c r="K55" s="53">
        <v>23.993000000000002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45">
        <v>0</v>
      </c>
      <c r="R55" s="33">
        <v>0</v>
      </c>
      <c r="S55" s="33">
        <v>0</v>
      </c>
      <c r="T55" s="33">
        <v>0</v>
      </c>
      <c r="U55" s="52"/>
      <c r="V5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55" s="33">
        <v>0</v>
      </c>
      <c r="X55" s="34">
        <v>45212</v>
      </c>
      <c r="Y55" s="33">
        <v>12229.01</v>
      </c>
      <c r="Z55" s="46">
        <f>Шаблон_Формулы_2[[#This Row],[23]]*Шаблон_Формулы_2[[#This Row],[25]]</f>
        <v>0</v>
      </c>
      <c r="AA55" s="31" t="s">
        <v>536</v>
      </c>
    </row>
    <row r="56" spans="1:27">
      <c r="A56" s="49">
        <v>52</v>
      </c>
      <c r="B56" s="35" t="s">
        <v>343</v>
      </c>
      <c r="C56" s="35" t="s">
        <v>135</v>
      </c>
      <c r="D56" s="35" t="s">
        <v>21</v>
      </c>
      <c r="E56" s="34">
        <v>45176</v>
      </c>
      <c r="F56" s="35" t="s">
        <v>325</v>
      </c>
      <c r="G56" s="32" t="s">
        <v>433</v>
      </c>
      <c r="H56" s="50">
        <v>14.672000000000001</v>
      </c>
      <c r="I56" s="33">
        <v>17376</v>
      </c>
      <c r="J56" s="33" t="s">
        <v>96</v>
      </c>
      <c r="K56" s="53">
        <v>23.993000000000002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45">
        <v>0</v>
      </c>
      <c r="R56" s="33">
        <v>0</v>
      </c>
      <c r="S56" s="33">
        <v>0</v>
      </c>
      <c r="T56" s="33">
        <v>0</v>
      </c>
      <c r="U56" s="52"/>
      <c r="V5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56" s="33">
        <v>0</v>
      </c>
      <c r="X56" s="34">
        <v>45212</v>
      </c>
      <c r="Y56" s="33">
        <v>12229.01</v>
      </c>
      <c r="Z56" s="46">
        <f>Шаблон_Формулы_2[[#This Row],[23]]*Шаблон_Формулы_2[[#This Row],[25]]</f>
        <v>0</v>
      </c>
      <c r="AA56" s="31" t="s">
        <v>536</v>
      </c>
    </row>
    <row r="57" spans="1:27">
      <c r="A57" s="49">
        <v>53</v>
      </c>
      <c r="B57" s="35" t="s">
        <v>343</v>
      </c>
      <c r="C57" s="35" t="s">
        <v>135</v>
      </c>
      <c r="D57" s="35" t="s">
        <v>21</v>
      </c>
      <c r="E57" s="34">
        <v>45176</v>
      </c>
      <c r="F57" s="35" t="s">
        <v>325</v>
      </c>
      <c r="G57" s="32" t="s">
        <v>434</v>
      </c>
      <c r="H57" s="50">
        <v>0.44600000000000001</v>
      </c>
      <c r="I57" s="33">
        <v>575</v>
      </c>
      <c r="J57" s="33" t="s">
        <v>96</v>
      </c>
      <c r="K57" s="53">
        <v>23.993000000000002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45">
        <v>0</v>
      </c>
      <c r="R57" s="33">
        <v>0</v>
      </c>
      <c r="S57" s="33">
        <v>0</v>
      </c>
      <c r="T57" s="33">
        <v>0</v>
      </c>
      <c r="U57" s="52"/>
      <c r="V5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57" s="33">
        <v>0</v>
      </c>
      <c r="X57" s="34">
        <v>45212</v>
      </c>
      <c r="Y57" s="33">
        <v>12229.01</v>
      </c>
      <c r="Z57" s="46">
        <f>Шаблон_Формулы_2[[#This Row],[23]]*Шаблон_Формулы_2[[#This Row],[25]]</f>
        <v>0</v>
      </c>
      <c r="AA57" s="31" t="s">
        <v>536</v>
      </c>
    </row>
    <row r="58" spans="1:27">
      <c r="A58" s="49">
        <v>54</v>
      </c>
      <c r="B58" s="35" t="s">
        <v>343</v>
      </c>
      <c r="C58" s="35" t="s">
        <v>135</v>
      </c>
      <c r="D58" s="35" t="s">
        <v>21</v>
      </c>
      <c r="E58" s="34">
        <v>45176</v>
      </c>
      <c r="F58" s="35" t="s">
        <v>325</v>
      </c>
      <c r="G58" s="32" t="s">
        <v>435</v>
      </c>
      <c r="H58" s="50">
        <v>0.66500000000000004</v>
      </c>
      <c r="I58" s="33">
        <v>308</v>
      </c>
      <c r="J58" s="33" t="s">
        <v>96</v>
      </c>
      <c r="K58" s="53">
        <v>23.993000000000002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45">
        <v>0</v>
      </c>
      <c r="R58" s="33">
        <v>0</v>
      </c>
      <c r="S58" s="33">
        <v>0</v>
      </c>
      <c r="T58" s="33">
        <v>0</v>
      </c>
      <c r="U58" s="52"/>
      <c r="V5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58" s="33">
        <v>0</v>
      </c>
      <c r="X58" s="34">
        <v>45212</v>
      </c>
      <c r="Y58" s="33">
        <v>12229.01</v>
      </c>
      <c r="Z58" s="46">
        <f>Шаблон_Формулы_2[[#This Row],[23]]*Шаблон_Формулы_2[[#This Row],[25]]</f>
        <v>0</v>
      </c>
      <c r="AA58" s="31" t="s">
        <v>536</v>
      </c>
    </row>
    <row r="59" spans="1:27">
      <c r="A59" s="49">
        <v>55</v>
      </c>
      <c r="B59" s="35" t="s">
        <v>343</v>
      </c>
      <c r="C59" s="35" t="s">
        <v>135</v>
      </c>
      <c r="D59" s="35" t="s">
        <v>21</v>
      </c>
      <c r="E59" s="34">
        <v>45176</v>
      </c>
      <c r="F59" s="35" t="s">
        <v>325</v>
      </c>
      <c r="G59" s="32" t="s">
        <v>436</v>
      </c>
      <c r="H59" s="50">
        <v>1.41</v>
      </c>
      <c r="I59" s="33">
        <v>1373</v>
      </c>
      <c r="J59" s="33" t="s">
        <v>96</v>
      </c>
      <c r="K59" s="53">
        <v>23.993000000000002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45">
        <v>0</v>
      </c>
      <c r="R59" s="33">
        <v>0</v>
      </c>
      <c r="S59" s="33">
        <v>0</v>
      </c>
      <c r="T59" s="33">
        <v>0</v>
      </c>
      <c r="U59" s="52"/>
      <c r="V5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59" s="33">
        <v>0</v>
      </c>
      <c r="X59" s="34">
        <v>45212</v>
      </c>
      <c r="Y59" s="33">
        <v>12229.01</v>
      </c>
      <c r="Z59" s="46">
        <f>Шаблон_Формулы_2[[#This Row],[23]]*Шаблон_Формулы_2[[#This Row],[25]]</f>
        <v>0</v>
      </c>
      <c r="AA59" s="31" t="s">
        <v>536</v>
      </c>
    </row>
    <row r="60" spans="1:27">
      <c r="A60" s="49">
        <v>56</v>
      </c>
      <c r="B60" s="35" t="s">
        <v>343</v>
      </c>
      <c r="C60" s="35" t="s">
        <v>135</v>
      </c>
      <c r="D60" s="35" t="s">
        <v>21</v>
      </c>
      <c r="E60" s="34">
        <v>45176</v>
      </c>
      <c r="F60" s="35" t="s">
        <v>325</v>
      </c>
      <c r="G60" s="32" t="s">
        <v>437</v>
      </c>
      <c r="H60" s="50">
        <v>0.96799999999999997</v>
      </c>
      <c r="I60" s="33">
        <v>189</v>
      </c>
      <c r="J60" s="33" t="s">
        <v>96</v>
      </c>
      <c r="K60" s="53">
        <v>23.993000000000002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45">
        <v>0</v>
      </c>
      <c r="R60" s="33">
        <v>0</v>
      </c>
      <c r="S60" s="33">
        <v>0</v>
      </c>
      <c r="T60" s="33">
        <v>0</v>
      </c>
      <c r="U60" s="52"/>
      <c r="V6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60" s="33">
        <v>0</v>
      </c>
      <c r="X60" s="34">
        <v>45212</v>
      </c>
      <c r="Y60" s="33">
        <v>12229.01</v>
      </c>
      <c r="Z60" s="46">
        <f>Шаблон_Формулы_2[[#This Row],[23]]*Шаблон_Формулы_2[[#This Row],[25]]</f>
        <v>0</v>
      </c>
      <c r="AA60" s="31" t="s">
        <v>536</v>
      </c>
    </row>
    <row r="61" spans="1:27">
      <c r="A61" s="49">
        <v>57</v>
      </c>
      <c r="B61" s="35" t="s">
        <v>344</v>
      </c>
      <c r="C61" s="35" t="s">
        <v>135</v>
      </c>
      <c r="D61" s="35" t="s">
        <v>21</v>
      </c>
      <c r="E61" s="34">
        <v>45176</v>
      </c>
      <c r="F61" s="35" t="s">
        <v>85</v>
      </c>
      <c r="G61" s="32" t="s">
        <v>438</v>
      </c>
      <c r="H61" s="50">
        <v>23.24</v>
      </c>
      <c r="I61" s="33">
        <v>10471</v>
      </c>
      <c r="J61" s="33" t="s">
        <v>86</v>
      </c>
      <c r="K61" s="53">
        <v>64.489999999999995</v>
      </c>
      <c r="L61" s="33">
        <v>752000</v>
      </c>
      <c r="M61" s="33">
        <v>197307.59999999998</v>
      </c>
      <c r="N61" s="33">
        <v>69838.92076290898</v>
      </c>
      <c r="O61" s="33">
        <v>18018.297410451232</v>
      </c>
      <c r="P61" s="33">
        <v>66811.846797953171</v>
      </c>
      <c r="Q61" s="45">
        <v>3279.3301287021245</v>
      </c>
      <c r="R61" s="33">
        <v>0</v>
      </c>
      <c r="S61" s="33">
        <v>101082.64847263142</v>
      </c>
      <c r="T61" s="33">
        <v>0</v>
      </c>
      <c r="U61" s="52"/>
      <c r="V6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1208338.6435726469</v>
      </c>
      <c r="W61" s="33">
        <v>908.89</v>
      </c>
      <c r="X61" s="34">
        <v>45212</v>
      </c>
      <c r="Y61" s="33">
        <v>12229.01</v>
      </c>
      <c r="Z61" s="46">
        <f>Шаблон_Формулы_2[[#This Row],[23]]*Шаблон_Формулы_2[[#This Row],[25]]</f>
        <v>11114824.8989</v>
      </c>
      <c r="AA61" s="31" t="s">
        <v>536</v>
      </c>
    </row>
    <row r="62" spans="1:27">
      <c r="A62" s="49">
        <v>58</v>
      </c>
      <c r="B62" s="35" t="s">
        <v>344</v>
      </c>
      <c r="C62" s="35" t="s">
        <v>135</v>
      </c>
      <c r="D62" s="35" t="s">
        <v>21</v>
      </c>
      <c r="E62" s="34">
        <v>45176</v>
      </c>
      <c r="F62" s="35" t="s">
        <v>94</v>
      </c>
      <c r="G62" s="32" t="s">
        <v>439</v>
      </c>
      <c r="H62" s="50">
        <v>41.249999999999993</v>
      </c>
      <c r="I62" s="33">
        <v>8208</v>
      </c>
      <c r="J62" s="33" t="s">
        <v>86</v>
      </c>
      <c r="K62" s="53">
        <v>64.489999999999995</v>
      </c>
      <c r="L62" s="33">
        <v>1101000</v>
      </c>
      <c r="M62" s="33">
        <v>350212.49999999994</v>
      </c>
      <c r="N62" s="33">
        <v>123961.07923709102</v>
      </c>
      <c r="O62" s="33">
        <v>31981.702589548768</v>
      </c>
      <c r="P62" s="33">
        <v>118588.15320204683</v>
      </c>
      <c r="Q62" s="45">
        <v>5820.669871297875</v>
      </c>
      <c r="R62" s="33">
        <v>0</v>
      </c>
      <c r="S62" s="33">
        <v>179417.35152736859</v>
      </c>
      <c r="T62" s="33">
        <v>0</v>
      </c>
      <c r="U62" s="52"/>
      <c r="V6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1910981.4564273532</v>
      </c>
      <c r="W62" s="33">
        <v>1437.4</v>
      </c>
      <c r="X62" s="34">
        <v>45212</v>
      </c>
      <c r="Y62" s="33">
        <v>12229.01</v>
      </c>
      <c r="Z62" s="46">
        <f>Шаблон_Формулы_2[[#This Row],[23]]*Шаблон_Формулы_2[[#This Row],[25]]</f>
        <v>17577978.974000003</v>
      </c>
      <c r="AA62" s="31" t="s">
        <v>536</v>
      </c>
    </row>
    <row r="63" spans="1:27">
      <c r="A63" s="49">
        <v>59</v>
      </c>
      <c r="B63" s="35" t="s">
        <v>345</v>
      </c>
      <c r="C63" s="35" t="s">
        <v>135</v>
      </c>
      <c r="D63" s="35" t="s">
        <v>21</v>
      </c>
      <c r="E63" s="34">
        <v>45176</v>
      </c>
      <c r="F63" s="35" t="s">
        <v>85</v>
      </c>
      <c r="G63" s="32" t="s">
        <v>440</v>
      </c>
      <c r="H63" s="50">
        <v>17.940000000000001</v>
      </c>
      <c r="I63" s="33">
        <v>7704</v>
      </c>
      <c r="J63" s="33" t="s">
        <v>86</v>
      </c>
      <c r="K63" s="53">
        <v>61.61</v>
      </c>
      <c r="L63" s="33">
        <v>698500</v>
      </c>
      <c r="M63" s="33">
        <v>152310.6</v>
      </c>
      <c r="N63" s="33">
        <v>56431.94286641779</v>
      </c>
      <c r="O63" s="33">
        <v>14559.324784937511</v>
      </c>
      <c r="P63" s="33">
        <v>53985.97630254829</v>
      </c>
      <c r="Q63" s="45">
        <v>2649.7971108586271</v>
      </c>
      <c r="R63" s="33">
        <v>0</v>
      </c>
      <c r="S63" s="33">
        <v>81677.812043499434</v>
      </c>
      <c r="T63" s="33">
        <v>0</v>
      </c>
      <c r="U63" s="52"/>
      <c r="V6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1060115.4531082618</v>
      </c>
      <c r="W63" s="33">
        <v>797.4</v>
      </c>
      <c r="X63" s="34">
        <v>45212</v>
      </c>
      <c r="Y63" s="33">
        <v>12229.01</v>
      </c>
      <c r="Z63" s="46">
        <f>Шаблон_Формулы_2[[#This Row],[23]]*Шаблон_Формулы_2[[#This Row],[25]]</f>
        <v>9751412.5739999991</v>
      </c>
      <c r="AA63" s="31" t="s">
        <v>536</v>
      </c>
    </row>
    <row r="64" spans="1:27">
      <c r="A64" s="49">
        <v>60</v>
      </c>
      <c r="B64" s="35" t="s">
        <v>345</v>
      </c>
      <c r="C64" s="35" t="s">
        <v>135</v>
      </c>
      <c r="D64" s="35" t="s">
        <v>21</v>
      </c>
      <c r="E64" s="34">
        <v>45176</v>
      </c>
      <c r="F64" s="35" t="s">
        <v>89</v>
      </c>
      <c r="G64" s="32" t="s">
        <v>441</v>
      </c>
      <c r="H64" s="50">
        <v>43.67</v>
      </c>
      <c r="I64" s="33">
        <v>6140.16</v>
      </c>
      <c r="J64" s="33" t="s">
        <v>86</v>
      </c>
      <c r="K64" s="53">
        <v>61.61</v>
      </c>
      <c r="L64" s="33">
        <v>1066000</v>
      </c>
      <c r="M64" s="33">
        <v>370758.3</v>
      </c>
      <c r="N64" s="33">
        <v>137368.05713358222</v>
      </c>
      <c r="O64" s="33">
        <v>35440.675215062489</v>
      </c>
      <c r="P64" s="33">
        <v>131414.02369745172</v>
      </c>
      <c r="Q64" s="45">
        <v>6450.2028891413729</v>
      </c>
      <c r="R64" s="33">
        <v>0</v>
      </c>
      <c r="S64" s="33">
        <v>198822.18795650057</v>
      </c>
      <c r="T64" s="33">
        <v>0</v>
      </c>
      <c r="U64" s="52"/>
      <c r="V6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1946253.4468917383</v>
      </c>
      <c r="W64" s="33">
        <v>1463.93</v>
      </c>
      <c r="X64" s="34">
        <v>45212</v>
      </c>
      <c r="Y64" s="33">
        <v>12229.01</v>
      </c>
      <c r="Z64" s="46">
        <f>Шаблон_Формулы_2[[#This Row],[23]]*Шаблон_Формулы_2[[#This Row],[25]]</f>
        <v>17902414.609300002</v>
      </c>
      <c r="AA64" s="31" t="s">
        <v>536</v>
      </c>
    </row>
    <row r="65" spans="1:27">
      <c r="A65" s="49">
        <v>61</v>
      </c>
      <c r="B65" s="35" t="s">
        <v>346</v>
      </c>
      <c r="C65" s="35" t="s">
        <v>135</v>
      </c>
      <c r="D65" s="35" t="s">
        <v>21</v>
      </c>
      <c r="E65" s="34">
        <v>45176</v>
      </c>
      <c r="F65" s="35" t="s">
        <v>85</v>
      </c>
      <c r="G65" s="32" t="s">
        <v>442</v>
      </c>
      <c r="H65" s="50">
        <v>22.425000000000001</v>
      </c>
      <c r="I65" s="33">
        <v>9630</v>
      </c>
      <c r="J65" s="33" t="s">
        <v>86</v>
      </c>
      <c r="K65" s="53">
        <v>40.957000000000001</v>
      </c>
      <c r="L65" s="33">
        <v>752000</v>
      </c>
      <c r="M65" s="33">
        <v>190388.25</v>
      </c>
      <c r="N65" s="33">
        <v>106110.43289303416</v>
      </c>
      <c r="O65" s="33">
        <v>27376.272676221404</v>
      </c>
      <c r="P65" s="33">
        <v>101511.21908342896</v>
      </c>
      <c r="Q65" s="45">
        <v>4982.4816270722949</v>
      </c>
      <c r="R65" s="33">
        <v>0</v>
      </c>
      <c r="S65" s="33">
        <v>153580.88971360208</v>
      </c>
      <c r="T65" s="33">
        <v>0</v>
      </c>
      <c r="U65" s="52"/>
      <c r="V6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1335949.5459933588</v>
      </c>
      <c r="W65" s="33">
        <v>1004.87</v>
      </c>
      <c r="X65" s="34">
        <v>45212</v>
      </c>
      <c r="Y65" s="33">
        <v>12229.01</v>
      </c>
      <c r="Z65" s="46">
        <f>Шаблон_Формулы_2[[#This Row],[23]]*Шаблон_Формулы_2[[#This Row],[25]]</f>
        <v>12288565.2787</v>
      </c>
      <c r="AA65" s="31" t="s">
        <v>536</v>
      </c>
    </row>
    <row r="66" spans="1:27">
      <c r="A66" s="49">
        <v>62</v>
      </c>
      <c r="B66" s="35" t="s">
        <v>346</v>
      </c>
      <c r="C66" s="35" t="s">
        <v>135</v>
      </c>
      <c r="D66" s="35" t="s">
        <v>21</v>
      </c>
      <c r="E66" s="34">
        <v>45176</v>
      </c>
      <c r="F66" s="35" t="s">
        <v>222</v>
      </c>
      <c r="G66" s="32" t="s">
        <v>443</v>
      </c>
      <c r="H66" s="50">
        <v>13.272</v>
      </c>
      <c r="I66" s="33">
        <v>7963</v>
      </c>
      <c r="J66" s="33" t="s">
        <v>86</v>
      </c>
      <c r="K66" s="53">
        <v>40.957000000000001</v>
      </c>
      <c r="L66" s="33">
        <v>532000</v>
      </c>
      <c r="M66" s="33">
        <v>112679.28</v>
      </c>
      <c r="N66" s="33">
        <v>62800.341821910784</v>
      </c>
      <c r="O66" s="33">
        <v>16202.358571184413</v>
      </c>
      <c r="P66" s="33">
        <v>60078.345581951806</v>
      </c>
      <c r="Q66" s="45">
        <v>2948.8292599555634</v>
      </c>
      <c r="R66" s="33">
        <v>0</v>
      </c>
      <c r="S66" s="33">
        <v>90895.231584344554</v>
      </c>
      <c r="T66" s="33">
        <v>0</v>
      </c>
      <c r="U66" s="52"/>
      <c r="V6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877604.38681934716</v>
      </c>
      <c r="W66" s="33">
        <v>660.12</v>
      </c>
      <c r="X66" s="34">
        <v>45212</v>
      </c>
      <c r="Y66" s="33">
        <v>12229.01</v>
      </c>
      <c r="Z66" s="46">
        <f>Шаблон_Формулы_2[[#This Row],[23]]*Шаблон_Формулы_2[[#This Row],[25]]</f>
        <v>8072614.0811999999</v>
      </c>
      <c r="AA66" s="31" t="s">
        <v>536</v>
      </c>
    </row>
    <row r="67" spans="1:27">
      <c r="A67" s="49">
        <v>63</v>
      </c>
      <c r="B67" s="35" t="s">
        <v>346</v>
      </c>
      <c r="C67" s="35" t="s">
        <v>135</v>
      </c>
      <c r="D67" s="35" t="s">
        <v>21</v>
      </c>
      <c r="E67" s="34">
        <v>45176</v>
      </c>
      <c r="F67" s="35" t="s">
        <v>373</v>
      </c>
      <c r="G67" s="32" t="s">
        <v>444</v>
      </c>
      <c r="H67" s="50">
        <v>5.26</v>
      </c>
      <c r="I67" s="33">
        <v>4988</v>
      </c>
      <c r="J67" s="33" t="s">
        <v>96</v>
      </c>
      <c r="K67" s="53">
        <v>40.957000000000001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45">
        <v>0</v>
      </c>
      <c r="R67" s="33">
        <v>0</v>
      </c>
      <c r="S67" s="33">
        <v>0</v>
      </c>
      <c r="T67" s="33">
        <v>0</v>
      </c>
      <c r="U67" s="52"/>
      <c r="V6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67" s="33">
        <v>0</v>
      </c>
      <c r="X67" s="34">
        <v>45212</v>
      </c>
      <c r="Y67" s="33">
        <v>12229.01</v>
      </c>
      <c r="Z67" s="46">
        <f>Шаблон_Формулы_2[[#This Row],[23]]*Шаблон_Формулы_2[[#This Row],[25]]</f>
        <v>0</v>
      </c>
      <c r="AA67" s="31" t="s">
        <v>536</v>
      </c>
    </row>
    <row r="68" spans="1:27">
      <c r="A68" s="49">
        <v>64</v>
      </c>
      <c r="B68" s="35" t="s">
        <v>347</v>
      </c>
      <c r="C68" s="35" t="s">
        <v>135</v>
      </c>
      <c r="D68" s="35" t="s">
        <v>21</v>
      </c>
      <c r="E68" s="34">
        <v>45176</v>
      </c>
      <c r="F68" s="35" t="s">
        <v>85</v>
      </c>
      <c r="G68" s="32" t="s">
        <v>445</v>
      </c>
      <c r="H68" s="50">
        <v>35.133000000000003</v>
      </c>
      <c r="I68" s="33">
        <v>15087</v>
      </c>
      <c r="J68" s="33" t="s">
        <v>86</v>
      </c>
      <c r="K68" s="53">
        <v>65.823000000000008</v>
      </c>
      <c r="L68" s="33">
        <v>1384500</v>
      </c>
      <c r="M68" s="33">
        <v>298279.17000000004</v>
      </c>
      <c r="N68" s="33">
        <v>103440.67271318535</v>
      </c>
      <c r="O68" s="33">
        <v>26687.480060161339</v>
      </c>
      <c r="P68" s="33">
        <v>98957.176063078252</v>
      </c>
      <c r="Q68" s="45">
        <v>4857.1213709493641</v>
      </c>
      <c r="R68" s="33">
        <v>0</v>
      </c>
      <c r="S68" s="33">
        <v>149716.76313750513</v>
      </c>
      <c r="T68" s="33">
        <v>0</v>
      </c>
      <c r="U68" s="52"/>
      <c r="V6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2066438.3833448794</v>
      </c>
      <c r="W68" s="33">
        <v>1554.33</v>
      </c>
      <c r="X68" s="34">
        <v>45212</v>
      </c>
      <c r="Y68" s="33">
        <v>12229.01</v>
      </c>
      <c r="Z68" s="46">
        <f>Шаблон_Формулы_2[[#This Row],[23]]*Шаблон_Формулы_2[[#This Row],[25]]</f>
        <v>19007917.113299999</v>
      </c>
      <c r="AA68" s="31" t="s">
        <v>536</v>
      </c>
    </row>
    <row r="69" spans="1:27">
      <c r="A69" s="49">
        <v>65</v>
      </c>
      <c r="B69" s="35" t="s">
        <v>347</v>
      </c>
      <c r="C69" s="35" t="s">
        <v>135</v>
      </c>
      <c r="D69" s="35" t="s">
        <v>21</v>
      </c>
      <c r="E69" s="34">
        <v>45176</v>
      </c>
      <c r="F69" s="35" t="s">
        <v>374</v>
      </c>
      <c r="G69" s="32" t="s">
        <v>446</v>
      </c>
      <c r="H69" s="50">
        <v>18.75</v>
      </c>
      <c r="I69" s="33">
        <v>2160</v>
      </c>
      <c r="J69" s="33" t="s">
        <v>86</v>
      </c>
      <c r="K69" s="53">
        <v>65.823000000000008</v>
      </c>
      <c r="L69" s="33">
        <v>376000</v>
      </c>
      <c r="M69" s="33">
        <v>159187.5</v>
      </c>
      <c r="N69" s="33">
        <v>55204.867599471305</v>
      </c>
      <c r="O69" s="33">
        <v>14242.741898728405</v>
      </c>
      <c r="P69" s="33">
        <v>52812.086960484929</v>
      </c>
      <c r="Q69" s="45">
        <v>2592.1790255685701</v>
      </c>
      <c r="R69" s="33">
        <v>0</v>
      </c>
      <c r="S69" s="33">
        <v>79901.782051866365</v>
      </c>
      <c r="T69" s="33">
        <v>0</v>
      </c>
      <c r="U69" s="52"/>
      <c r="V6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739941.15753611969</v>
      </c>
      <c r="W69" s="33">
        <v>556.57000000000005</v>
      </c>
      <c r="X69" s="34">
        <v>45212</v>
      </c>
      <c r="Y69" s="33">
        <v>12229.01</v>
      </c>
      <c r="Z69" s="46">
        <f>Шаблон_Формулы_2[[#This Row],[23]]*Шаблон_Формулы_2[[#This Row],[25]]</f>
        <v>6806300.0957000004</v>
      </c>
      <c r="AA69" s="31" t="s">
        <v>536</v>
      </c>
    </row>
    <row r="70" spans="1:27">
      <c r="A70" s="49">
        <v>66</v>
      </c>
      <c r="B70" s="35" t="s">
        <v>347</v>
      </c>
      <c r="C70" s="35" t="s">
        <v>135</v>
      </c>
      <c r="D70" s="35" t="s">
        <v>21</v>
      </c>
      <c r="E70" s="34">
        <v>45176</v>
      </c>
      <c r="F70" s="35" t="s">
        <v>108</v>
      </c>
      <c r="G70" s="32" t="s">
        <v>447</v>
      </c>
      <c r="H70" s="50">
        <v>11.94</v>
      </c>
      <c r="I70" s="33">
        <v>976.8</v>
      </c>
      <c r="J70" s="33" t="s">
        <v>86</v>
      </c>
      <c r="K70" s="53">
        <v>65.823000000000008</v>
      </c>
      <c r="L70" s="33">
        <v>238000</v>
      </c>
      <c r="M70" s="33">
        <v>101370.59999999999</v>
      </c>
      <c r="N70" s="33">
        <v>35154.459687343326</v>
      </c>
      <c r="O70" s="33">
        <v>9069.7780411102485</v>
      </c>
      <c r="P70" s="33">
        <v>33630.736976436805</v>
      </c>
      <c r="Q70" s="45">
        <v>1650.6996034820654</v>
      </c>
      <c r="R70" s="33">
        <v>0</v>
      </c>
      <c r="S70" s="33">
        <v>50881.4548106285</v>
      </c>
      <c r="T70" s="33">
        <v>0</v>
      </c>
      <c r="U70" s="52"/>
      <c r="V7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469757.72911900096</v>
      </c>
      <c r="W70" s="33">
        <v>353.34</v>
      </c>
      <c r="X70" s="34">
        <v>45212</v>
      </c>
      <c r="Y70" s="33">
        <v>12229.01</v>
      </c>
      <c r="Z70" s="46">
        <f>Шаблон_Формулы_2[[#This Row],[23]]*Шаблон_Формулы_2[[#This Row],[25]]</f>
        <v>4320998.3933999995</v>
      </c>
      <c r="AA70" s="31" t="s">
        <v>536</v>
      </c>
    </row>
    <row r="71" spans="1:27">
      <c r="A71" s="49">
        <v>67</v>
      </c>
      <c r="B71" s="35" t="s">
        <v>348</v>
      </c>
      <c r="C71" s="35" t="s">
        <v>135</v>
      </c>
      <c r="D71" s="35" t="s">
        <v>21</v>
      </c>
      <c r="E71" s="34">
        <v>45176</v>
      </c>
      <c r="F71" s="35" t="s">
        <v>85</v>
      </c>
      <c r="G71" s="32" t="s">
        <v>448</v>
      </c>
      <c r="H71" s="50">
        <v>14.202999999999999</v>
      </c>
      <c r="I71" s="33">
        <v>6099</v>
      </c>
      <c r="J71" s="33" t="s">
        <v>86</v>
      </c>
      <c r="K71" s="53">
        <v>38.766000000000005</v>
      </c>
      <c r="L71" s="33">
        <v>698500</v>
      </c>
      <c r="M71" s="33">
        <v>120583.47</v>
      </c>
      <c r="N71" s="33">
        <v>71004.008667388931</v>
      </c>
      <c r="O71" s="33">
        <v>18318.887685084865</v>
      </c>
      <c r="P71" s="33">
        <v>67926.435536294681</v>
      </c>
      <c r="Q71" s="45">
        <v>3334.0375586854452</v>
      </c>
      <c r="R71" s="33">
        <v>0</v>
      </c>
      <c r="S71" s="33">
        <v>102768.95991332609</v>
      </c>
      <c r="T71" s="33">
        <v>0</v>
      </c>
      <c r="U71" s="52"/>
      <c r="V7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1082435.79936078</v>
      </c>
      <c r="W71" s="33">
        <v>814.19</v>
      </c>
      <c r="X71" s="34">
        <v>45212</v>
      </c>
      <c r="Y71" s="33">
        <v>12229.01</v>
      </c>
      <c r="Z71" s="46">
        <f>Шаблон_Формулы_2[[#This Row],[23]]*Шаблон_Формулы_2[[#This Row],[25]]</f>
        <v>9956737.6519000009</v>
      </c>
      <c r="AA71" s="31" t="s">
        <v>536</v>
      </c>
    </row>
    <row r="72" spans="1:27">
      <c r="A72" s="49">
        <v>68</v>
      </c>
      <c r="B72" s="35" t="s">
        <v>348</v>
      </c>
      <c r="C72" s="35" t="s">
        <v>135</v>
      </c>
      <c r="D72" s="35" t="s">
        <v>21</v>
      </c>
      <c r="E72" s="34">
        <v>45176</v>
      </c>
      <c r="F72" s="35" t="s">
        <v>85</v>
      </c>
      <c r="G72" s="32" t="s">
        <v>449</v>
      </c>
      <c r="H72" s="50">
        <v>3.74</v>
      </c>
      <c r="I72" s="33">
        <v>1605</v>
      </c>
      <c r="J72" s="33" t="s">
        <v>86</v>
      </c>
      <c r="K72" s="53">
        <v>38.766000000000005</v>
      </c>
      <c r="L72" s="33">
        <v>478000</v>
      </c>
      <c r="M72" s="33">
        <v>31752.600000000002</v>
      </c>
      <c r="N72" s="33">
        <v>18697.105711190216</v>
      </c>
      <c r="O72" s="33">
        <v>4823.8146829696116</v>
      </c>
      <c r="P72" s="33">
        <v>17886.70484445132</v>
      </c>
      <c r="Q72" s="45">
        <v>877.93427230046939</v>
      </c>
      <c r="R72" s="33">
        <v>0</v>
      </c>
      <c r="S72" s="33">
        <v>27061.600371459524</v>
      </c>
      <c r="T72" s="33">
        <v>0</v>
      </c>
      <c r="U72" s="52"/>
      <c r="V7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579099.75988237106</v>
      </c>
      <c r="W72" s="33">
        <v>435.59</v>
      </c>
      <c r="X72" s="34">
        <v>45212</v>
      </c>
      <c r="Y72" s="33">
        <v>12229.01</v>
      </c>
      <c r="Z72" s="46">
        <f>Шаблон_Формулы_2[[#This Row],[23]]*Шаблон_Формулы_2[[#This Row],[25]]</f>
        <v>5326834.4659000002</v>
      </c>
      <c r="AA72" s="31" t="s">
        <v>536</v>
      </c>
    </row>
    <row r="73" spans="1:27">
      <c r="A73" s="49">
        <v>69</v>
      </c>
      <c r="B73" s="35" t="s">
        <v>348</v>
      </c>
      <c r="C73" s="35" t="s">
        <v>135</v>
      </c>
      <c r="D73" s="35" t="s">
        <v>21</v>
      </c>
      <c r="E73" s="34">
        <v>45176</v>
      </c>
      <c r="F73" s="35" t="s">
        <v>95</v>
      </c>
      <c r="G73" s="32" t="s">
        <v>450</v>
      </c>
      <c r="H73" s="50">
        <v>6.4909999999999997</v>
      </c>
      <c r="I73" s="33">
        <v>2270.31</v>
      </c>
      <c r="J73" s="33" t="s">
        <v>96</v>
      </c>
      <c r="K73" s="53">
        <v>38.766000000000005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45">
        <v>0</v>
      </c>
      <c r="R73" s="33">
        <v>0</v>
      </c>
      <c r="S73" s="33">
        <v>0</v>
      </c>
      <c r="T73" s="33">
        <v>0</v>
      </c>
      <c r="U73" s="52"/>
      <c r="V7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73" s="33">
        <v>0</v>
      </c>
      <c r="X73" s="34">
        <v>45212</v>
      </c>
      <c r="Y73" s="33">
        <v>12229.01</v>
      </c>
      <c r="Z73" s="46">
        <f>Шаблон_Формулы_2[[#This Row],[23]]*Шаблон_Формулы_2[[#This Row],[25]]</f>
        <v>0</v>
      </c>
      <c r="AA73" s="31" t="s">
        <v>536</v>
      </c>
    </row>
    <row r="74" spans="1:27">
      <c r="A74" s="49">
        <v>70</v>
      </c>
      <c r="B74" s="35" t="s">
        <v>348</v>
      </c>
      <c r="C74" s="35" t="s">
        <v>135</v>
      </c>
      <c r="D74" s="35" t="s">
        <v>21</v>
      </c>
      <c r="E74" s="34">
        <v>45176</v>
      </c>
      <c r="F74" s="35" t="s">
        <v>258</v>
      </c>
      <c r="G74" s="32" t="s">
        <v>451</v>
      </c>
      <c r="H74" s="50">
        <v>7.3869999999999996</v>
      </c>
      <c r="I74" s="33">
        <v>8240.01</v>
      </c>
      <c r="J74" s="33" t="s">
        <v>86</v>
      </c>
      <c r="K74" s="53">
        <v>38.766000000000005</v>
      </c>
      <c r="L74" s="33">
        <v>602000</v>
      </c>
      <c r="M74" s="33">
        <v>62715.63</v>
      </c>
      <c r="N74" s="33">
        <v>36929.283392663667</v>
      </c>
      <c r="O74" s="33">
        <v>9527.6788938760747</v>
      </c>
      <c r="P74" s="33">
        <v>35328.633338492487</v>
      </c>
      <c r="Q74" s="45">
        <v>1734.0375586854457</v>
      </c>
      <c r="R74" s="33">
        <v>0</v>
      </c>
      <c r="S74" s="33">
        <v>53450.278594644784</v>
      </c>
      <c r="T74" s="33">
        <v>0</v>
      </c>
      <c r="U74" s="52"/>
      <c r="V7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801685.54177836236</v>
      </c>
      <c r="W74" s="33">
        <v>603.01</v>
      </c>
      <c r="X74" s="34">
        <v>45212</v>
      </c>
      <c r="Y74" s="33">
        <v>12229.01</v>
      </c>
      <c r="Z74" s="46">
        <f>Шаблон_Формулы_2[[#This Row],[23]]*Шаблон_Формулы_2[[#This Row],[25]]</f>
        <v>7374215.3201000001</v>
      </c>
      <c r="AA74" s="31" t="s">
        <v>536</v>
      </c>
    </row>
    <row r="75" spans="1:27">
      <c r="A75" s="49">
        <v>71</v>
      </c>
      <c r="B75" s="35" t="s">
        <v>348</v>
      </c>
      <c r="C75" s="35" t="s">
        <v>135</v>
      </c>
      <c r="D75" s="35" t="s">
        <v>21</v>
      </c>
      <c r="E75" s="34">
        <v>45176</v>
      </c>
      <c r="F75" s="35" t="s">
        <v>258</v>
      </c>
      <c r="G75" s="32" t="s">
        <v>452</v>
      </c>
      <c r="H75" s="50">
        <v>0.94799999999999995</v>
      </c>
      <c r="I75" s="33">
        <v>603.79999999999995</v>
      </c>
      <c r="J75" s="33" t="s">
        <v>86</v>
      </c>
      <c r="K75" s="53">
        <v>38.766000000000005</v>
      </c>
      <c r="L75" s="33">
        <v>289000</v>
      </c>
      <c r="M75" s="33">
        <v>8048.5199999999995</v>
      </c>
      <c r="N75" s="33">
        <v>4739.2663674353807</v>
      </c>
      <c r="O75" s="33">
        <v>1222.7209410308001</v>
      </c>
      <c r="P75" s="33">
        <v>4533.8492493422063</v>
      </c>
      <c r="Q75" s="45">
        <v>222.5352112676056</v>
      </c>
      <c r="R75" s="33">
        <v>0</v>
      </c>
      <c r="S75" s="33">
        <v>6859.4644791827886</v>
      </c>
      <c r="T75" s="33">
        <v>0</v>
      </c>
      <c r="U75" s="52"/>
      <c r="V7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314626.35624825885</v>
      </c>
      <c r="W75" s="33">
        <v>236.66</v>
      </c>
      <c r="X75" s="34">
        <v>45212</v>
      </c>
      <c r="Y75" s="33">
        <v>12229.01</v>
      </c>
      <c r="Z75" s="46">
        <f>Шаблон_Формулы_2[[#This Row],[23]]*Шаблон_Формулы_2[[#This Row],[25]]</f>
        <v>2894117.5066</v>
      </c>
      <c r="AA75" s="31" t="s">
        <v>536</v>
      </c>
    </row>
    <row r="76" spans="1:27">
      <c r="A76" s="49">
        <v>72</v>
      </c>
      <c r="B76" s="35" t="s">
        <v>348</v>
      </c>
      <c r="C76" s="35" t="s">
        <v>135</v>
      </c>
      <c r="D76" s="35" t="s">
        <v>21</v>
      </c>
      <c r="E76" s="34">
        <v>45176</v>
      </c>
      <c r="F76" s="35" t="s">
        <v>375</v>
      </c>
      <c r="G76" s="32" t="s">
        <v>453</v>
      </c>
      <c r="H76" s="50">
        <v>2.57</v>
      </c>
      <c r="I76" s="33">
        <v>2454</v>
      </c>
      <c r="J76" s="33" t="s">
        <v>86</v>
      </c>
      <c r="K76" s="53">
        <v>38.766000000000005</v>
      </c>
      <c r="L76" s="33">
        <v>478000</v>
      </c>
      <c r="M76" s="33">
        <v>21819.3</v>
      </c>
      <c r="N76" s="33">
        <v>12848.011143785789</v>
      </c>
      <c r="O76" s="33">
        <v>3314.7603570138776</v>
      </c>
      <c r="P76" s="33">
        <v>12291.131403807458</v>
      </c>
      <c r="Q76" s="45">
        <v>603.28638497652571</v>
      </c>
      <c r="R76" s="33">
        <v>0</v>
      </c>
      <c r="S76" s="33">
        <v>18595.805602847853</v>
      </c>
      <c r="T76" s="33">
        <v>0</v>
      </c>
      <c r="U76" s="52"/>
      <c r="V7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547472.29489243147</v>
      </c>
      <c r="W76" s="33">
        <v>411.8</v>
      </c>
      <c r="X76" s="34">
        <v>45212</v>
      </c>
      <c r="Y76" s="33">
        <v>12229.01</v>
      </c>
      <c r="Z76" s="46">
        <f>Шаблон_Формулы_2[[#This Row],[23]]*Шаблон_Формулы_2[[#This Row],[25]]</f>
        <v>5035906.318</v>
      </c>
      <c r="AA76" s="31" t="s">
        <v>536</v>
      </c>
    </row>
    <row r="77" spans="1:27">
      <c r="A77" s="49">
        <v>73</v>
      </c>
      <c r="B77" s="35" t="s">
        <v>348</v>
      </c>
      <c r="C77" s="35" t="s">
        <v>135</v>
      </c>
      <c r="D77" s="35" t="s">
        <v>21</v>
      </c>
      <c r="E77" s="34">
        <v>45176</v>
      </c>
      <c r="F77" s="35" t="s">
        <v>328</v>
      </c>
      <c r="G77" s="32" t="s">
        <v>454</v>
      </c>
      <c r="H77" s="50">
        <v>1.256</v>
      </c>
      <c r="I77" s="33">
        <v>1239.4000000000001</v>
      </c>
      <c r="J77" s="33" t="s">
        <v>86</v>
      </c>
      <c r="K77" s="50">
        <v>38.766000000000005</v>
      </c>
      <c r="L77" s="33">
        <v>391000</v>
      </c>
      <c r="M77" s="33">
        <v>10663.44</v>
      </c>
      <c r="N77" s="33">
        <v>6279.0280142392803</v>
      </c>
      <c r="O77" s="33">
        <v>1619.9762678635914</v>
      </c>
      <c r="P77" s="33">
        <v>6006.8720012381973</v>
      </c>
      <c r="Q77" s="45">
        <v>294.83568075117364</v>
      </c>
      <c r="R77" s="33">
        <v>0</v>
      </c>
      <c r="S77" s="33">
        <v>9088.0668627147479</v>
      </c>
      <c r="T77" s="33">
        <v>0</v>
      </c>
      <c r="U77" s="52"/>
      <c r="V7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424952.21882680705</v>
      </c>
      <c r="W77" s="33">
        <v>319.64</v>
      </c>
      <c r="X77" s="34">
        <v>45212</v>
      </c>
      <c r="Y77" s="33">
        <v>12229.01</v>
      </c>
      <c r="Z77" s="46">
        <f>Шаблон_Формулы_2[[#This Row],[23]]*Шаблон_Формулы_2[[#This Row],[25]]</f>
        <v>3908880.7563999998</v>
      </c>
      <c r="AA77" s="31" t="s">
        <v>536</v>
      </c>
    </row>
    <row r="78" spans="1:27">
      <c r="A78" s="49">
        <v>74</v>
      </c>
      <c r="B78" s="35" t="s">
        <v>348</v>
      </c>
      <c r="C78" s="35" t="s">
        <v>135</v>
      </c>
      <c r="D78" s="35" t="s">
        <v>21</v>
      </c>
      <c r="E78" s="34">
        <v>45176</v>
      </c>
      <c r="F78" s="35" t="s">
        <v>324</v>
      </c>
      <c r="G78" s="32" t="s">
        <v>455</v>
      </c>
      <c r="H78" s="50">
        <v>0.84</v>
      </c>
      <c r="I78" s="33">
        <v>970</v>
      </c>
      <c r="J78" s="33" t="s">
        <v>86</v>
      </c>
      <c r="K78" s="50">
        <v>38.766000000000005</v>
      </c>
      <c r="L78" s="33">
        <v>288000</v>
      </c>
      <c r="M78" s="33">
        <v>7131.5999999999995</v>
      </c>
      <c r="N78" s="33">
        <v>4199.3499458288179</v>
      </c>
      <c r="O78" s="33">
        <v>1083.423618634886</v>
      </c>
      <c r="P78" s="33">
        <v>4017.3347778981574</v>
      </c>
      <c r="Q78" s="45">
        <v>197.18309859154925</v>
      </c>
      <c r="R78" s="33">
        <v>0</v>
      </c>
      <c r="S78" s="33">
        <v>6078.0065005417109</v>
      </c>
      <c r="T78" s="33">
        <v>0</v>
      </c>
      <c r="U78" s="52"/>
      <c r="V7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310706.89794149512</v>
      </c>
      <c r="W78" s="33">
        <v>233.71</v>
      </c>
      <c r="X78" s="34">
        <v>45212</v>
      </c>
      <c r="Y78" s="33">
        <v>12229.01</v>
      </c>
      <c r="Z78" s="46">
        <f>Шаблон_Формулы_2[[#This Row],[23]]*Шаблон_Формулы_2[[#This Row],[25]]</f>
        <v>2858041.9271</v>
      </c>
      <c r="AA78" s="31" t="s">
        <v>536</v>
      </c>
    </row>
    <row r="79" spans="1:27">
      <c r="A79" s="49">
        <v>75</v>
      </c>
      <c r="B79" s="35" t="s">
        <v>348</v>
      </c>
      <c r="C79" s="35" t="s">
        <v>135</v>
      </c>
      <c r="D79" s="35" t="s">
        <v>21</v>
      </c>
      <c r="E79" s="34">
        <v>45176</v>
      </c>
      <c r="F79" s="35" t="s">
        <v>329</v>
      </c>
      <c r="G79" s="32" t="s">
        <v>456</v>
      </c>
      <c r="H79" s="50">
        <v>1.222</v>
      </c>
      <c r="I79" s="33">
        <v>483.5</v>
      </c>
      <c r="J79" s="33" t="s">
        <v>86</v>
      </c>
      <c r="K79" s="50">
        <v>38.766000000000005</v>
      </c>
      <c r="L79" s="33">
        <v>288000</v>
      </c>
      <c r="M79" s="33">
        <v>10374.780000000001</v>
      </c>
      <c r="N79" s="33">
        <v>6109.0543259557335</v>
      </c>
      <c r="O79" s="33">
        <v>1576.1234071093224</v>
      </c>
      <c r="P79" s="33">
        <v>5844.2655935613675</v>
      </c>
      <c r="Q79" s="45">
        <v>286.85446009389671</v>
      </c>
      <c r="R79" s="33">
        <v>0</v>
      </c>
      <c r="S79" s="33">
        <v>8842.0523138832996</v>
      </c>
      <c r="T79" s="33">
        <v>0</v>
      </c>
      <c r="U79" s="52"/>
      <c r="V7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321033.13010060368</v>
      </c>
      <c r="W79" s="33">
        <v>241.47</v>
      </c>
      <c r="X79" s="34">
        <v>45212</v>
      </c>
      <c r="Y79" s="33">
        <v>12229.01</v>
      </c>
      <c r="Z79" s="46">
        <f>Шаблон_Формулы_2[[#This Row],[23]]*Шаблон_Формулы_2[[#This Row],[25]]</f>
        <v>2952939.0447</v>
      </c>
      <c r="AA79" s="31" t="s">
        <v>536</v>
      </c>
    </row>
    <row r="80" spans="1:27">
      <c r="A80" s="49">
        <v>76</v>
      </c>
      <c r="B80" s="35" t="s">
        <v>348</v>
      </c>
      <c r="C80" s="35" t="s">
        <v>135</v>
      </c>
      <c r="D80" s="35" t="s">
        <v>21</v>
      </c>
      <c r="E80" s="34">
        <v>45176</v>
      </c>
      <c r="F80" s="35" t="s">
        <v>376</v>
      </c>
      <c r="G80" s="32" t="s">
        <v>457</v>
      </c>
      <c r="H80" s="50">
        <v>0.109</v>
      </c>
      <c r="I80" s="33">
        <v>45</v>
      </c>
      <c r="J80" s="33" t="s">
        <v>86</v>
      </c>
      <c r="K80" s="50">
        <v>38.766000000000005</v>
      </c>
      <c r="L80" s="33">
        <v>196500</v>
      </c>
      <c r="M80" s="33">
        <v>925.41</v>
      </c>
      <c r="N80" s="33">
        <v>544.91564773254902</v>
      </c>
      <c r="O80" s="33">
        <v>140.58711241809831</v>
      </c>
      <c r="P80" s="33">
        <v>521.29701284630858</v>
      </c>
      <c r="Q80" s="45">
        <v>25.586854460093893</v>
      </c>
      <c r="R80" s="33">
        <v>0</v>
      </c>
      <c r="S80" s="33">
        <v>788.69370066553154</v>
      </c>
      <c r="T80" s="33">
        <v>0</v>
      </c>
      <c r="U80" s="52"/>
      <c r="V8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199446.49032812257</v>
      </c>
      <c r="W80" s="33">
        <v>150.02000000000001</v>
      </c>
      <c r="X80" s="34">
        <v>45212</v>
      </c>
      <c r="Y80" s="33">
        <v>12229.01</v>
      </c>
      <c r="Z80" s="46">
        <f>Шаблон_Формулы_2[[#This Row],[23]]*Шаблон_Формулы_2[[#This Row],[25]]</f>
        <v>1834596.0802000002</v>
      </c>
      <c r="AA80" s="31" t="s">
        <v>536</v>
      </c>
    </row>
    <row r="81" spans="1:27">
      <c r="A81" s="49">
        <v>77</v>
      </c>
      <c r="B81" s="35" t="s">
        <v>349</v>
      </c>
      <c r="C81" s="35" t="s">
        <v>135</v>
      </c>
      <c r="D81" s="35" t="s">
        <v>21</v>
      </c>
      <c r="E81" s="34">
        <v>45176</v>
      </c>
      <c r="F81" s="35" t="s">
        <v>99</v>
      </c>
      <c r="G81" s="32" t="s">
        <v>458</v>
      </c>
      <c r="H81" s="50">
        <v>54.673999999999999</v>
      </c>
      <c r="I81" s="33">
        <v>3815.36</v>
      </c>
      <c r="J81" s="33" t="s">
        <v>86</v>
      </c>
      <c r="K81" s="50">
        <v>54.673999999999999</v>
      </c>
      <c r="L81" s="33">
        <v>1504000</v>
      </c>
      <c r="M81" s="33">
        <v>464182.26</v>
      </c>
      <c r="N81" s="33">
        <v>193800</v>
      </c>
      <c r="O81" s="33">
        <v>50000</v>
      </c>
      <c r="P81" s="33">
        <v>185400</v>
      </c>
      <c r="Q81" s="45">
        <v>9100</v>
      </c>
      <c r="R81" s="33">
        <v>0</v>
      </c>
      <c r="S81" s="33">
        <v>280500</v>
      </c>
      <c r="T81" s="33">
        <v>0</v>
      </c>
      <c r="U81" s="52"/>
      <c r="V8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2686982.26</v>
      </c>
      <c r="W81" s="33">
        <v>2021.09</v>
      </c>
      <c r="X81" s="34">
        <v>45212</v>
      </c>
      <c r="Y81" s="33">
        <v>12229.01</v>
      </c>
      <c r="Z81" s="46">
        <f>Шаблон_Формулы_2[[#This Row],[23]]*Шаблон_Формулы_2[[#This Row],[25]]</f>
        <v>24715929.820900001</v>
      </c>
      <c r="AA81" s="31" t="s">
        <v>536</v>
      </c>
    </row>
    <row r="82" spans="1:27">
      <c r="A82" s="49">
        <v>78</v>
      </c>
      <c r="B82" s="35" t="s">
        <v>350</v>
      </c>
      <c r="C82" s="35" t="s">
        <v>135</v>
      </c>
      <c r="D82" s="35" t="s">
        <v>21</v>
      </c>
      <c r="E82" s="34">
        <v>45176</v>
      </c>
      <c r="F82" s="35" t="s">
        <v>99</v>
      </c>
      <c r="G82" s="32" t="s">
        <v>459</v>
      </c>
      <c r="H82" s="50">
        <v>13.667999999999999</v>
      </c>
      <c r="I82" s="33">
        <v>953.84</v>
      </c>
      <c r="J82" s="33" t="s">
        <v>86</v>
      </c>
      <c r="K82" s="50">
        <v>55.683</v>
      </c>
      <c r="L82" s="33">
        <v>632500</v>
      </c>
      <c r="M82" s="33">
        <v>116041.31999999999</v>
      </c>
      <c r="N82" s="33">
        <v>47570.324874737351</v>
      </c>
      <c r="O82" s="33">
        <v>12273.04563331717</v>
      </c>
      <c r="P82" s="33">
        <v>45508.45320834007</v>
      </c>
      <c r="Q82" s="45">
        <v>2233.6943052637248</v>
      </c>
      <c r="R82" s="33">
        <v>0</v>
      </c>
      <c r="S82" s="33">
        <v>68851.786002909328</v>
      </c>
      <c r="T82" s="33">
        <v>0</v>
      </c>
      <c r="U82" s="52"/>
      <c r="V8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924978.62402456754</v>
      </c>
      <c r="W82" s="33">
        <v>695.75</v>
      </c>
      <c r="X82" s="34">
        <v>45212</v>
      </c>
      <c r="Y82" s="33">
        <v>12229.01</v>
      </c>
      <c r="Z82" s="46">
        <f>Шаблон_Формулы_2[[#This Row],[23]]*Шаблон_Формулы_2[[#This Row],[25]]</f>
        <v>8508333.7074999996</v>
      </c>
      <c r="AA82" s="31" t="s">
        <v>536</v>
      </c>
    </row>
    <row r="83" spans="1:27">
      <c r="A83" s="49">
        <v>79</v>
      </c>
      <c r="B83" s="35" t="s">
        <v>350</v>
      </c>
      <c r="C83" s="35" t="s">
        <v>135</v>
      </c>
      <c r="D83" s="35" t="s">
        <v>21</v>
      </c>
      <c r="E83" s="34">
        <v>45176</v>
      </c>
      <c r="F83" s="35" t="s">
        <v>99</v>
      </c>
      <c r="G83" s="32" t="s">
        <v>460</v>
      </c>
      <c r="H83" s="50">
        <v>32.055999999999997</v>
      </c>
      <c r="I83" s="33">
        <v>2788.41</v>
      </c>
      <c r="J83" s="33" t="s">
        <v>86</v>
      </c>
      <c r="K83" s="50">
        <v>55.683</v>
      </c>
      <c r="L83" s="33">
        <v>752000</v>
      </c>
      <c r="M83" s="33">
        <v>272155.44</v>
      </c>
      <c r="N83" s="33">
        <v>111568.2129195625</v>
      </c>
      <c r="O83" s="33">
        <v>28784.368658297859</v>
      </c>
      <c r="P83" s="33">
        <v>106732.43898496847</v>
      </c>
      <c r="Q83" s="45">
        <v>5238.7550958102102</v>
      </c>
      <c r="R83" s="33">
        <v>0</v>
      </c>
      <c r="S83" s="33">
        <v>161480.30817305099</v>
      </c>
      <c r="T83" s="33">
        <v>0</v>
      </c>
      <c r="U83" s="52"/>
      <c r="V8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1437959.5238316902</v>
      </c>
      <c r="W83" s="33">
        <v>1081.5999999999999</v>
      </c>
      <c r="X83" s="34">
        <v>45212</v>
      </c>
      <c r="Y83" s="33">
        <v>12229.01</v>
      </c>
      <c r="Z83" s="46">
        <f>Шаблон_Формулы_2[[#This Row],[23]]*Шаблон_Формулы_2[[#This Row],[25]]</f>
        <v>13226897.216</v>
      </c>
      <c r="AA83" s="31" t="s">
        <v>536</v>
      </c>
    </row>
    <row r="84" spans="1:27">
      <c r="A84" s="49">
        <v>80</v>
      </c>
      <c r="B84" s="35" t="s">
        <v>350</v>
      </c>
      <c r="C84" s="35" t="s">
        <v>135</v>
      </c>
      <c r="D84" s="35" t="s">
        <v>21</v>
      </c>
      <c r="E84" s="34">
        <v>45176</v>
      </c>
      <c r="F84" s="35" t="s">
        <v>99</v>
      </c>
      <c r="G84" s="32" t="s">
        <v>461</v>
      </c>
      <c r="H84" s="50">
        <v>8.9049999999999994</v>
      </c>
      <c r="I84" s="33">
        <v>684.09</v>
      </c>
      <c r="J84" s="33" t="s">
        <v>86</v>
      </c>
      <c r="K84" s="50">
        <v>55.683</v>
      </c>
      <c r="L84" s="33">
        <v>632500</v>
      </c>
      <c r="M84" s="33">
        <v>75603.45</v>
      </c>
      <c r="N84" s="33">
        <v>30993.103819837295</v>
      </c>
      <c r="O84" s="33">
        <v>7996.1568162634912</v>
      </c>
      <c r="P84" s="33">
        <v>29649.749474705026</v>
      </c>
      <c r="Q84" s="45">
        <v>1455.3005405599554</v>
      </c>
      <c r="R84" s="33">
        <v>0</v>
      </c>
      <c r="S84" s="33">
        <v>44858.439739238187</v>
      </c>
      <c r="T84" s="33">
        <v>0</v>
      </c>
      <c r="U84" s="52"/>
      <c r="V8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823056.20039060398</v>
      </c>
      <c r="W84" s="33">
        <v>619.09</v>
      </c>
      <c r="X84" s="34">
        <v>45212</v>
      </c>
      <c r="Y84" s="33">
        <v>12229.01</v>
      </c>
      <c r="Z84" s="46">
        <f>Шаблон_Формулы_2[[#This Row],[23]]*Шаблон_Формулы_2[[#This Row],[25]]</f>
        <v>7570857.8009000001</v>
      </c>
      <c r="AA84" s="31" t="s">
        <v>536</v>
      </c>
    </row>
    <row r="85" spans="1:27">
      <c r="A85" s="49">
        <v>81</v>
      </c>
      <c r="B85" s="35" t="s">
        <v>350</v>
      </c>
      <c r="C85" s="35" t="s">
        <v>135</v>
      </c>
      <c r="D85" s="35" t="s">
        <v>21</v>
      </c>
      <c r="E85" s="34">
        <v>45176</v>
      </c>
      <c r="F85" s="35" t="s">
        <v>109</v>
      </c>
      <c r="G85" s="32" t="s">
        <v>462</v>
      </c>
      <c r="H85" s="50">
        <v>0.58199999999999996</v>
      </c>
      <c r="I85" s="33">
        <v>379.8</v>
      </c>
      <c r="J85" s="33" t="s">
        <v>86</v>
      </c>
      <c r="K85" s="50">
        <v>55.683</v>
      </c>
      <c r="L85" s="33">
        <v>275000</v>
      </c>
      <c r="M85" s="33">
        <v>4941.1799999999994</v>
      </c>
      <c r="N85" s="33">
        <v>2025.6020688540486</v>
      </c>
      <c r="O85" s="33">
        <v>522.60115295512094</v>
      </c>
      <c r="P85" s="33">
        <v>1937.8050751575884</v>
      </c>
      <c r="Q85" s="45">
        <v>95.113409837832009</v>
      </c>
      <c r="R85" s="33">
        <v>0</v>
      </c>
      <c r="S85" s="33">
        <v>2931.7924680782285</v>
      </c>
      <c r="T85" s="33">
        <v>0</v>
      </c>
      <c r="U85" s="52"/>
      <c r="V8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287454.0941748828</v>
      </c>
      <c r="W85" s="33">
        <v>216.22</v>
      </c>
      <c r="X85" s="34">
        <v>45212</v>
      </c>
      <c r="Y85" s="33">
        <v>12229.01</v>
      </c>
      <c r="Z85" s="46">
        <f>Шаблон_Формулы_2[[#This Row],[23]]*Шаблон_Формулы_2[[#This Row],[25]]</f>
        <v>2644156.5422</v>
      </c>
      <c r="AA85" s="31" t="s">
        <v>536</v>
      </c>
    </row>
    <row r="86" spans="1:27">
      <c r="A86" s="49">
        <v>82</v>
      </c>
      <c r="B86" s="35" t="s">
        <v>350</v>
      </c>
      <c r="C86" s="35" t="s">
        <v>135</v>
      </c>
      <c r="D86" s="35" t="s">
        <v>21</v>
      </c>
      <c r="E86" s="34">
        <v>45176</v>
      </c>
      <c r="F86" s="35" t="s">
        <v>105</v>
      </c>
      <c r="G86" s="32" t="s">
        <v>463</v>
      </c>
      <c r="H86" s="50">
        <v>0.47199999999999998</v>
      </c>
      <c r="I86" s="33">
        <v>31</v>
      </c>
      <c r="J86" s="33" t="s">
        <v>86</v>
      </c>
      <c r="K86" s="50">
        <v>55.683</v>
      </c>
      <c r="L86" s="33">
        <v>288000</v>
      </c>
      <c r="M86" s="33">
        <v>4007.2799999999997</v>
      </c>
      <c r="N86" s="33">
        <v>1642.7563170087819</v>
      </c>
      <c r="O86" s="33">
        <v>423.82773916635239</v>
      </c>
      <c r="P86" s="33">
        <v>1571.5532568288347</v>
      </c>
      <c r="Q86" s="45">
        <v>77.13664852827614</v>
      </c>
      <c r="R86" s="33">
        <v>0</v>
      </c>
      <c r="S86" s="33">
        <v>2377.673616723237</v>
      </c>
      <c r="T86" s="33">
        <v>0</v>
      </c>
      <c r="U86" s="52"/>
      <c r="V8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298100.22757825552</v>
      </c>
      <c r="W86" s="33">
        <v>224.22</v>
      </c>
      <c r="X86" s="34">
        <v>45212</v>
      </c>
      <c r="Y86" s="33">
        <v>12229.01</v>
      </c>
      <c r="Z86" s="46">
        <f>Шаблон_Формулы_2[[#This Row],[23]]*Шаблон_Формулы_2[[#This Row],[25]]</f>
        <v>2741988.6222000001</v>
      </c>
      <c r="AA86" s="31" t="s">
        <v>536</v>
      </c>
    </row>
    <row r="87" spans="1:27">
      <c r="A87" s="49">
        <v>83</v>
      </c>
      <c r="B87" s="35" t="s">
        <v>351</v>
      </c>
      <c r="C87" s="35" t="s">
        <v>135</v>
      </c>
      <c r="D87" s="35" t="s">
        <v>21</v>
      </c>
      <c r="E87" s="34">
        <v>45176</v>
      </c>
      <c r="F87" s="35" t="s">
        <v>91</v>
      </c>
      <c r="G87" s="32" t="s">
        <v>464</v>
      </c>
      <c r="H87" s="50">
        <v>23.359000000000002</v>
      </c>
      <c r="I87" s="33">
        <v>4979</v>
      </c>
      <c r="J87" s="33" t="s">
        <v>86</v>
      </c>
      <c r="K87" s="50">
        <v>62.559000000000005</v>
      </c>
      <c r="L87" s="33">
        <v>635000</v>
      </c>
      <c r="M87" s="33">
        <v>198317.91</v>
      </c>
      <c r="N87" s="33">
        <v>72363.276267203764</v>
      </c>
      <c r="O87" s="33">
        <v>18669.575920331208</v>
      </c>
      <c r="P87" s="33">
        <v>69226.787512588126</v>
      </c>
      <c r="Q87" s="45">
        <v>3397.86281750028</v>
      </c>
      <c r="R87" s="33">
        <v>0</v>
      </c>
      <c r="S87" s="33">
        <v>104736.32091305808</v>
      </c>
      <c r="T87" s="33">
        <v>0</v>
      </c>
      <c r="U87" s="52"/>
      <c r="V8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1101711.7334306813</v>
      </c>
      <c r="W87" s="33">
        <v>828.68</v>
      </c>
      <c r="X87" s="34">
        <v>45212</v>
      </c>
      <c r="Y87" s="33">
        <v>12229.01</v>
      </c>
      <c r="Z87" s="46">
        <f>Шаблон_Формулы_2[[#This Row],[23]]*Шаблон_Формулы_2[[#This Row],[25]]</f>
        <v>10133936.0068</v>
      </c>
      <c r="AA87" s="31" t="s">
        <v>536</v>
      </c>
    </row>
    <row r="88" spans="1:27">
      <c r="A88" s="49">
        <v>84</v>
      </c>
      <c r="B88" s="35" t="s">
        <v>351</v>
      </c>
      <c r="C88" s="35" t="s">
        <v>135</v>
      </c>
      <c r="D88" s="35" t="s">
        <v>21</v>
      </c>
      <c r="E88" s="34">
        <v>45176</v>
      </c>
      <c r="F88" s="35" t="s">
        <v>377</v>
      </c>
      <c r="G88" s="32" t="s">
        <v>465</v>
      </c>
      <c r="H88" s="50">
        <v>39.200000000000003</v>
      </c>
      <c r="I88" s="33">
        <v>1970.3999999999999</v>
      </c>
      <c r="J88" s="33" t="s">
        <v>96</v>
      </c>
      <c r="K88" s="50">
        <v>62.559000000000005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45">
        <v>0</v>
      </c>
      <c r="R88" s="33">
        <v>0</v>
      </c>
      <c r="S88" s="33">
        <v>0</v>
      </c>
      <c r="T88" s="33">
        <v>0</v>
      </c>
      <c r="U88" s="52"/>
      <c r="V8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88" s="33">
        <v>0</v>
      </c>
      <c r="X88" s="34">
        <v>45212</v>
      </c>
      <c r="Y88" s="33">
        <v>12229.01</v>
      </c>
      <c r="Z88" s="46">
        <f>Шаблон_Формулы_2[[#This Row],[23]]*Шаблон_Формулы_2[[#This Row],[25]]</f>
        <v>0</v>
      </c>
      <c r="AA88" s="31" t="s">
        <v>536</v>
      </c>
    </row>
    <row r="89" spans="1:27">
      <c r="A89" s="49">
        <v>85</v>
      </c>
      <c r="B89" s="35" t="s">
        <v>352</v>
      </c>
      <c r="C89" s="35" t="s">
        <v>135</v>
      </c>
      <c r="D89" s="35" t="s">
        <v>21</v>
      </c>
      <c r="E89" s="34">
        <v>45180</v>
      </c>
      <c r="F89" s="35" t="s">
        <v>214</v>
      </c>
      <c r="G89" s="32" t="s">
        <v>466</v>
      </c>
      <c r="H89" s="50">
        <v>15.984</v>
      </c>
      <c r="I89" s="33">
        <v>5257.6</v>
      </c>
      <c r="J89" s="33" t="s">
        <v>86</v>
      </c>
      <c r="K89" s="50">
        <v>57.330000000000005</v>
      </c>
      <c r="L89" s="33">
        <v>532000</v>
      </c>
      <c r="M89" s="33">
        <v>135704.16</v>
      </c>
      <c r="N89" s="33">
        <v>54032.7786499215</v>
      </c>
      <c r="O89" s="33">
        <v>13940.345368916796</v>
      </c>
      <c r="P89" s="33">
        <v>51690.800627943478</v>
      </c>
      <c r="Q89" s="45">
        <v>2537.1428571428569</v>
      </c>
      <c r="R89" s="33">
        <v>0</v>
      </c>
      <c r="S89" s="33">
        <v>78205.337519623223</v>
      </c>
      <c r="T89" s="33">
        <v>0</v>
      </c>
      <c r="U89" s="52"/>
      <c r="V8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868110.56502354785</v>
      </c>
      <c r="W89" s="33">
        <v>652.97</v>
      </c>
      <c r="X89" s="34">
        <v>45212</v>
      </c>
      <c r="Y89" s="33">
        <v>12229.01</v>
      </c>
      <c r="Z89" s="46">
        <f>Шаблон_Формулы_2[[#This Row],[23]]*Шаблон_Формулы_2[[#This Row],[25]]</f>
        <v>7985176.6597000007</v>
      </c>
      <c r="AA89" s="31" t="s">
        <v>536</v>
      </c>
    </row>
    <row r="90" spans="1:27">
      <c r="A90" s="49">
        <v>86</v>
      </c>
      <c r="B90" s="35" t="s">
        <v>352</v>
      </c>
      <c r="C90" s="35" t="s">
        <v>135</v>
      </c>
      <c r="D90" s="35" t="s">
        <v>21</v>
      </c>
      <c r="E90" s="34">
        <v>45180</v>
      </c>
      <c r="F90" s="35" t="s">
        <v>214</v>
      </c>
      <c r="G90" s="32" t="s">
        <v>467</v>
      </c>
      <c r="H90" s="50">
        <v>17.414000000000001</v>
      </c>
      <c r="I90" s="33">
        <v>5608</v>
      </c>
      <c r="J90" s="33" t="s">
        <v>86</v>
      </c>
      <c r="K90" s="50">
        <v>57.330000000000005</v>
      </c>
      <c r="L90" s="33">
        <v>532000</v>
      </c>
      <c r="M90" s="33">
        <v>147844.86000000002</v>
      </c>
      <c r="N90" s="33">
        <v>58866.792255363682</v>
      </c>
      <c r="O90" s="33">
        <v>15187.510901796617</v>
      </c>
      <c r="P90" s="33">
        <v>56315.29042386185</v>
      </c>
      <c r="Q90" s="45">
        <v>2764.1269841269841</v>
      </c>
      <c r="R90" s="33">
        <v>0</v>
      </c>
      <c r="S90" s="33">
        <v>85201.936159079021</v>
      </c>
      <c r="T90" s="33">
        <v>0</v>
      </c>
      <c r="U90" s="52"/>
      <c r="V9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898180.51672422816</v>
      </c>
      <c r="W90" s="33">
        <v>675.59</v>
      </c>
      <c r="X90" s="34">
        <v>45212</v>
      </c>
      <c r="Y90" s="33">
        <v>12229.01</v>
      </c>
      <c r="Z90" s="46">
        <f>Шаблон_Формулы_2[[#This Row],[23]]*Шаблон_Формулы_2[[#This Row],[25]]</f>
        <v>8261796.8659000006</v>
      </c>
      <c r="AA90" s="31" t="s">
        <v>536</v>
      </c>
    </row>
    <row r="91" spans="1:27">
      <c r="A91" s="49">
        <v>87</v>
      </c>
      <c r="B91" s="35" t="s">
        <v>352</v>
      </c>
      <c r="C91" s="35" t="s">
        <v>135</v>
      </c>
      <c r="D91" s="35" t="s">
        <v>21</v>
      </c>
      <c r="E91" s="34">
        <v>45180</v>
      </c>
      <c r="F91" s="35" t="s">
        <v>374</v>
      </c>
      <c r="G91" s="32" t="s">
        <v>468</v>
      </c>
      <c r="H91" s="50">
        <v>21.25</v>
      </c>
      <c r="I91" s="33">
        <v>2448</v>
      </c>
      <c r="J91" s="33" t="s">
        <v>86</v>
      </c>
      <c r="K91" s="50">
        <v>57.330000000000005</v>
      </c>
      <c r="L91" s="33">
        <v>392000</v>
      </c>
      <c r="M91" s="33">
        <v>180412.5</v>
      </c>
      <c r="N91" s="33">
        <v>71834.118262689692</v>
      </c>
      <c r="O91" s="33">
        <v>18533.054247339962</v>
      </c>
      <c r="P91" s="33">
        <v>68720.565149136572</v>
      </c>
      <c r="Q91" s="45">
        <v>3373.0158730158728</v>
      </c>
      <c r="R91" s="33">
        <v>0</v>
      </c>
      <c r="S91" s="33">
        <v>103970.43432757718</v>
      </c>
      <c r="T91" s="33">
        <v>0</v>
      </c>
      <c r="U91" s="52"/>
      <c r="V9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838843.6878597592</v>
      </c>
      <c r="W91" s="33">
        <v>630.96</v>
      </c>
      <c r="X91" s="34">
        <v>45212</v>
      </c>
      <c r="Y91" s="33">
        <v>12229.01</v>
      </c>
      <c r="Z91" s="46">
        <f>Шаблон_Формулы_2[[#This Row],[23]]*Шаблон_Формулы_2[[#This Row],[25]]</f>
        <v>7716016.1496000001</v>
      </c>
      <c r="AA91" s="31" t="s">
        <v>536</v>
      </c>
    </row>
    <row r="92" spans="1:27">
      <c r="A92" s="49">
        <v>88</v>
      </c>
      <c r="B92" s="35" t="s">
        <v>352</v>
      </c>
      <c r="C92" s="35" t="s">
        <v>135</v>
      </c>
      <c r="D92" s="35" t="s">
        <v>21</v>
      </c>
      <c r="E92" s="34">
        <v>45180</v>
      </c>
      <c r="F92" s="35" t="s">
        <v>92</v>
      </c>
      <c r="G92" s="32" t="s">
        <v>469</v>
      </c>
      <c r="H92" s="50">
        <v>2.6819999999999999</v>
      </c>
      <c r="I92" s="33">
        <v>1632</v>
      </c>
      <c r="J92" s="33" t="s">
        <v>86</v>
      </c>
      <c r="K92" s="50">
        <v>57.330000000000005</v>
      </c>
      <c r="L92" s="33">
        <v>221000</v>
      </c>
      <c r="M92" s="33">
        <v>22770.18</v>
      </c>
      <c r="N92" s="33">
        <v>9066.3108320251158</v>
      </c>
      <c r="O92" s="33">
        <v>2339.0894819466243</v>
      </c>
      <c r="P92" s="33">
        <v>8673.3437990580824</v>
      </c>
      <c r="Q92" s="45">
        <v>425.71428571428561</v>
      </c>
      <c r="R92" s="33">
        <v>0</v>
      </c>
      <c r="S92" s="33">
        <v>13122.291993720562</v>
      </c>
      <c r="T92" s="33">
        <v>0</v>
      </c>
      <c r="U92" s="52"/>
      <c r="V9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277396.93039246462</v>
      </c>
      <c r="W92" s="33">
        <v>208.65</v>
      </c>
      <c r="X92" s="34">
        <v>45212</v>
      </c>
      <c r="Y92" s="33">
        <v>12229.01</v>
      </c>
      <c r="Z92" s="46">
        <f>Шаблон_Формулы_2[[#This Row],[23]]*Шаблон_Формулы_2[[#This Row],[25]]</f>
        <v>2551582.9365000003</v>
      </c>
      <c r="AA92" s="31" t="s">
        <v>536</v>
      </c>
    </row>
    <row r="93" spans="1:27">
      <c r="A93" s="49">
        <v>89</v>
      </c>
      <c r="B93" s="35" t="s">
        <v>353</v>
      </c>
      <c r="C93" s="35" t="s">
        <v>135</v>
      </c>
      <c r="D93" s="35" t="s">
        <v>21</v>
      </c>
      <c r="E93" s="34">
        <v>45179</v>
      </c>
      <c r="F93" s="35" t="s">
        <v>319</v>
      </c>
      <c r="G93" s="32" t="s">
        <v>470</v>
      </c>
      <c r="H93" s="50">
        <v>28.047999999999998</v>
      </c>
      <c r="I93" s="33">
        <v>18616</v>
      </c>
      <c r="J93" s="33" t="s">
        <v>86</v>
      </c>
      <c r="K93" s="50">
        <v>56.097999999999992</v>
      </c>
      <c r="L93" s="33">
        <v>768000</v>
      </c>
      <c r="M93" s="33">
        <v>238127.52</v>
      </c>
      <c r="N93" s="33">
        <v>96896.545331384361</v>
      </c>
      <c r="O93" s="33">
        <v>24999.108702627545</v>
      </c>
      <c r="P93" s="33">
        <v>92696.695069342939</v>
      </c>
      <c r="Q93" s="45">
        <v>4549.8377838782135</v>
      </c>
      <c r="R93" s="33">
        <v>0</v>
      </c>
      <c r="S93" s="33">
        <v>140244.99982174052</v>
      </c>
      <c r="T93" s="33">
        <v>0</v>
      </c>
      <c r="U93" s="52"/>
      <c r="V9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1365514.7067089733</v>
      </c>
      <c r="W93" s="33">
        <v>1027.1099999999999</v>
      </c>
      <c r="X93" s="34">
        <v>45212</v>
      </c>
      <c r="Y93" s="33">
        <v>12229.01</v>
      </c>
      <c r="Z93" s="46">
        <f>Шаблон_Формулы_2[[#This Row],[23]]*Шаблон_Формулы_2[[#This Row],[25]]</f>
        <v>12560538.461099999</v>
      </c>
      <c r="AA93" s="31" t="s">
        <v>536</v>
      </c>
    </row>
    <row r="94" spans="1:27">
      <c r="A94" s="49">
        <v>90</v>
      </c>
      <c r="B94" s="35" t="s">
        <v>353</v>
      </c>
      <c r="C94" s="35" t="s">
        <v>135</v>
      </c>
      <c r="D94" s="35" t="s">
        <v>21</v>
      </c>
      <c r="E94" s="34">
        <v>45179</v>
      </c>
      <c r="F94" s="35" t="s">
        <v>319</v>
      </c>
      <c r="G94" s="32" t="s">
        <v>471</v>
      </c>
      <c r="H94" s="50">
        <v>22.65</v>
      </c>
      <c r="I94" s="33">
        <v>3330.18</v>
      </c>
      <c r="J94" s="33" t="s">
        <v>86</v>
      </c>
      <c r="K94" s="50">
        <v>56.097999999999992</v>
      </c>
      <c r="L94" s="33">
        <v>392000</v>
      </c>
      <c r="M94" s="33">
        <v>192298.5</v>
      </c>
      <c r="N94" s="33">
        <v>78248.244144176264</v>
      </c>
      <c r="O94" s="33">
        <v>20187.885486113588</v>
      </c>
      <c r="P94" s="33">
        <v>74856.679382509188</v>
      </c>
      <c r="Q94" s="45">
        <v>3674.195158472673</v>
      </c>
      <c r="R94" s="33">
        <v>0</v>
      </c>
      <c r="S94" s="33">
        <v>113254.03757709723</v>
      </c>
      <c r="T94" s="33">
        <v>0</v>
      </c>
      <c r="U94" s="52"/>
      <c r="V9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874519.54174836888</v>
      </c>
      <c r="W94" s="33">
        <v>657.8</v>
      </c>
      <c r="X94" s="34">
        <v>45212</v>
      </c>
      <c r="Y94" s="33">
        <v>12229.01</v>
      </c>
      <c r="Z94" s="46">
        <f>Шаблон_Формулы_2[[#This Row],[23]]*Шаблон_Формулы_2[[#This Row],[25]]</f>
        <v>8044242.7779999999</v>
      </c>
      <c r="AA94" s="31" t="s">
        <v>536</v>
      </c>
    </row>
    <row r="95" spans="1:27">
      <c r="A95" s="49">
        <v>91</v>
      </c>
      <c r="B95" s="35" t="s">
        <v>353</v>
      </c>
      <c r="C95" s="35" t="s">
        <v>135</v>
      </c>
      <c r="D95" s="35" t="s">
        <v>21</v>
      </c>
      <c r="E95" s="34">
        <v>45179</v>
      </c>
      <c r="F95" s="35" t="s">
        <v>319</v>
      </c>
      <c r="G95" s="32" t="s">
        <v>472</v>
      </c>
      <c r="H95" s="50">
        <v>5.4</v>
      </c>
      <c r="I95" s="33">
        <v>424.4</v>
      </c>
      <c r="J95" s="33" t="s">
        <v>86</v>
      </c>
      <c r="K95" s="50">
        <v>56.097999999999992</v>
      </c>
      <c r="L95" s="33">
        <v>291100</v>
      </c>
      <c r="M95" s="33">
        <v>45846</v>
      </c>
      <c r="N95" s="33">
        <v>18655.210524439375</v>
      </c>
      <c r="O95" s="33">
        <v>4813.0058112588695</v>
      </c>
      <c r="P95" s="33">
        <v>17846.625548147887</v>
      </c>
      <c r="Q95" s="45">
        <v>875.96705764911417</v>
      </c>
      <c r="R95" s="33">
        <v>0</v>
      </c>
      <c r="S95" s="33">
        <v>27000.962601162257</v>
      </c>
      <c r="T95" s="33">
        <v>0</v>
      </c>
      <c r="U95" s="52"/>
      <c r="V9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406137.77154265746</v>
      </c>
      <c r="W95" s="33">
        <v>305.49</v>
      </c>
      <c r="X95" s="34">
        <v>45212</v>
      </c>
      <c r="Y95" s="33">
        <v>12229.01</v>
      </c>
      <c r="Z95" s="46">
        <f>Шаблон_Формулы_2[[#This Row],[23]]*Шаблон_Формулы_2[[#This Row],[25]]</f>
        <v>3735840.2649000003</v>
      </c>
      <c r="AA95" s="31" t="s">
        <v>536</v>
      </c>
    </row>
    <row r="96" spans="1:27">
      <c r="A96" s="49">
        <v>92</v>
      </c>
      <c r="B96" s="35" t="s">
        <v>354</v>
      </c>
      <c r="C96" s="35" t="s">
        <v>135</v>
      </c>
      <c r="D96" s="35" t="s">
        <v>21</v>
      </c>
      <c r="E96" s="34">
        <v>45179</v>
      </c>
      <c r="F96" s="35" t="s">
        <v>319</v>
      </c>
      <c r="G96" s="32" t="s">
        <v>473</v>
      </c>
      <c r="H96" s="50">
        <v>33.19</v>
      </c>
      <c r="I96" s="33">
        <v>4291.99</v>
      </c>
      <c r="J96" s="33" t="s">
        <v>86</v>
      </c>
      <c r="K96" s="50">
        <v>60.160000000000004</v>
      </c>
      <c r="L96" s="33">
        <v>624000</v>
      </c>
      <c r="M96" s="33">
        <v>281783.09999999998</v>
      </c>
      <c r="N96" s="33">
        <v>106918.58377659573</v>
      </c>
      <c r="O96" s="33">
        <v>27584.773936170208</v>
      </c>
      <c r="P96" s="33">
        <v>102284.34175531914</v>
      </c>
      <c r="Q96" s="45">
        <v>5020.4288563829778</v>
      </c>
      <c r="R96" s="33">
        <v>0</v>
      </c>
      <c r="S96" s="33">
        <v>154750.58178191487</v>
      </c>
      <c r="T96" s="33">
        <v>0</v>
      </c>
      <c r="U96" s="52"/>
      <c r="V9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1302341.8101063829</v>
      </c>
      <c r="W96" s="33">
        <v>979.59</v>
      </c>
      <c r="X96" s="34">
        <v>45212</v>
      </c>
      <c r="Y96" s="33">
        <v>12229.01</v>
      </c>
      <c r="Z96" s="46">
        <f>Шаблон_Формулы_2[[#This Row],[23]]*Шаблон_Формулы_2[[#This Row],[25]]</f>
        <v>11979415.905900002</v>
      </c>
      <c r="AA96" s="31" t="s">
        <v>536</v>
      </c>
    </row>
    <row r="97" spans="1:27">
      <c r="A97" s="49">
        <v>93</v>
      </c>
      <c r="B97" s="35" t="s">
        <v>354</v>
      </c>
      <c r="C97" s="35" t="s">
        <v>135</v>
      </c>
      <c r="D97" s="35" t="s">
        <v>21</v>
      </c>
      <c r="E97" s="34">
        <v>45179</v>
      </c>
      <c r="F97" s="35" t="s">
        <v>319</v>
      </c>
      <c r="G97" s="32" t="s">
        <v>474</v>
      </c>
      <c r="H97" s="50">
        <v>18.34</v>
      </c>
      <c r="I97" s="33">
        <v>15718.2</v>
      </c>
      <c r="J97" s="33" t="s">
        <v>86</v>
      </c>
      <c r="K97" s="50">
        <v>60.160000000000004</v>
      </c>
      <c r="L97" s="33">
        <v>724000</v>
      </c>
      <c r="M97" s="33">
        <v>155706.6</v>
      </c>
      <c r="N97" s="33">
        <v>59080.651595744683</v>
      </c>
      <c r="O97" s="33">
        <v>15242.686170212766</v>
      </c>
      <c r="P97" s="33">
        <v>56519.880319148935</v>
      </c>
      <c r="Q97" s="45">
        <v>2774.1688829787236</v>
      </c>
      <c r="R97" s="33">
        <v>0</v>
      </c>
      <c r="S97" s="33">
        <v>85511.469414893611</v>
      </c>
      <c r="T97" s="33">
        <v>0</v>
      </c>
      <c r="U97" s="52"/>
      <c r="V9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1098835.4563829787</v>
      </c>
      <c r="W97" s="33">
        <v>826.52</v>
      </c>
      <c r="X97" s="34">
        <v>45212</v>
      </c>
      <c r="Y97" s="33">
        <v>12229.01</v>
      </c>
      <c r="Z97" s="46">
        <f>Шаблон_Формулы_2[[#This Row],[23]]*Шаблон_Формулы_2[[#This Row],[25]]</f>
        <v>10107521.3452</v>
      </c>
      <c r="AA97" s="31" t="s">
        <v>536</v>
      </c>
    </row>
    <row r="98" spans="1:27">
      <c r="A98" s="49">
        <v>94</v>
      </c>
      <c r="B98" s="35" t="s">
        <v>354</v>
      </c>
      <c r="C98" s="35" t="s">
        <v>135</v>
      </c>
      <c r="D98" s="35" t="s">
        <v>21</v>
      </c>
      <c r="E98" s="34">
        <v>45179</v>
      </c>
      <c r="F98" s="35" t="s">
        <v>319</v>
      </c>
      <c r="G98" s="32" t="s">
        <v>475</v>
      </c>
      <c r="H98" s="50">
        <v>8.6300000000000008</v>
      </c>
      <c r="I98" s="33">
        <v>1074.72</v>
      </c>
      <c r="J98" s="33" t="s">
        <v>86</v>
      </c>
      <c r="K98" s="50">
        <v>60.160000000000004</v>
      </c>
      <c r="L98" s="33">
        <v>332000</v>
      </c>
      <c r="M98" s="33">
        <v>73268.700000000012</v>
      </c>
      <c r="N98" s="33">
        <v>27800.764627659577</v>
      </c>
      <c r="O98" s="33">
        <v>7172.5398936170222</v>
      </c>
      <c r="P98" s="33">
        <v>26595.777925531918</v>
      </c>
      <c r="Q98" s="45">
        <v>1305.402260638298</v>
      </c>
      <c r="R98" s="33">
        <v>0</v>
      </c>
      <c r="S98" s="33">
        <v>40237.948803191495</v>
      </c>
      <c r="T98" s="33">
        <v>0</v>
      </c>
      <c r="U98" s="52"/>
      <c r="V9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508381.13351063832</v>
      </c>
      <c r="W98" s="33">
        <v>382.39</v>
      </c>
      <c r="X98" s="34">
        <v>45212</v>
      </c>
      <c r="Y98" s="33">
        <v>12229.01</v>
      </c>
      <c r="Z98" s="46">
        <f>Шаблон_Формулы_2[[#This Row],[23]]*Шаблон_Формулы_2[[#This Row],[25]]</f>
        <v>4676251.1338999998</v>
      </c>
      <c r="AA98" s="31" t="s">
        <v>536</v>
      </c>
    </row>
    <row r="99" spans="1:27">
      <c r="A99" s="49">
        <v>95</v>
      </c>
      <c r="B99" s="35" t="s">
        <v>355</v>
      </c>
      <c r="C99" s="35" t="s">
        <v>135</v>
      </c>
      <c r="D99" s="35" t="s">
        <v>21</v>
      </c>
      <c r="E99" s="34">
        <v>45179</v>
      </c>
      <c r="F99" s="35" t="s">
        <v>319</v>
      </c>
      <c r="G99" s="32" t="s">
        <v>476</v>
      </c>
      <c r="H99" s="50">
        <v>27.42</v>
      </c>
      <c r="I99" s="33">
        <v>3545.55</v>
      </c>
      <c r="J99" s="33" t="s">
        <v>86</v>
      </c>
      <c r="K99" s="50">
        <v>60.860000000000007</v>
      </c>
      <c r="L99" s="33">
        <v>392000</v>
      </c>
      <c r="M99" s="33">
        <v>232795.80000000002</v>
      </c>
      <c r="N99" s="33">
        <v>87315.083798882668</v>
      </c>
      <c r="O99" s="33">
        <v>22527.111403220504</v>
      </c>
      <c r="P99" s="33">
        <v>83530.529083141635</v>
      </c>
      <c r="Q99" s="45">
        <v>4099.934275386132</v>
      </c>
      <c r="R99" s="33">
        <v>0</v>
      </c>
      <c r="S99" s="33">
        <v>126377.09497206703</v>
      </c>
      <c r="T99" s="33">
        <v>0</v>
      </c>
      <c r="U99" s="52"/>
      <c r="V9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948645.55353269796</v>
      </c>
      <c r="W99" s="33">
        <v>713.55</v>
      </c>
      <c r="X99" s="34">
        <v>45212</v>
      </c>
      <c r="Y99" s="33">
        <v>12229.01</v>
      </c>
      <c r="Z99" s="46">
        <f>Шаблон_Формулы_2[[#This Row],[23]]*Шаблон_Формулы_2[[#This Row],[25]]</f>
        <v>8726010.0855</v>
      </c>
      <c r="AA99" s="31" t="s">
        <v>536</v>
      </c>
    </row>
    <row r="100" spans="1:27">
      <c r="A100" s="49">
        <v>96</v>
      </c>
      <c r="B100" s="35" t="s">
        <v>355</v>
      </c>
      <c r="C100" s="35" t="s">
        <v>135</v>
      </c>
      <c r="D100" s="35" t="s">
        <v>21</v>
      </c>
      <c r="E100" s="34">
        <v>45179</v>
      </c>
      <c r="F100" s="35" t="s">
        <v>319</v>
      </c>
      <c r="G100" s="32" t="s">
        <v>477</v>
      </c>
      <c r="H100" s="50">
        <v>18.34</v>
      </c>
      <c r="I100" s="33">
        <v>15718.2</v>
      </c>
      <c r="J100" s="33" t="s">
        <v>86</v>
      </c>
      <c r="K100" s="50">
        <v>60.860000000000007</v>
      </c>
      <c r="L100" s="33">
        <v>724000</v>
      </c>
      <c r="M100" s="33">
        <v>155706.6</v>
      </c>
      <c r="N100" s="33">
        <v>58401.117318435747</v>
      </c>
      <c r="O100" s="33">
        <v>15067.367729214589</v>
      </c>
      <c r="P100" s="33">
        <v>55869.799539927699</v>
      </c>
      <c r="Q100" s="45">
        <v>2742.2609267170551</v>
      </c>
      <c r="R100" s="33">
        <v>0</v>
      </c>
      <c r="S100" s="33">
        <v>84527.932960893842</v>
      </c>
      <c r="T100" s="33">
        <v>0</v>
      </c>
      <c r="U100" s="52"/>
      <c r="V10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1096315.0784751889</v>
      </c>
      <c r="W100" s="33">
        <v>824.63</v>
      </c>
      <c r="X100" s="34">
        <v>45212</v>
      </c>
      <c r="Y100" s="33">
        <v>12229.01</v>
      </c>
      <c r="Z100" s="46">
        <f>Шаблон_Формулы_2[[#This Row],[23]]*Шаблон_Формулы_2[[#This Row],[25]]</f>
        <v>10084408.5163</v>
      </c>
      <c r="AA100" s="31" t="s">
        <v>536</v>
      </c>
    </row>
    <row r="101" spans="1:27">
      <c r="A101" s="49">
        <v>97</v>
      </c>
      <c r="B101" s="35" t="s">
        <v>355</v>
      </c>
      <c r="C101" s="35" t="s">
        <v>135</v>
      </c>
      <c r="D101" s="35" t="s">
        <v>21</v>
      </c>
      <c r="E101" s="34">
        <v>45179</v>
      </c>
      <c r="F101" s="35" t="s">
        <v>319</v>
      </c>
      <c r="G101" s="32" t="s">
        <v>478</v>
      </c>
      <c r="H101" s="50">
        <v>15.1</v>
      </c>
      <c r="I101" s="33">
        <v>1880.76</v>
      </c>
      <c r="J101" s="33" t="s">
        <v>86</v>
      </c>
      <c r="K101" s="50">
        <v>60.860000000000007</v>
      </c>
      <c r="L101" s="33">
        <v>332000</v>
      </c>
      <c r="M101" s="33">
        <v>128199</v>
      </c>
      <c r="N101" s="33">
        <v>48083.798882681556</v>
      </c>
      <c r="O101" s="33">
        <v>12405.520867564901</v>
      </c>
      <c r="P101" s="33">
        <v>45999.671376930652</v>
      </c>
      <c r="Q101" s="45">
        <v>2257.804797896812</v>
      </c>
      <c r="R101" s="33">
        <v>0</v>
      </c>
      <c r="S101" s="33">
        <v>69594.972067039096</v>
      </c>
      <c r="T101" s="33">
        <v>0</v>
      </c>
      <c r="U101" s="52"/>
      <c r="V10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638540.7679921129</v>
      </c>
      <c r="W101" s="33">
        <v>480.3</v>
      </c>
      <c r="X101" s="34">
        <v>45212</v>
      </c>
      <c r="Y101" s="33">
        <v>12229.01</v>
      </c>
      <c r="Z101" s="46">
        <f>Шаблон_Формулы_2[[#This Row],[23]]*Шаблон_Формулы_2[[#This Row],[25]]</f>
        <v>5873593.5030000005</v>
      </c>
      <c r="AA101" s="31" t="s">
        <v>536</v>
      </c>
    </row>
    <row r="102" spans="1:27">
      <c r="A102" s="49">
        <v>98</v>
      </c>
      <c r="B102" s="35" t="s">
        <v>356</v>
      </c>
      <c r="C102" s="35" t="s">
        <v>135</v>
      </c>
      <c r="D102" s="35" t="s">
        <v>21</v>
      </c>
      <c r="E102" s="34">
        <v>45179</v>
      </c>
      <c r="F102" s="35" t="s">
        <v>319</v>
      </c>
      <c r="G102" s="32" t="s">
        <v>479</v>
      </c>
      <c r="H102" s="50">
        <v>40.99</v>
      </c>
      <c r="I102" s="33">
        <v>5104.92</v>
      </c>
      <c r="J102" s="33" t="s">
        <v>86</v>
      </c>
      <c r="K102" s="50">
        <v>62.57</v>
      </c>
      <c r="L102" s="33">
        <v>724000</v>
      </c>
      <c r="M102" s="33">
        <v>348005.10000000003</v>
      </c>
      <c r="N102" s="33">
        <v>126959.5972510788</v>
      </c>
      <c r="O102" s="33">
        <v>32755.314048265944</v>
      </c>
      <c r="P102" s="33">
        <v>121456.70449097012</v>
      </c>
      <c r="Q102" s="45">
        <v>5961.4671567844016</v>
      </c>
      <c r="R102" s="33">
        <v>0</v>
      </c>
      <c r="S102" s="33">
        <v>183757.31181077193</v>
      </c>
      <c r="T102" s="33">
        <v>0</v>
      </c>
      <c r="U102" s="52"/>
      <c r="V10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1542895.4947578714</v>
      </c>
      <c r="W102" s="33">
        <v>1160.53</v>
      </c>
      <c r="X102" s="34">
        <v>45212</v>
      </c>
      <c r="Y102" s="33">
        <v>12229.01</v>
      </c>
      <c r="Z102" s="46">
        <f>Шаблон_Формулы_2[[#This Row],[23]]*Шаблон_Формулы_2[[#This Row],[25]]</f>
        <v>14192132.975299999</v>
      </c>
      <c r="AA102" s="31" t="s">
        <v>536</v>
      </c>
    </row>
    <row r="103" spans="1:27">
      <c r="A103" s="49">
        <v>99</v>
      </c>
      <c r="B103" s="35" t="s">
        <v>356</v>
      </c>
      <c r="C103" s="35" t="s">
        <v>135</v>
      </c>
      <c r="D103" s="35" t="s">
        <v>21</v>
      </c>
      <c r="E103" s="34">
        <v>45179</v>
      </c>
      <c r="F103" s="35" t="s">
        <v>319</v>
      </c>
      <c r="G103" s="32" t="s">
        <v>480</v>
      </c>
      <c r="H103" s="50">
        <v>10.79</v>
      </c>
      <c r="I103" s="33">
        <v>8614</v>
      </c>
      <c r="J103" s="33" t="s">
        <v>86</v>
      </c>
      <c r="K103" s="50">
        <v>62.57</v>
      </c>
      <c r="L103" s="33">
        <v>392000</v>
      </c>
      <c r="M103" s="33">
        <v>91607.099999999991</v>
      </c>
      <c r="N103" s="33">
        <v>33420.201374460601</v>
      </c>
      <c r="O103" s="33">
        <v>8622.3429758670281</v>
      </c>
      <c r="P103" s="33">
        <v>31971.647754514943</v>
      </c>
      <c r="Q103" s="45">
        <v>1569.2664216077992</v>
      </c>
      <c r="R103" s="33">
        <v>0</v>
      </c>
      <c r="S103" s="33">
        <v>48371.344094614033</v>
      </c>
      <c r="T103" s="33">
        <v>0</v>
      </c>
      <c r="U103" s="52"/>
      <c r="V10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607561.90262106434</v>
      </c>
      <c r="W103" s="33">
        <v>457</v>
      </c>
      <c r="X103" s="34">
        <v>45212</v>
      </c>
      <c r="Y103" s="33">
        <v>12229.01</v>
      </c>
      <c r="Z103" s="46">
        <f>Шаблон_Формулы_2[[#This Row],[23]]*Шаблон_Формулы_2[[#This Row],[25]]</f>
        <v>5588657.5700000003</v>
      </c>
      <c r="AA103" s="31" t="s">
        <v>536</v>
      </c>
    </row>
    <row r="104" spans="1:27">
      <c r="A104" s="49">
        <v>100</v>
      </c>
      <c r="B104" s="35" t="s">
        <v>356</v>
      </c>
      <c r="C104" s="35" t="s">
        <v>135</v>
      </c>
      <c r="D104" s="35" t="s">
        <v>21</v>
      </c>
      <c r="E104" s="34">
        <v>45179</v>
      </c>
      <c r="F104" s="35" t="s">
        <v>319</v>
      </c>
      <c r="G104" s="32" t="s">
        <v>481</v>
      </c>
      <c r="H104" s="50">
        <v>10.79</v>
      </c>
      <c r="I104" s="33">
        <v>8614</v>
      </c>
      <c r="J104" s="33" t="s">
        <v>86</v>
      </c>
      <c r="K104" s="50">
        <v>62.57</v>
      </c>
      <c r="L104" s="33">
        <v>392000</v>
      </c>
      <c r="M104" s="33">
        <v>91607.099999999991</v>
      </c>
      <c r="N104" s="33">
        <v>33420.201374460601</v>
      </c>
      <c r="O104" s="33">
        <v>8622.3429758670281</v>
      </c>
      <c r="P104" s="33">
        <v>31971.647754514943</v>
      </c>
      <c r="Q104" s="45">
        <v>1569.2664216077992</v>
      </c>
      <c r="R104" s="33">
        <v>0</v>
      </c>
      <c r="S104" s="33">
        <v>48371.344094614033</v>
      </c>
      <c r="T104" s="33">
        <v>0</v>
      </c>
      <c r="U104" s="52"/>
      <c r="V10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607561.90262106434</v>
      </c>
      <c r="W104" s="33">
        <v>457</v>
      </c>
      <c r="X104" s="34">
        <v>45212</v>
      </c>
      <c r="Y104" s="33">
        <v>12229.01</v>
      </c>
      <c r="Z104" s="46">
        <f>Шаблон_Формулы_2[[#This Row],[23]]*Шаблон_Формулы_2[[#This Row],[25]]</f>
        <v>5588657.5700000003</v>
      </c>
      <c r="AA104" s="31" t="s">
        <v>536</v>
      </c>
    </row>
    <row r="105" spans="1:27">
      <c r="A105" s="49">
        <v>101</v>
      </c>
      <c r="B105" s="35" t="s">
        <v>357</v>
      </c>
      <c r="C105" s="35" t="s">
        <v>135</v>
      </c>
      <c r="D105" s="35" t="s">
        <v>21</v>
      </c>
      <c r="E105" s="34">
        <v>45179</v>
      </c>
      <c r="F105" s="35" t="s">
        <v>319</v>
      </c>
      <c r="G105" s="32" t="s">
        <v>482</v>
      </c>
      <c r="H105" s="50">
        <v>7.55</v>
      </c>
      <c r="I105" s="33">
        <v>4228</v>
      </c>
      <c r="J105" s="33" t="s">
        <v>86</v>
      </c>
      <c r="K105" s="50">
        <v>62.129999999999995</v>
      </c>
      <c r="L105" s="33">
        <v>332000</v>
      </c>
      <c r="M105" s="33">
        <v>64099.5</v>
      </c>
      <c r="N105" s="33">
        <v>23550.458715596331</v>
      </c>
      <c r="O105" s="33">
        <v>6075.9697408659267</v>
      </c>
      <c r="P105" s="33">
        <v>22529.695799130855</v>
      </c>
      <c r="Q105" s="45">
        <v>1105.8264928375986</v>
      </c>
      <c r="R105" s="33">
        <v>0</v>
      </c>
      <c r="S105" s="33">
        <v>34086.190246257851</v>
      </c>
      <c r="T105" s="33">
        <v>0</v>
      </c>
      <c r="U105" s="52"/>
      <c r="V10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483447.64099468855</v>
      </c>
      <c r="W105" s="33">
        <v>363.64</v>
      </c>
      <c r="X105" s="34">
        <v>45212</v>
      </c>
      <c r="Y105" s="33">
        <v>12229.01</v>
      </c>
      <c r="Z105" s="46">
        <f>Шаблон_Формулы_2[[#This Row],[23]]*Шаблон_Формулы_2[[#This Row],[25]]</f>
        <v>4446957.1963999998</v>
      </c>
      <c r="AA105" s="31" t="s">
        <v>536</v>
      </c>
    </row>
    <row r="106" spans="1:27">
      <c r="A106" s="49">
        <v>102</v>
      </c>
      <c r="B106" s="35" t="s">
        <v>357</v>
      </c>
      <c r="C106" s="35" t="s">
        <v>135</v>
      </c>
      <c r="D106" s="35" t="s">
        <v>21</v>
      </c>
      <c r="E106" s="34">
        <v>45179</v>
      </c>
      <c r="F106" s="35" t="s">
        <v>319</v>
      </c>
      <c r="G106" s="32" t="s">
        <v>483</v>
      </c>
      <c r="H106" s="50">
        <v>0.63</v>
      </c>
      <c r="I106" s="33">
        <v>46.5</v>
      </c>
      <c r="J106" s="33" t="s">
        <v>86</v>
      </c>
      <c r="K106" s="50">
        <v>62.129999999999995</v>
      </c>
      <c r="L106" s="33">
        <v>232000</v>
      </c>
      <c r="M106" s="33">
        <v>5348.7</v>
      </c>
      <c r="N106" s="33">
        <v>1965.1376146788991</v>
      </c>
      <c r="O106" s="33">
        <v>507.00144857556739</v>
      </c>
      <c r="P106" s="33">
        <v>1879.9613713182039</v>
      </c>
      <c r="Q106" s="45">
        <v>92.274263640753261</v>
      </c>
      <c r="R106" s="33">
        <v>0</v>
      </c>
      <c r="S106" s="33">
        <v>2844.2781265089329</v>
      </c>
      <c r="T106" s="33">
        <v>0</v>
      </c>
      <c r="U106" s="52"/>
      <c r="V10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244637.35282472239</v>
      </c>
      <c r="W106" s="33">
        <v>184.01</v>
      </c>
      <c r="X106" s="34">
        <v>45212</v>
      </c>
      <c r="Y106" s="33">
        <v>12229.01</v>
      </c>
      <c r="Z106" s="46">
        <f>Шаблон_Формулы_2[[#This Row],[23]]*Шаблон_Формулы_2[[#This Row],[25]]</f>
        <v>2250260.1300999997</v>
      </c>
      <c r="AA106" s="31" t="s">
        <v>536</v>
      </c>
    </row>
    <row r="107" spans="1:27">
      <c r="A107" s="49">
        <v>103</v>
      </c>
      <c r="B107" s="35" t="s">
        <v>357</v>
      </c>
      <c r="C107" s="35" t="s">
        <v>135</v>
      </c>
      <c r="D107" s="35" t="s">
        <v>21</v>
      </c>
      <c r="E107" s="34">
        <v>45179</v>
      </c>
      <c r="F107" s="35" t="s">
        <v>319</v>
      </c>
      <c r="G107" s="32" t="s">
        <v>484</v>
      </c>
      <c r="H107" s="50">
        <v>31.29</v>
      </c>
      <c r="I107" s="33">
        <v>5278</v>
      </c>
      <c r="J107" s="33" t="s">
        <v>86</v>
      </c>
      <c r="K107" s="50">
        <v>62.129999999999995</v>
      </c>
      <c r="L107" s="33">
        <v>392000</v>
      </c>
      <c r="M107" s="33">
        <v>265652.09999999998</v>
      </c>
      <c r="N107" s="33">
        <v>97601.834862385324</v>
      </c>
      <c r="O107" s="33">
        <v>25181.071945919848</v>
      </c>
      <c r="P107" s="33">
        <v>93371.414775470796</v>
      </c>
      <c r="Q107" s="45">
        <v>4582.9550941574125</v>
      </c>
      <c r="R107" s="33">
        <v>0</v>
      </c>
      <c r="S107" s="33">
        <v>141265.81361661034</v>
      </c>
      <c r="T107" s="33">
        <v>0</v>
      </c>
      <c r="U107" s="52"/>
      <c r="V10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1019655.1902945436</v>
      </c>
      <c r="W107" s="33">
        <v>766.96</v>
      </c>
      <c r="X107" s="34">
        <v>45212</v>
      </c>
      <c r="Y107" s="33">
        <v>12229.01</v>
      </c>
      <c r="Z107" s="46">
        <f>Шаблон_Формулы_2[[#This Row],[23]]*Шаблон_Формулы_2[[#This Row],[25]]</f>
        <v>9379161.5096000005</v>
      </c>
      <c r="AA107" s="31" t="s">
        <v>536</v>
      </c>
    </row>
    <row r="108" spans="1:27">
      <c r="A108" s="49">
        <v>104</v>
      </c>
      <c r="B108" s="35" t="s">
        <v>357</v>
      </c>
      <c r="C108" s="35" t="s">
        <v>135</v>
      </c>
      <c r="D108" s="35" t="s">
        <v>21</v>
      </c>
      <c r="E108" s="34">
        <v>45179</v>
      </c>
      <c r="F108" s="35" t="s">
        <v>319</v>
      </c>
      <c r="G108" s="32" t="s">
        <v>485</v>
      </c>
      <c r="H108" s="50">
        <v>22.66</v>
      </c>
      <c r="I108" s="33">
        <v>6741</v>
      </c>
      <c r="J108" s="33" t="s">
        <v>86</v>
      </c>
      <c r="K108" s="50">
        <v>62.129999999999995</v>
      </c>
      <c r="L108" s="33">
        <v>392000</v>
      </c>
      <c r="M108" s="33">
        <v>192383.4</v>
      </c>
      <c r="N108" s="33">
        <v>70682.568807339456</v>
      </c>
      <c r="O108" s="33">
        <v>18235.956864638662</v>
      </c>
      <c r="P108" s="33">
        <v>67618.928054080156</v>
      </c>
      <c r="Q108" s="45">
        <v>3318.9441493642362</v>
      </c>
      <c r="R108" s="33">
        <v>0</v>
      </c>
      <c r="S108" s="33">
        <v>102303.71801062289</v>
      </c>
      <c r="T108" s="33">
        <v>0</v>
      </c>
      <c r="U108" s="52"/>
      <c r="V10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846543.51588604541</v>
      </c>
      <c r="W108" s="33">
        <v>636.75</v>
      </c>
      <c r="X108" s="34">
        <v>45212</v>
      </c>
      <c r="Y108" s="33">
        <v>12229.01</v>
      </c>
      <c r="Z108" s="46">
        <f>Шаблон_Формулы_2[[#This Row],[23]]*Шаблон_Формулы_2[[#This Row],[25]]</f>
        <v>7786822.1174999997</v>
      </c>
      <c r="AA108" s="31" t="s">
        <v>536</v>
      </c>
    </row>
    <row r="109" spans="1:27">
      <c r="A109" s="49">
        <v>105</v>
      </c>
      <c r="B109" s="35" t="s">
        <v>358</v>
      </c>
      <c r="C109" s="35" t="s">
        <v>135</v>
      </c>
      <c r="D109" s="35" t="s">
        <v>21</v>
      </c>
      <c r="E109" s="34">
        <v>45179</v>
      </c>
      <c r="F109" s="35" t="s">
        <v>319</v>
      </c>
      <c r="G109" s="32" t="s">
        <v>486</v>
      </c>
      <c r="H109" s="50">
        <v>8.6449999999999996</v>
      </c>
      <c r="I109" s="33">
        <v>4832</v>
      </c>
      <c r="J109" s="33" t="s">
        <v>86</v>
      </c>
      <c r="K109" s="50">
        <v>62.594999999999999</v>
      </c>
      <c r="L109" s="33">
        <v>332000</v>
      </c>
      <c r="M109" s="33">
        <v>73396.05</v>
      </c>
      <c r="N109" s="33">
        <v>26765.732087227414</v>
      </c>
      <c r="O109" s="33">
        <v>6905.5036344755972</v>
      </c>
      <c r="P109" s="33">
        <v>25605.607476635516</v>
      </c>
      <c r="Q109" s="45">
        <v>1256.8016614745586</v>
      </c>
      <c r="R109" s="33">
        <v>0</v>
      </c>
      <c r="S109" s="33">
        <v>38739.875389408102</v>
      </c>
      <c r="T109" s="33">
        <v>0</v>
      </c>
      <c r="U109" s="52"/>
      <c r="V10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504669.57024922111</v>
      </c>
      <c r="W109" s="33">
        <v>379.6</v>
      </c>
      <c r="X109" s="34">
        <v>45212</v>
      </c>
      <c r="Y109" s="33">
        <v>12229.01</v>
      </c>
      <c r="Z109" s="46">
        <f>Шаблон_Формулы_2[[#This Row],[23]]*Шаблон_Формулы_2[[#This Row],[25]]</f>
        <v>4642132.1960000005</v>
      </c>
      <c r="AA109" s="31" t="s">
        <v>536</v>
      </c>
    </row>
    <row r="110" spans="1:27">
      <c r="A110" s="49">
        <v>106</v>
      </c>
      <c r="B110" s="35" t="s">
        <v>358</v>
      </c>
      <c r="C110" s="35" t="s">
        <v>135</v>
      </c>
      <c r="D110" s="35" t="s">
        <v>21</v>
      </c>
      <c r="E110" s="34">
        <v>45179</v>
      </c>
      <c r="F110" s="35" t="s">
        <v>319</v>
      </c>
      <c r="G110" s="32" t="s">
        <v>487</v>
      </c>
      <c r="H110" s="50">
        <v>31.29</v>
      </c>
      <c r="I110" s="33">
        <v>5278</v>
      </c>
      <c r="J110" s="33" t="s">
        <v>86</v>
      </c>
      <c r="K110" s="50">
        <v>62.594999999999999</v>
      </c>
      <c r="L110" s="33">
        <v>392000</v>
      </c>
      <c r="M110" s="33">
        <v>265652.09999999998</v>
      </c>
      <c r="N110" s="33">
        <v>96876.779295470886</v>
      </c>
      <c r="O110" s="33">
        <v>24994.009106158639</v>
      </c>
      <c r="P110" s="33">
        <v>92677.785765636232</v>
      </c>
      <c r="Q110" s="45">
        <v>4548.9096573208717</v>
      </c>
      <c r="R110" s="33">
        <v>0</v>
      </c>
      <c r="S110" s="33">
        <v>140216.39108554996</v>
      </c>
      <c r="T110" s="33">
        <v>0</v>
      </c>
      <c r="U110" s="52"/>
      <c r="V11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1016965.9749101365</v>
      </c>
      <c r="W110" s="33">
        <v>764.94</v>
      </c>
      <c r="X110" s="34">
        <v>45212</v>
      </c>
      <c r="Y110" s="33">
        <v>12229.01</v>
      </c>
      <c r="Z110" s="46">
        <f>Шаблон_Формулы_2[[#This Row],[23]]*Шаблон_Формулы_2[[#This Row],[25]]</f>
        <v>9354458.9094000012</v>
      </c>
      <c r="AA110" s="31" t="s">
        <v>536</v>
      </c>
    </row>
    <row r="111" spans="1:27">
      <c r="A111" s="49">
        <v>107</v>
      </c>
      <c r="B111" s="35" t="s">
        <v>358</v>
      </c>
      <c r="C111" s="35" t="s">
        <v>135</v>
      </c>
      <c r="D111" s="35" t="s">
        <v>21</v>
      </c>
      <c r="E111" s="34">
        <v>45179</v>
      </c>
      <c r="F111" s="35" t="s">
        <v>319</v>
      </c>
      <c r="G111" s="32" t="s">
        <v>488</v>
      </c>
      <c r="H111" s="50">
        <v>22.66</v>
      </c>
      <c r="I111" s="33">
        <v>6741</v>
      </c>
      <c r="J111" s="33" t="s">
        <v>86</v>
      </c>
      <c r="K111" s="50">
        <v>62.594999999999999</v>
      </c>
      <c r="L111" s="33">
        <v>392000</v>
      </c>
      <c r="M111" s="33">
        <v>192383.4</v>
      </c>
      <c r="N111" s="33">
        <v>70157.4886173017</v>
      </c>
      <c r="O111" s="33">
        <v>18100.487259365764</v>
      </c>
      <c r="P111" s="33">
        <v>67116.606757728252</v>
      </c>
      <c r="Q111" s="45">
        <v>3294.288681204569</v>
      </c>
      <c r="R111" s="33">
        <v>0</v>
      </c>
      <c r="S111" s="33">
        <v>101543.73352504193</v>
      </c>
      <c r="T111" s="33">
        <v>0</v>
      </c>
      <c r="U111" s="52"/>
      <c r="V11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844596.00484064221</v>
      </c>
      <c r="W111" s="33">
        <v>635.29</v>
      </c>
      <c r="X111" s="34">
        <v>45212</v>
      </c>
      <c r="Y111" s="33">
        <v>12229.01</v>
      </c>
      <c r="Z111" s="46">
        <f>Шаблон_Формулы_2[[#This Row],[23]]*Шаблон_Формулы_2[[#This Row],[25]]</f>
        <v>7768967.7628999995</v>
      </c>
      <c r="AA111" s="31" t="s">
        <v>536</v>
      </c>
    </row>
    <row r="112" spans="1:27">
      <c r="A112" s="49">
        <v>108</v>
      </c>
      <c r="B112" s="35" t="s">
        <v>359</v>
      </c>
      <c r="C112" s="35" t="s">
        <v>135</v>
      </c>
      <c r="D112" s="35" t="s">
        <v>21</v>
      </c>
      <c r="E112" s="34">
        <v>45179</v>
      </c>
      <c r="F112" s="35" t="s">
        <v>319</v>
      </c>
      <c r="G112" s="32" t="s">
        <v>489</v>
      </c>
      <c r="H112" s="50">
        <v>22.78</v>
      </c>
      <c r="I112" s="33">
        <v>3795.2</v>
      </c>
      <c r="J112" s="33" t="s">
        <v>86</v>
      </c>
      <c r="K112" s="50">
        <v>67.87</v>
      </c>
      <c r="L112" s="33">
        <v>392000</v>
      </c>
      <c r="M112" s="33">
        <v>193402.2</v>
      </c>
      <c r="N112" s="33">
        <v>65047.355237954907</v>
      </c>
      <c r="O112" s="33">
        <v>16782.083394725207</v>
      </c>
      <c r="P112" s="33">
        <v>62227.965227641071</v>
      </c>
      <c r="Q112" s="45">
        <v>3054.3391778399878</v>
      </c>
      <c r="R112" s="33">
        <v>0</v>
      </c>
      <c r="S112" s="33">
        <v>94147.487844408417</v>
      </c>
      <c r="T112" s="33">
        <v>0</v>
      </c>
      <c r="U112" s="52"/>
      <c r="V11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826661.43088256952</v>
      </c>
      <c r="W112" s="33">
        <v>621.79999999999995</v>
      </c>
      <c r="X112" s="34">
        <v>45212</v>
      </c>
      <c r="Y112" s="33">
        <v>12229.01</v>
      </c>
      <c r="Z112" s="46">
        <f>Шаблон_Формулы_2[[#This Row],[23]]*Шаблон_Формулы_2[[#This Row],[25]]</f>
        <v>7603998.4179999996</v>
      </c>
      <c r="AA112" s="31" t="s">
        <v>536</v>
      </c>
    </row>
    <row r="113" spans="1:27">
      <c r="A113" s="49">
        <v>109</v>
      </c>
      <c r="B113" s="35" t="s">
        <v>359</v>
      </c>
      <c r="C113" s="35" t="s">
        <v>135</v>
      </c>
      <c r="D113" s="35" t="s">
        <v>21</v>
      </c>
      <c r="E113" s="34">
        <v>45179</v>
      </c>
      <c r="F113" s="35" t="s">
        <v>319</v>
      </c>
      <c r="G113" s="32" t="s">
        <v>490</v>
      </c>
      <c r="H113" s="50">
        <v>28.48</v>
      </c>
      <c r="I113" s="33">
        <v>4338.88</v>
      </c>
      <c r="J113" s="33" t="s">
        <v>86</v>
      </c>
      <c r="K113" s="50">
        <v>67.87</v>
      </c>
      <c r="L113" s="33">
        <v>392000</v>
      </c>
      <c r="M113" s="33">
        <v>241795.20000000001</v>
      </c>
      <c r="N113" s="33">
        <v>81323.47134227198</v>
      </c>
      <c r="O113" s="33">
        <v>20981.287756004123</v>
      </c>
      <c r="P113" s="33">
        <v>77798.6149992633</v>
      </c>
      <c r="Q113" s="45">
        <v>3818.5943715927506</v>
      </c>
      <c r="R113" s="33">
        <v>0</v>
      </c>
      <c r="S113" s="33">
        <v>117705.02431118314</v>
      </c>
      <c r="T113" s="33">
        <v>0</v>
      </c>
      <c r="U113" s="52"/>
      <c r="V11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935422.19278031529</v>
      </c>
      <c r="W113" s="33">
        <v>703.6</v>
      </c>
      <c r="X113" s="34">
        <v>45212</v>
      </c>
      <c r="Y113" s="33">
        <v>12229.01</v>
      </c>
      <c r="Z113" s="46">
        <f>Шаблон_Формулы_2[[#This Row],[23]]*Шаблон_Формулы_2[[#This Row],[25]]</f>
        <v>8604331.4360000007</v>
      </c>
      <c r="AA113" s="31" t="s">
        <v>536</v>
      </c>
    </row>
    <row r="114" spans="1:27">
      <c r="A114" s="49">
        <v>110</v>
      </c>
      <c r="B114" s="35" t="s">
        <v>359</v>
      </c>
      <c r="C114" s="35" t="s">
        <v>135</v>
      </c>
      <c r="D114" s="35" t="s">
        <v>21</v>
      </c>
      <c r="E114" s="34">
        <v>45179</v>
      </c>
      <c r="F114" s="35" t="s">
        <v>319</v>
      </c>
      <c r="G114" s="32" t="s">
        <v>491</v>
      </c>
      <c r="H114" s="50">
        <v>16.61</v>
      </c>
      <c r="I114" s="33">
        <v>2838</v>
      </c>
      <c r="J114" s="33" t="s">
        <v>86</v>
      </c>
      <c r="K114" s="50">
        <v>67.87</v>
      </c>
      <c r="L114" s="33">
        <v>376000</v>
      </c>
      <c r="M114" s="33">
        <v>141018.9</v>
      </c>
      <c r="N114" s="33">
        <v>47429.173419773091</v>
      </c>
      <c r="O114" s="33">
        <v>12236.628849270663</v>
      </c>
      <c r="P114" s="33">
        <v>45373.419773095615</v>
      </c>
      <c r="Q114" s="45">
        <v>2227.0664505672607</v>
      </c>
      <c r="R114" s="33">
        <v>0</v>
      </c>
      <c r="S114" s="33">
        <v>68647.487844408417</v>
      </c>
      <c r="T114" s="33">
        <v>0</v>
      </c>
      <c r="U114" s="52"/>
      <c r="V11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692932.676337115</v>
      </c>
      <c r="W114" s="33">
        <v>521.21</v>
      </c>
      <c r="X114" s="34">
        <v>45212</v>
      </c>
      <c r="Y114" s="33">
        <v>12229.01</v>
      </c>
      <c r="Z114" s="46">
        <f>Шаблон_Формулы_2[[#This Row],[23]]*Шаблон_Формулы_2[[#This Row],[25]]</f>
        <v>6373882.3021000009</v>
      </c>
      <c r="AA114" s="31" t="s">
        <v>536</v>
      </c>
    </row>
    <row r="115" spans="1:27">
      <c r="A115" s="49">
        <v>111</v>
      </c>
      <c r="B115" s="35" t="s">
        <v>360</v>
      </c>
      <c r="C115" s="35" t="s">
        <v>135</v>
      </c>
      <c r="D115" s="35" t="s">
        <v>21</v>
      </c>
      <c r="E115" s="34">
        <v>45179</v>
      </c>
      <c r="F115" s="35" t="s">
        <v>319</v>
      </c>
      <c r="G115" s="32" t="s">
        <v>492</v>
      </c>
      <c r="H115" s="50">
        <v>66.430000000000007</v>
      </c>
      <c r="I115" s="33">
        <v>11352</v>
      </c>
      <c r="J115" s="33" t="s">
        <v>86</v>
      </c>
      <c r="K115" s="50">
        <v>66.430000000000007</v>
      </c>
      <c r="L115" s="33">
        <v>1016000</v>
      </c>
      <c r="M115" s="33">
        <v>563990.70000000007</v>
      </c>
      <c r="N115" s="33">
        <v>193800</v>
      </c>
      <c r="O115" s="33">
        <v>50000</v>
      </c>
      <c r="P115" s="33">
        <v>185400</v>
      </c>
      <c r="Q115" s="45">
        <v>9100</v>
      </c>
      <c r="R115" s="33">
        <v>0</v>
      </c>
      <c r="S115" s="33">
        <v>280500</v>
      </c>
      <c r="T115" s="33">
        <v>0</v>
      </c>
      <c r="U115" s="52"/>
      <c r="V11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2298790.7000000002</v>
      </c>
      <c r="W115" s="33">
        <v>1729.1</v>
      </c>
      <c r="X115" s="34">
        <v>45212</v>
      </c>
      <c r="Y115" s="33">
        <v>12229.01</v>
      </c>
      <c r="Z115" s="46">
        <f>Шаблон_Формулы_2[[#This Row],[23]]*Шаблон_Формулы_2[[#This Row],[25]]</f>
        <v>21145181.191</v>
      </c>
      <c r="AA115" s="31" t="s">
        <v>536</v>
      </c>
    </row>
    <row r="116" spans="1:27">
      <c r="A116" s="49">
        <v>112</v>
      </c>
      <c r="B116" s="35" t="s">
        <v>361</v>
      </c>
      <c r="C116" s="35" t="s">
        <v>135</v>
      </c>
      <c r="D116" s="35" t="s">
        <v>21</v>
      </c>
      <c r="E116" s="34">
        <v>45179</v>
      </c>
      <c r="F116" s="35" t="s">
        <v>319</v>
      </c>
      <c r="G116" s="32" t="s">
        <v>493</v>
      </c>
      <c r="H116" s="50">
        <v>29.06</v>
      </c>
      <c r="I116" s="33">
        <v>4966.5</v>
      </c>
      <c r="J116" s="33" t="s">
        <v>86</v>
      </c>
      <c r="K116" s="50">
        <v>61.587000000000003</v>
      </c>
      <c r="L116" s="33">
        <v>392000</v>
      </c>
      <c r="M116" s="33">
        <v>246719.4</v>
      </c>
      <c r="N116" s="33">
        <v>91445.077694968088</v>
      </c>
      <c r="O116" s="33">
        <v>23592.641304171331</v>
      </c>
      <c r="P116" s="33">
        <v>87481.513955867296</v>
      </c>
      <c r="Q116" s="45">
        <v>4293.8607173591827</v>
      </c>
      <c r="R116" s="33">
        <v>0</v>
      </c>
      <c r="S116" s="33">
        <v>132354.71771640118</v>
      </c>
      <c r="T116" s="33">
        <v>0</v>
      </c>
      <c r="U116" s="52"/>
      <c r="V11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977887.21138876711</v>
      </c>
      <c r="W116" s="33">
        <v>735.55</v>
      </c>
      <c r="X116" s="34">
        <v>45212</v>
      </c>
      <c r="Y116" s="33">
        <v>12229.01</v>
      </c>
      <c r="Z116" s="46">
        <f>Шаблон_Формулы_2[[#This Row],[23]]*Шаблон_Формулы_2[[#This Row],[25]]</f>
        <v>8995048.3054999989</v>
      </c>
      <c r="AA116" s="31" t="s">
        <v>536</v>
      </c>
    </row>
    <row r="117" spans="1:27">
      <c r="A117" s="49">
        <v>113</v>
      </c>
      <c r="B117" s="35" t="s">
        <v>361</v>
      </c>
      <c r="C117" s="35" t="s">
        <v>135</v>
      </c>
      <c r="D117" s="35" t="s">
        <v>21</v>
      </c>
      <c r="E117" s="34">
        <v>45179</v>
      </c>
      <c r="F117" s="35" t="s">
        <v>323</v>
      </c>
      <c r="G117" s="32" t="s">
        <v>494</v>
      </c>
      <c r="H117" s="50">
        <v>26.257000000000001</v>
      </c>
      <c r="I117" s="33">
        <v>3570</v>
      </c>
      <c r="J117" s="33" t="s">
        <v>86</v>
      </c>
      <c r="K117" s="50">
        <v>61.587000000000003</v>
      </c>
      <c r="L117" s="33">
        <v>370000</v>
      </c>
      <c r="M117" s="33">
        <v>222921.93000000002</v>
      </c>
      <c r="N117" s="33">
        <v>82624.687028106579</v>
      </c>
      <c r="O117" s="33">
        <v>21316.998717261758</v>
      </c>
      <c r="P117" s="33">
        <v>79043.43124360661</v>
      </c>
      <c r="Q117" s="45">
        <v>3879.6937665416403</v>
      </c>
      <c r="R117" s="33">
        <v>0</v>
      </c>
      <c r="S117" s="33">
        <v>119588.36280383846</v>
      </c>
      <c r="T117" s="33">
        <v>0</v>
      </c>
      <c r="U117" s="52"/>
      <c r="V11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899375.10355935502</v>
      </c>
      <c r="W117" s="33">
        <v>676.49</v>
      </c>
      <c r="X117" s="34">
        <v>45212</v>
      </c>
      <c r="Y117" s="33">
        <v>12229.01</v>
      </c>
      <c r="Z117" s="46">
        <f>Шаблон_Формулы_2[[#This Row],[23]]*Шаблон_Формулы_2[[#This Row],[25]]</f>
        <v>8272802.9748999998</v>
      </c>
      <c r="AA117" s="31" t="s">
        <v>536</v>
      </c>
    </row>
    <row r="118" spans="1:27">
      <c r="A118" s="49">
        <v>114</v>
      </c>
      <c r="B118" s="35" t="s">
        <v>361</v>
      </c>
      <c r="C118" s="35" t="s">
        <v>135</v>
      </c>
      <c r="D118" s="35" t="s">
        <v>21</v>
      </c>
      <c r="E118" s="34">
        <v>45179</v>
      </c>
      <c r="F118" s="35" t="s">
        <v>326</v>
      </c>
      <c r="G118" s="32" t="s">
        <v>495</v>
      </c>
      <c r="H118" s="50">
        <v>6.27</v>
      </c>
      <c r="I118" s="33">
        <v>1251</v>
      </c>
      <c r="J118" s="33" t="s">
        <v>96</v>
      </c>
      <c r="K118" s="50">
        <v>61.587000000000003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45">
        <v>0</v>
      </c>
      <c r="R118" s="33">
        <v>0</v>
      </c>
      <c r="S118" s="33">
        <v>0</v>
      </c>
      <c r="T118" s="33">
        <v>0</v>
      </c>
      <c r="U118" s="52"/>
      <c r="V11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18" s="33">
        <v>0</v>
      </c>
      <c r="X118" s="34">
        <v>45212</v>
      </c>
      <c r="Y118" s="33">
        <v>12229.01</v>
      </c>
      <c r="Z118" s="46">
        <f>Шаблон_Формулы_2[[#This Row],[23]]*Шаблон_Формулы_2[[#This Row],[25]]</f>
        <v>0</v>
      </c>
      <c r="AA118" s="31" t="s">
        <v>536</v>
      </c>
    </row>
    <row r="119" spans="1:27">
      <c r="A119" s="49">
        <v>115</v>
      </c>
      <c r="B119" s="35" t="s">
        <v>362</v>
      </c>
      <c r="C119" s="35" t="s">
        <v>135</v>
      </c>
      <c r="D119" s="35" t="s">
        <v>21</v>
      </c>
      <c r="E119" s="34">
        <v>45179</v>
      </c>
      <c r="F119" s="35" t="s">
        <v>319</v>
      </c>
      <c r="G119" s="32" t="s">
        <v>496</v>
      </c>
      <c r="H119" s="50">
        <v>11.064</v>
      </c>
      <c r="I119" s="33">
        <v>1892</v>
      </c>
      <c r="J119" s="33" t="s">
        <v>86</v>
      </c>
      <c r="K119" s="50">
        <v>59.677000000000007</v>
      </c>
      <c r="L119" s="33">
        <v>332000</v>
      </c>
      <c r="M119" s="33">
        <v>93933.36</v>
      </c>
      <c r="N119" s="33">
        <v>35930.143941552022</v>
      </c>
      <c r="O119" s="33">
        <v>9269.9029776965999</v>
      </c>
      <c r="P119" s="33">
        <v>34372.800241298988</v>
      </c>
      <c r="Q119" s="45">
        <v>1687.1223419407811</v>
      </c>
      <c r="R119" s="33">
        <v>0</v>
      </c>
      <c r="S119" s="33">
        <v>52004.155704877921</v>
      </c>
      <c r="T119" s="33">
        <v>0</v>
      </c>
      <c r="U119" s="52"/>
      <c r="V11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559197.48520736629</v>
      </c>
      <c r="W119" s="33">
        <v>420.62</v>
      </c>
      <c r="X119" s="34">
        <v>45212</v>
      </c>
      <c r="Y119" s="33">
        <v>12229.01</v>
      </c>
      <c r="Z119" s="46">
        <f>Шаблон_Формулы_2[[#This Row],[23]]*Шаблон_Формулы_2[[#This Row],[25]]</f>
        <v>5143766.1862000003</v>
      </c>
      <c r="AA119" s="31" t="s">
        <v>536</v>
      </c>
    </row>
    <row r="120" spans="1:27">
      <c r="A120" s="49">
        <v>116</v>
      </c>
      <c r="B120" s="35" t="s">
        <v>362</v>
      </c>
      <c r="C120" s="35" t="s">
        <v>135</v>
      </c>
      <c r="D120" s="35" t="s">
        <v>21</v>
      </c>
      <c r="E120" s="34">
        <v>45179</v>
      </c>
      <c r="F120" s="35" t="s">
        <v>220</v>
      </c>
      <c r="G120" s="32" t="s">
        <v>497</v>
      </c>
      <c r="H120" s="50">
        <v>18.335999999999999</v>
      </c>
      <c r="I120" s="33">
        <v>8612</v>
      </c>
      <c r="J120" s="33" t="s">
        <v>86</v>
      </c>
      <c r="K120" s="50">
        <v>59.677000000000007</v>
      </c>
      <c r="L120" s="33">
        <v>551000</v>
      </c>
      <c r="M120" s="33">
        <v>155672.63999999998</v>
      </c>
      <c r="N120" s="33">
        <v>59545.83507884109</v>
      </c>
      <c r="O120" s="33">
        <v>15362.70254872061</v>
      </c>
      <c r="P120" s="33">
        <v>56964.901050656023</v>
      </c>
      <c r="Q120" s="45">
        <v>2796.0118638671511</v>
      </c>
      <c r="R120" s="33">
        <v>0</v>
      </c>
      <c r="S120" s="33">
        <v>86184.761298322628</v>
      </c>
      <c r="T120" s="33">
        <v>0</v>
      </c>
      <c r="U120" s="34"/>
      <c r="V12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927526.85184040747</v>
      </c>
      <c r="W120" s="33">
        <v>697.67</v>
      </c>
      <c r="X120" s="34">
        <v>45212</v>
      </c>
      <c r="Y120" s="33">
        <v>12229.01</v>
      </c>
      <c r="Z120" s="46">
        <f>Шаблон_Формулы_2[[#This Row],[23]]*Шаблон_Формулы_2[[#This Row],[25]]</f>
        <v>8531813.4067000002</v>
      </c>
      <c r="AA120" s="31" t="s">
        <v>536</v>
      </c>
    </row>
    <row r="121" spans="1:27">
      <c r="A121" s="49">
        <v>117</v>
      </c>
      <c r="B121" s="35" t="s">
        <v>362</v>
      </c>
      <c r="C121" s="35" t="s">
        <v>135</v>
      </c>
      <c r="D121" s="35" t="s">
        <v>21</v>
      </c>
      <c r="E121" s="34">
        <v>45179</v>
      </c>
      <c r="F121" s="35" t="s">
        <v>220</v>
      </c>
      <c r="G121" s="32" t="s">
        <v>498</v>
      </c>
      <c r="H121" s="50">
        <v>8.9960000000000004</v>
      </c>
      <c r="I121" s="33">
        <v>4185</v>
      </c>
      <c r="J121" s="33" t="s">
        <v>86</v>
      </c>
      <c r="K121" s="50">
        <v>59.677000000000007</v>
      </c>
      <c r="L121" s="33">
        <v>435000</v>
      </c>
      <c r="M121" s="33">
        <v>76376.040000000008</v>
      </c>
      <c r="N121" s="33">
        <v>29214.350587328448</v>
      </c>
      <c r="O121" s="33">
        <v>7537.2421535935109</v>
      </c>
      <c r="P121" s="33">
        <v>27948.09390552474</v>
      </c>
      <c r="Q121" s="45">
        <v>1371.778071954019</v>
      </c>
      <c r="R121" s="33">
        <v>0</v>
      </c>
      <c r="S121" s="33">
        <v>42283.928481659597</v>
      </c>
      <c r="T121" s="33">
        <v>0</v>
      </c>
      <c r="U121" s="34"/>
      <c r="V12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619731.43320006027</v>
      </c>
      <c r="W121" s="33">
        <v>466.15</v>
      </c>
      <c r="X121" s="34">
        <v>45212</v>
      </c>
      <c r="Y121" s="33">
        <v>12229.01</v>
      </c>
      <c r="Z121" s="46">
        <f>Шаблон_Формулы_2[[#This Row],[23]]*Шаблон_Формулы_2[[#This Row],[25]]</f>
        <v>5700553.0115</v>
      </c>
      <c r="AA121" s="31" t="s">
        <v>536</v>
      </c>
    </row>
    <row r="122" spans="1:27">
      <c r="A122" s="49">
        <v>118</v>
      </c>
      <c r="B122" s="35" t="s">
        <v>362</v>
      </c>
      <c r="C122" s="35" t="s">
        <v>135</v>
      </c>
      <c r="D122" s="35" t="s">
        <v>21</v>
      </c>
      <c r="E122" s="34">
        <v>45179</v>
      </c>
      <c r="F122" s="35" t="s">
        <v>97</v>
      </c>
      <c r="G122" s="32" t="s">
        <v>499</v>
      </c>
      <c r="H122" s="50">
        <v>4.2140000000000004</v>
      </c>
      <c r="I122" s="33">
        <v>992.28</v>
      </c>
      <c r="J122" s="33" t="s">
        <v>86</v>
      </c>
      <c r="K122" s="50">
        <v>59.677000000000007</v>
      </c>
      <c r="L122" s="33">
        <v>235000</v>
      </c>
      <c r="M122" s="33">
        <v>35776.86</v>
      </c>
      <c r="N122" s="33">
        <v>13684.890326256347</v>
      </c>
      <c r="O122" s="33">
        <v>3530.6734587864671</v>
      </c>
      <c r="P122" s="33">
        <v>13091.73718518022</v>
      </c>
      <c r="Q122" s="45">
        <v>642.58256949913709</v>
      </c>
      <c r="R122" s="33">
        <v>0</v>
      </c>
      <c r="S122" s="33">
        <v>19807.078103792082</v>
      </c>
      <c r="T122" s="33">
        <v>0</v>
      </c>
      <c r="U122" s="34"/>
      <c r="V12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321533.82164351427</v>
      </c>
      <c r="W122" s="33">
        <v>241.85</v>
      </c>
      <c r="X122" s="34">
        <v>45212</v>
      </c>
      <c r="Y122" s="33">
        <v>12229.01</v>
      </c>
      <c r="Z122" s="46">
        <f>Шаблон_Формулы_2[[#This Row],[23]]*Шаблон_Формулы_2[[#This Row],[25]]</f>
        <v>2957586.0685000001</v>
      </c>
      <c r="AA122" s="31" t="s">
        <v>536</v>
      </c>
    </row>
    <row r="123" spans="1:27">
      <c r="A123" s="49">
        <v>119</v>
      </c>
      <c r="B123" s="35" t="s">
        <v>362</v>
      </c>
      <c r="C123" s="35" t="s">
        <v>135</v>
      </c>
      <c r="D123" s="35" t="s">
        <v>21</v>
      </c>
      <c r="E123" s="34">
        <v>45179</v>
      </c>
      <c r="F123" s="35" t="s">
        <v>97</v>
      </c>
      <c r="G123" s="32" t="s">
        <v>500</v>
      </c>
      <c r="H123" s="50">
        <v>0.86499999999999999</v>
      </c>
      <c r="I123" s="33">
        <v>388.68</v>
      </c>
      <c r="J123" s="33" t="s">
        <v>86</v>
      </c>
      <c r="K123" s="50">
        <v>59.677000000000007</v>
      </c>
      <c r="L123" s="33">
        <v>198000</v>
      </c>
      <c r="M123" s="33">
        <v>7343.85</v>
      </c>
      <c r="N123" s="33">
        <v>2809.0721718585046</v>
      </c>
      <c r="O123" s="33">
        <v>724.73482246091453</v>
      </c>
      <c r="P123" s="33">
        <v>2687.3167216850711</v>
      </c>
      <c r="Q123" s="45">
        <v>131.90173768788645</v>
      </c>
      <c r="R123" s="33">
        <v>0</v>
      </c>
      <c r="S123" s="33">
        <v>4065.7623540057307</v>
      </c>
      <c r="T123" s="33">
        <v>0</v>
      </c>
      <c r="U123" s="34"/>
      <c r="V12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215762.63780769813</v>
      </c>
      <c r="W123" s="33">
        <v>162.29</v>
      </c>
      <c r="X123" s="34">
        <v>45212</v>
      </c>
      <c r="Y123" s="33">
        <v>12229.01</v>
      </c>
      <c r="Z123" s="46">
        <f>Шаблон_Формулы_2[[#This Row],[23]]*Шаблон_Формулы_2[[#This Row],[25]]</f>
        <v>1984646.0329</v>
      </c>
      <c r="AA123" s="31" t="s">
        <v>536</v>
      </c>
    </row>
    <row r="124" spans="1:27">
      <c r="A124" s="49">
        <v>120</v>
      </c>
      <c r="B124" s="35" t="s">
        <v>362</v>
      </c>
      <c r="C124" s="35" t="s">
        <v>135</v>
      </c>
      <c r="D124" s="35" t="s">
        <v>21</v>
      </c>
      <c r="E124" s="34">
        <v>45179</v>
      </c>
      <c r="F124" s="35" t="s">
        <v>321</v>
      </c>
      <c r="G124" s="32" t="s">
        <v>501</v>
      </c>
      <c r="H124" s="50">
        <v>9.66</v>
      </c>
      <c r="I124" s="33">
        <v>3300</v>
      </c>
      <c r="J124" s="33" t="s">
        <v>96</v>
      </c>
      <c r="K124" s="50">
        <v>59.677000000000007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45">
        <v>0</v>
      </c>
      <c r="R124" s="33">
        <v>0</v>
      </c>
      <c r="S124" s="33">
        <v>0</v>
      </c>
      <c r="T124" s="33">
        <v>0</v>
      </c>
      <c r="U124" s="34"/>
      <c r="V12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24" s="33">
        <v>0</v>
      </c>
      <c r="X124" s="34">
        <v>45212</v>
      </c>
      <c r="Y124" s="33">
        <v>12229.01</v>
      </c>
      <c r="Z124" s="46">
        <f>Шаблон_Формулы_2[[#This Row],[23]]*Шаблон_Формулы_2[[#This Row],[25]]</f>
        <v>0</v>
      </c>
      <c r="AA124" s="31" t="s">
        <v>536</v>
      </c>
    </row>
    <row r="125" spans="1:27">
      <c r="A125" s="49">
        <v>121</v>
      </c>
      <c r="B125" s="35" t="s">
        <v>362</v>
      </c>
      <c r="C125" s="35" t="s">
        <v>135</v>
      </c>
      <c r="D125" s="35" t="s">
        <v>21</v>
      </c>
      <c r="E125" s="34">
        <v>45179</v>
      </c>
      <c r="F125" s="35" t="s">
        <v>378</v>
      </c>
      <c r="G125" s="32" t="s">
        <v>502</v>
      </c>
      <c r="H125" s="50">
        <v>5.71</v>
      </c>
      <c r="I125" s="33">
        <v>1095</v>
      </c>
      <c r="J125" s="33" t="s">
        <v>96</v>
      </c>
      <c r="K125" s="50">
        <v>59.677000000000007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45">
        <v>0</v>
      </c>
      <c r="R125" s="33">
        <v>0</v>
      </c>
      <c r="S125" s="33">
        <v>0</v>
      </c>
      <c r="T125" s="33">
        <v>0</v>
      </c>
      <c r="U125" s="34"/>
      <c r="V12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25" s="33">
        <v>0</v>
      </c>
      <c r="X125" s="34">
        <v>45212</v>
      </c>
      <c r="Y125" s="33">
        <v>12229.01</v>
      </c>
      <c r="Z125" s="46">
        <f>Шаблон_Формулы_2[[#This Row],[23]]*Шаблон_Формулы_2[[#This Row],[25]]</f>
        <v>0</v>
      </c>
      <c r="AA125" s="31" t="s">
        <v>536</v>
      </c>
    </row>
    <row r="126" spans="1:27">
      <c r="A126" s="49">
        <v>122</v>
      </c>
      <c r="B126" s="35" t="s">
        <v>362</v>
      </c>
      <c r="C126" s="35" t="s">
        <v>135</v>
      </c>
      <c r="D126" s="35" t="s">
        <v>21</v>
      </c>
      <c r="E126" s="34">
        <v>45179</v>
      </c>
      <c r="F126" s="35" t="s">
        <v>379</v>
      </c>
      <c r="G126" s="32" t="s">
        <v>503</v>
      </c>
      <c r="H126" s="50">
        <v>0.83199999999999996</v>
      </c>
      <c r="I126" s="33">
        <v>534</v>
      </c>
      <c r="J126" s="33" t="s">
        <v>96</v>
      </c>
      <c r="K126" s="50">
        <v>59.677000000000007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45">
        <v>0</v>
      </c>
      <c r="R126" s="33">
        <v>0</v>
      </c>
      <c r="S126" s="33">
        <v>0</v>
      </c>
      <c r="T126" s="33">
        <v>0</v>
      </c>
      <c r="U126" s="34"/>
      <c r="V12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26" s="33">
        <v>0</v>
      </c>
      <c r="X126" s="34">
        <v>45212</v>
      </c>
      <c r="Y126" s="33">
        <v>12229.01</v>
      </c>
      <c r="Z126" s="46">
        <f>Шаблон_Формулы_2[[#This Row],[23]]*Шаблон_Формулы_2[[#This Row],[25]]</f>
        <v>0</v>
      </c>
      <c r="AA126" s="31" t="s">
        <v>536</v>
      </c>
    </row>
    <row r="127" spans="1:27">
      <c r="A127" s="49">
        <v>123</v>
      </c>
      <c r="B127" s="35" t="s">
        <v>363</v>
      </c>
      <c r="C127" s="35" t="s">
        <v>135</v>
      </c>
      <c r="D127" s="35" t="s">
        <v>21</v>
      </c>
      <c r="E127" s="34">
        <v>45179</v>
      </c>
      <c r="F127" s="35" t="s">
        <v>319</v>
      </c>
      <c r="G127" s="32" t="s">
        <v>504</v>
      </c>
      <c r="H127" s="50">
        <v>1.1859999999999999</v>
      </c>
      <c r="I127" s="33">
        <v>385</v>
      </c>
      <c r="J127" s="33" t="s">
        <v>86</v>
      </c>
      <c r="K127" s="50">
        <v>61.518000000000001</v>
      </c>
      <c r="L127" s="33">
        <v>232000</v>
      </c>
      <c r="M127" s="33">
        <v>10069.14</v>
      </c>
      <c r="N127" s="33">
        <v>3736.2528040573488</v>
      </c>
      <c r="O127" s="33">
        <v>963.94551188270088</v>
      </c>
      <c r="P127" s="33">
        <v>3574.3099580610551</v>
      </c>
      <c r="Q127" s="45">
        <v>175.43808316265157</v>
      </c>
      <c r="R127" s="33">
        <v>0</v>
      </c>
      <c r="S127" s="33">
        <v>5407.734321661952</v>
      </c>
      <c r="T127" s="33">
        <v>0</v>
      </c>
      <c r="U127" s="34"/>
      <c r="V12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255926.82067882572</v>
      </c>
      <c r="W127" s="33">
        <v>192.5</v>
      </c>
      <c r="X127" s="34">
        <v>45212</v>
      </c>
      <c r="Y127" s="33">
        <v>12229.01</v>
      </c>
      <c r="Z127" s="46">
        <f>Шаблон_Формулы_2[[#This Row],[23]]*Шаблон_Формулы_2[[#This Row],[25]]</f>
        <v>2354084.4249999998</v>
      </c>
      <c r="AA127" s="31" t="s">
        <v>536</v>
      </c>
    </row>
    <row r="128" spans="1:27">
      <c r="A128" s="49">
        <v>124</v>
      </c>
      <c r="B128" s="35" t="s">
        <v>363</v>
      </c>
      <c r="C128" s="35" t="s">
        <v>135</v>
      </c>
      <c r="D128" s="35" t="s">
        <v>21</v>
      </c>
      <c r="E128" s="34">
        <v>45179</v>
      </c>
      <c r="F128" s="35" t="s">
        <v>319</v>
      </c>
      <c r="G128" s="32" t="s">
        <v>505</v>
      </c>
      <c r="H128" s="50">
        <v>9.4860000000000007</v>
      </c>
      <c r="I128" s="33">
        <v>3080</v>
      </c>
      <c r="J128" s="33" t="s">
        <v>86</v>
      </c>
      <c r="K128" s="50">
        <v>61.518000000000001</v>
      </c>
      <c r="L128" s="33">
        <v>332000</v>
      </c>
      <c r="M128" s="33">
        <v>80536.14</v>
      </c>
      <c r="N128" s="33">
        <v>29883.721837510973</v>
      </c>
      <c r="O128" s="33">
        <v>7709.938554569394</v>
      </c>
      <c r="P128" s="33">
        <v>28588.452160343313</v>
      </c>
      <c r="Q128" s="45">
        <v>1403.2088169316298</v>
      </c>
      <c r="R128" s="33">
        <v>0</v>
      </c>
      <c r="S128" s="33">
        <v>43252.755291134301</v>
      </c>
      <c r="T128" s="33">
        <v>0</v>
      </c>
      <c r="U128" s="34"/>
      <c r="V12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523374.21666048962</v>
      </c>
      <c r="W128" s="33">
        <v>393.67</v>
      </c>
      <c r="X128" s="34">
        <v>45212</v>
      </c>
      <c r="Y128" s="33">
        <v>12229.01</v>
      </c>
      <c r="Z128" s="46">
        <f>Шаблон_Формулы_2[[#This Row],[23]]*Шаблон_Формулы_2[[#This Row],[25]]</f>
        <v>4814194.3667000001</v>
      </c>
      <c r="AA128" s="31" t="s">
        <v>536</v>
      </c>
    </row>
    <row r="129" spans="1:27">
      <c r="A129" s="49">
        <v>125</v>
      </c>
      <c r="B129" s="35" t="s">
        <v>363</v>
      </c>
      <c r="C129" s="35" t="s">
        <v>135</v>
      </c>
      <c r="D129" s="35" t="s">
        <v>21</v>
      </c>
      <c r="E129" s="34">
        <v>45179</v>
      </c>
      <c r="F129" s="35" t="s">
        <v>89</v>
      </c>
      <c r="G129" s="32" t="s">
        <v>506</v>
      </c>
      <c r="H129" s="50">
        <v>50.39</v>
      </c>
      <c r="I129" s="33">
        <v>7084.8</v>
      </c>
      <c r="J129" s="33" t="s">
        <v>86</v>
      </c>
      <c r="K129" s="50">
        <v>61.518000000000001</v>
      </c>
      <c r="L129" s="33">
        <v>1135000</v>
      </c>
      <c r="M129" s="33">
        <v>427811.1</v>
      </c>
      <c r="N129" s="33">
        <v>158743.48971032866</v>
      </c>
      <c r="O129" s="33">
        <v>40955.492701323186</v>
      </c>
      <c r="P129" s="33">
        <v>151862.96693650639</v>
      </c>
      <c r="Q129" s="45">
        <v>7453.8996716408201</v>
      </c>
      <c r="R129" s="33">
        <v>0</v>
      </c>
      <c r="S129" s="33">
        <v>229760.31405442307</v>
      </c>
      <c r="T129" s="33">
        <v>0</v>
      </c>
      <c r="U129" s="34"/>
      <c r="V12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2151587.263074222</v>
      </c>
      <c r="W129" s="33">
        <v>1618.38</v>
      </c>
      <c r="X129" s="34">
        <v>45212</v>
      </c>
      <c r="Y129" s="33">
        <v>12229.01</v>
      </c>
      <c r="Z129" s="46">
        <f>Шаблон_Формулы_2[[#This Row],[23]]*Шаблон_Формулы_2[[#This Row],[25]]</f>
        <v>19791185.2038</v>
      </c>
      <c r="AA129" s="31" t="s">
        <v>536</v>
      </c>
    </row>
    <row r="130" spans="1:27">
      <c r="A130" s="49">
        <v>126</v>
      </c>
      <c r="B130" s="35" t="s">
        <v>363</v>
      </c>
      <c r="C130" s="35" t="s">
        <v>135</v>
      </c>
      <c r="D130" s="35" t="s">
        <v>21</v>
      </c>
      <c r="E130" s="34">
        <v>45179</v>
      </c>
      <c r="F130" s="35" t="s">
        <v>90</v>
      </c>
      <c r="G130" s="32" t="s">
        <v>507</v>
      </c>
      <c r="H130" s="50">
        <v>0.45600000000000002</v>
      </c>
      <c r="I130" s="33">
        <v>85</v>
      </c>
      <c r="J130" s="33" t="s">
        <v>86</v>
      </c>
      <c r="K130" s="50">
        <v>61.518000000000001</v>
      </c>
      <c r="L130" s="33">
        <v>265000</v>
      </c>
      <c r="M130" s="33">
        <v>3871.44</v>
      </c>
      <c r="N130" s="33">
        <v>1436.5356481029942</v>
      </c>
      <c r="O130" s="33">
        <v>370.62323222471474</v>
      </c>
      <c r="P130" s="33">
        <v>1374.2709450892421</v>
      </c>
      <c r="Q130" s="45">
        <v>67.453428264898079</v>
      </c>
      <c r="R130" s="33">
        <v>0</v>
      </c>
      <c r="S130" s="33">
        <v>2079.1963327806498</v>
      </c>
      <c r="T130" s="33">
        <v>0</v>
      </c>
      <c r="U130" s="34"/>
      <c r="V13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274199.51958646247</v>
      </c>
      <c r="W130" s="33">
        <v>206.25</v>
      </c>
      <c r="X130" s="34">
        <v>45212</v>
      </c>
      <c r="Y130" s="33">
        <v>12229.01</v>
      </c>
      <c r="Z130" s="46">
        <f>Шаблон_Формулы_2[[#This Row],[23]]*Шаблон_Формулы_2[[#This Row],[25]]</f>
        <v>2522233.3125</v>
      </c>
      <c r="AA130" s="31" t="s">
        <v>536</v>
      </c>
    </row>
    <row r="131" spans="1:27">
      <c r="A131" s="49">
        <v>127</v>
      </c>
      <c r="B131" s="35" t="s">
        <v>364</v>
      </c>
      <c r="C131" s="35" t="s">
        <v>135</v>
      </c>
      <c r="D131" s="35" t="s">
        <v>21</v>
      </c>
      <c r="E131" s="34">
        <v>45179</v>
      </c>
      <c r="F131" s="35" t="s">
        <v>319</v>
      </c>
      <c r="G131" s="32" t="s">
        <v>508</v>
      </c>
      <c r="H131" s="50">
        <v>12.667999999999999</v>
      </c>
      <c r="I131" s="33">
        <v>5225</v>
      </c>
      <c r="J131" s="33" t="s">
        <v>86</v>
      </c>
      <c r="K131" s="50">
        <v>61.331000000000003</v>
      </c>
      <c r="L131" s="33">
        <v>376000</v>
      </c>
      <c r="M131" s="33">
        <v>107551.31999999999</v>
      </c>
      <c r="N131" s="33">
        <v>40029.648954036289</v>
      </c>
      <c r="O131" s="33">
        <v>10327.566809606886</v>
      </c>
      <c r="P131" s="33">
        <v>38294.617730022335</v>
      </c>
      <c r="Q131" s="45">
        <v>1879.6171593484532</v>
      </c>
      <c r="R131" s="33">
        <v>0</v>
      </c>
      <c r="S131" s="33">
        <v>57937.649801894629</v>
      </c>
      <c r="T131" s="33">
        <v>0</v>
      </c>
      <c r="U131" s="34"/>
      <c r="V13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632020.42045490863</v>
      </c>
      <c r="W131" s="33">
        <v>475.39</v>
      </c>
      <c r="X131" s="34">
        <v>45212</v>
      </c>
      <c r="Y131" s="33">
        <v>12229.01</v>
      </c>
      <c r="Z131" s="46">
        <f>Шаблон_Формулы_2[[#This Row],[23]]*Шаблон_Формулы_2[[#This Row],[25]]</f>
        <v>5813549.0638999995</v>
      </c>
      <c r="AA131" s="31" t="s">
        <v>536</v>
      </c>
    </row>
    <row r="132" spans="1:27">
      <c r="A132" s="49">
        <v>128</v>
      </c>
      <c r="B132" s="35" t="s">
        <v>364</v>
      </c>
      <c r="C132" s="35" t="s">
        <v>135</v>
      </c>
      <c r="D132" s="35" t="s">
        <v>21</v>
      </c>
      <c r="E132" s="34">
        <v>45179</v>
      </c>
      <c r="F132" s="35" t="s">
        <v>319</v>
      </c>
      <c r="G132" s="32" t="s">
        <v>509</v>
      </c>
      <c r="H132" s="50">
        <v>18.850000000000001</v>
      </c>
      <c r="I132" s="33">
        <v>6745</v>
      </c>
      <c r="J132" s="33" t="s">
        <v>86</v>
      </c>
      <c r="K132" s="50">
        <v>61.331000000000003</v>
      </c>
      <c r="L132" s="33">
        <v>376000</v>
      </c>
      <c r="M132" s="33">
        <v>160036.5</v>
      </c>
      <c r="N132" s="33">
        <v>59564.168202051165</v>
      </c>
      <c r="O132" s="33">
        <v>15367.432456669547</v>
      </c>
      <c r="P132" s="33">
        <v>56982.43954933068</v>
      </c>
      <c r="Q132" s="45">
        <v>2796.8727071138574</v>
      </c>
      <c r="R132" s="33">
        <v>0</v>
      </c>
      <c r="S132" s="33">
        <v>86211.296081916153</v>
      </c>
      <c r="T132" s="33">
        <v>0</v>
      </c>
      <c r="U132" s="34"/>
      <c r="V13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756958.7089970815</v>
      </c>
      <c r="W132" s="33">
        <v>569.37</v>
      </c>
      <c r="X132" s="34">
        <v>45212</v>
      </c>
      <c r="Y132" s="33">
        <v>12229.01</v>
      </c>
      <c r="Z132" s="46">
        <f>Шаблон_Формулы_2[[#This Row],[23]]*Шаблон_Формулы_2[[#This Row],[25]]</f>
        <v>6962831.4237000002</v>
      </c>
      <c r="AA132" s="31" t="s">
        <v>536</v>
      </c>
    </row>
    <row r="133" spans="1:27">
      <c r="A133" s="49">
        <v>129</v>
      </c>
      <c r="B133" s="35" t="s">
        <v>364</v>
      </c>
      <c r="C133" s="35" t="s">
        <v>135</v>
      </c>
      <c r="D133" s="35" t="s">
        <v>21</v>
      </c>
      <c r="E133" s="34">
        <v>45179</v>
      </c>
      <c r="F133" s="35" t="s">
        <v>319</v>
      </c>
      <c r="G133" s="32" t="s">
        <v>510</v>
      </c>
      <c r="H133" s="50">
        <v>11.35</v>
      </c>
      <c r="I133" s="33">
        <v>4658</v>
      </c>
      <c r="J133" s="33" t="s">
        <v>86</v>
      </c>
      <c r="K133" s="50">
        <v>61.331000000000003</v>
      </c>
      <c r="L133" s="33">
        <v>332000</v>
      </c>
      <c r="M133" s="33">
        <v>96361.5</v>
      </c>
      <c r="N133" s="33">
        <v>35864.897034126298</v>
      </c>
      <c r="O133" s="33">
        <v>9253.0694102493017</v>
      </c>
      <c r="P133" s="33">
        <v>34310.381373204415</v>
      </c>
      <c r="Q133" s="45">
        <v>1684.0586326653731</v>
      </c>
      <c r="R133" s="33">
        <v>0</v>
      </c>
      <c r="S133" s="33">
        <v>51909.719391498584</v>
      </c>
      <c r="T133" s="33">
        <v>0</v>
      </c>
      <c r="U133" s="34"/>
      <c r="V13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561383.62584174389</v>
      </c>
      <c r="W133" s="33">
        <v>422.26</v>
      </c>
      <c r="X133" s="34">
        <v>45212</v>
      </c>
      <c r="Y133" s="33">
        <v>12229.01</v>
      </c>
      <c r="Z133" s="46">
        <f>Шаблон_Формулы_2[[#This Row],[23]]*Шаблон_Формулы_2[[#This Row],[25]]</f>
        <v>5163821.7626</v>
      </c>
      <c r="AA133" s="31" t="s">
        <v>536</v>
      </c>
    </row>
    <row r="134" spans="1:27">
      <c r="A134" s="49">
        <v>130</v>
      </c>
      <c r="B134" s="35" t="s">
        <v>364</v>
      </c>
      <c r="C134" s="35" t="s">
        <v>135</v>
      </c>
      <c r="D134" s="35" t="s">
        <v>21</v>
      </c>
      <c r="E134" s="34">
        <v>45179</v>
      </c>
      <c r="F134" s="35" t="s">
        <v>98</v>
      </c>
      <c r="G134" s="32" t="s">
        <v>511</v>
      </c>
      <c r="H134" s="50">
        <v>14.747</v>
      </c>
      <c r="I134" s="33">
        <v>3012</v>
      </c>
      <c r="J134" s="33" t="s">
        <v>86</v>
      </c>
      <c r="K134" s="50">
        <v>61.331000000000003</v>
      </c>
      <c r="L134" s="33">
        <v>216500</v>
      </c>
      <c r="M134" s="33">
        <v>125202.03</v>
      </c>
      <c r="N134" s="33">
        <v>46599.08692178507</v>
      </c>
      <c r="O134" s="33">
        <v>12022.468246074579</v>
      </c>
      <c r="P134" s="33">
        <v>44579.312256444537</v>
      </c>
      <c r="Q134" s="45">
        <v>2188.0892207855732</v>
      </c>
      <c r="R134" s="33">
        <v>0</v>
      </c>
      <c r="S134" s="33">
        <v>67446.046860478382</v>
      </c>
      <c r="T134" s="33">
        <v>0</v>
      </c>
      <c r="U134" s="34"/>
      <c r="V13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514537.03350556816</v>
      </c>
      <c r="W134" s="33">
        <v>387.02</v>
      </c>
      <c r="X134" s="34">
        <v>45212</v>
      </c>
      <c r="Y134" s="33">
        <v>12229.01</v>
      </c>
      <c r="Z134" s="46">
        <f>Шаблон_Формулы_2[[#This Row],[23]]*Шаблон_Формулы_2[[#This Row],[25]]</f>
        <v>4732871.4501999998</v>
      </c>
      <c r="AA134" s="31" t="s">
        <v>536</v>
      </c>
    </row>
    <row r="135" spans="1:27">
      <c r="A135" s="49">
        <v>131</v>
      </c>
      <c r="B135" s="35" t="s">
        <v>364</v>
      </c>
      <c r="C135" s="35" t="s">
        <v>135</v>
      </c>
      <c r="D135" s="35" t="s">
        <v>21</v>
      </c>
      <c r="E135" s="34">
        <v>45179</v>
      </c>
      <c r="F135" s="35" t="s">
        <v>380</v>
      </c>
      <c r="G135" s="32" t="s">
        <v>512</v>
      </c>
      <c r="H135" s="50">
        <v>2.4289999999999998</v>
      </c>
      <c r="I135" s="33">
        <v>269.88</v>
      </c>
      <c r="J135" s="33" t="s">
        <v>86</v>
      </c>
      <c r="K135" s="50">
        <v>61.331000000000003</v>
      </c>
      <c r="L135" s="33">
        <v>282000</v>
      </c>
      <c r="M135" s="33">
        <v>20622.21</v>
      </c>
      <c r="N135" s="33">
        <v>7675.403955585266</v>
      </c>
      <c r="O135" s="33">
        <v>1980.2383786339694</v>
      </c>
      <c r="P135" s="33">
        <v>7342.7239079747587</v>
      </c>
      <c r="Q135" s="45">
        <v>360.40338491138243</v>
      </c>
      <c r="R135" s="33">
        <v>0</v>
      </c>
      <c r="S135" s="33">
        <v>11109.137304136568</v>
      </c>
      <c r="T135" s="33">
        <v>0</v>
      </c>
      <c r="U135" s="34"/>
      <c r="V13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331090.116931242</v>
      </c>
      <c r="W135" s="33">
        <v>249.04</v>
      </c>
      <c r="X135" s="34">
        <v>45212</v>
      </c>
      <c r="Y135" s="33">
        <v>12229.01</v>
      </c>
      <c r="Z135" s="46">
        <f>Шаблон_Формулы_2[[#This Row],[23]]*Шаблон_Формулы_2[[#This Row],[25]]</f>
        <v>3045512.6504000002</v>
      </c>
      <c r="AA135" s="31" t="s">
        <v>536</v>
      </c>
    </row>
    <row r="136" spans="1:27">
      <c r="A136" s="49">
        <v>132</v>
      </c>
      <c r="B136" s="35" t="s">
        <v>364</v>
      </c>
      <c r="C136" s="35" t="s">
        <v>135</v>
      </c>
      <c r="D136" s="35" t="s">
        <v>21</v>
      </c>
      <c r="E136" s="34">
        <v>45179</v>
      </c>
      <c r="F136" s="35" t="s">
        <v>105</v>
      </c>
      <c r="G136" s="32" t="s">
        <v>513</v>
      </c>
      <c r="H136" s="50">
        <v>0.47699999999999998</v>
      </c>
      <c r="I136" s="33">
        <v>14</v>
      </c>
      <c r="J136" s="33" t="s">
        <v>86</v>
      </c>
      <c r="K136" s="50">
        <v>61.331000000000003</v>
      </c>
      <c r="L136" s="33">
        <v>288000</v>
      </c>
      <c r="M136" s="33">
        <v>4049.73</v>
      </c>
      <c r="N136" s="33">
        <v>1507.2736462800215</v>
      </c>
      <c r="O136" s="33">
        <v>388.87348975232749</v>
      </c>
      <c r="P136" s="33">
        <v>1441.9429000016303</v>
      </c>
      <c r="Q136" s="45">
        <v>70.774975134923608</v>
      </c>
      <c r="R136" s="33">
        <v>0</v>
      </c>
      <c r="S136" s="33">
        <v>2181.5802775105572</v>
      </c>
      <c r="T136" s="33">
        <v>0</v>
      </c>
      <c r="U136" s="34"/>
      <c r="V13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297640.17528867949</v>
      </c>
      <c r="W136" s="33">
        <v>223.88</v>
      </c>
      <c r="X136" s="34">
        <v>45212</v>
      </c>
      <c r="Y136" s="33">
        <v>12229.01</v>
      </c>
      <c r="Z136" s="46">
        <f>Шаблон_Формулы_2[[#This Row],[23]]*Шаблон_Формулы_2[[#This Row],[25]]</f>
        <v>2737830.7588</v>
      </c>
      <c r="AA136" s="31" t="s">
        <v>536</v>
      </c>
    </row>
    <row r="137" spans="1:27" ht="24.6">
      <c r="A137" s="49">
        <v>133</v>
      </c>
      <c r="B137" s="35" t="s">
        <v>364</v>
      </c>
      <c r="C137" s="35" t="s">
        <v>135</v>
      </c>
      <c r="D137" s="35" t="s">
        <v>21</v>
      </c>
      <c r="E137" s="34">
        <v>45179</v>
      </c>
      <c r="F137" s="35" t="s">
        <v>381</v>
      </c>
      <c r="G137" s="32" t="s">
        <v>514</v>
      </c>
      <c r="H137" s="50">
        <v>0.81</v>
      </c>
      <c r="I137" s="33">
        <v>284</v>
      </c>
      <c r="J137" s="33" t="s">
        <v>96</v>
      </c>
      <c r="K137" s="50">
        <v>61.331000000000003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45">
        <v>0</v>
      </c>
      <c r="R137" s="33">
        <v>0</v>
      </c>
      <c r="S137" s="33">
        <v>0</v>
      </c>
      <c r="T137" s="33">
        <v>0</v>
      </c>
      <c r="U137" s="34"/>
      <c r="V13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37" s="33">
        <v>0</v>
      </c>
      <c r="X137" s="34">
        <v>45212</v>
      </c>
      <c r="Y137" s="33">
        <v>12229.01</v>
      </c>
      <c r="Z137" s="46">
        <f>Шаблон_Формулы_2[[#This Row],[23]]*Шаблон_Формулы_2[[#This Row],[25]]</f>
        <v>0</v>
      </c>
      <c r="AA137" s="31" t="s">
        <v>536</v>
      </c>
    </row>
    <row r="138" spans="1:27">
      <c r="A138" s="49">
        <v>134</v>
      </c>
      <c r="B138" s="35" t="s">
        <v>365</v>
      </c>
      <c r="C138" s="35" t="s">
        <v>135</v>
      </c>
      <c r="D138" s="35" t="s">
        <v>21</v>
      </c>
      <c r="E138" s="34">
        <v>45179</v>
      </c>
      <c r="F138" s="35" t="s">
        <v>99</v>
      </c>
      <c r="G138" s="32" t="s">
        <v>515</v>
      </c>
      <c r="H138" s="50">
        <v>54.673999999999999</v>
      </c>
      <c r="I138" s="33">
        <v>3815.36</v>
      </c>
      <c r="J138" s="33" t="s">
        <v>86</v>
      </c>
      <c r="K138" s="50">
        <v>54.673999999999999</v>
      </c>
      <c r="L138" s="33">
        <v>1504000</v>
      </c>
      <c r="M138" s="33">
        <v>464182.26</v>
      </c>
      <c r="N138" s="33">
        <v>193800</v>
      </c>
      <c r="O138" s="33">
        <v>50000</v>
      </c>
      <c r="P138" s="33">
        <v>185400</v>
      </c>
      <c r="Q138" s="45">
        <v>9100</v>
      </c>
      <c r="R138" s="33">
        <v>0</v>
      </c>
      <c r="S138" s="33">
        <v>280500</v>
      </c>
      <c r="T138" s="33">
        <v>0</v>
      </c>
      <c r="U138" s="34"/>
      <c r="V13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2686982.26</v>
      </c>
      <c r="W138" s="33">
        <v>2021.09</v>
      </c>
      <c r="X138" s="34">
        <v>45212</v>
      </c>
      <c r="Y138" s="33">
        <v>12229.01</v>
      </c>
      <c r="Z138" s="46">
        <f>Шаблон_Формулы_2[[#This Row],[23]]*Шаблон_Формулы_2[[#This Row],[25]]</f>
        <v>24715929.820900001</v>
      </c>
      <c r="AA138" s="31" t="s">
        <v>536</v>
      </c>
    </row>
    <row r="139" spans="1:27">
      <c r="A139" s="49">
        <v>135</v>
      </c>
      <c r="B139" s="35" t="s">
        <v>366</v>
      </c>
      <c r="C139" s="35" t="s">
        <v>135</v>
      </c>
      <c r="D139" s="35" t="s">
        <v>21</v>
      </c>
      <c r="E139" s="34">
        <v>45179</v>
      </c>
      <c r="F139" s="35" t="s">
        <v>99</v>
      </c>
      <c r="G139" s="32" t="s">
        <v>516</v>
      </c>
      <c r="H139" s="50">
        <v>13.667999999999999</v>
      </c>
      <c r="I139" s="33">
        <v>953.84</v>
      </c>
      <c r="J139" s="33" t="s">
        <v>86</v>
      </c>
      <c r="K139" s="50">
        <v>55.210999999999999</v>
      </c>
      <c r="L139" s="33">
        <v>632500</v>
      </c>
      <c r="M139" s="33">
        <v>116041.31999999999</v>
      </c>
      <c r="N139" s="33">
        <v>47977.004582420166</v>
      </c>
      <c r="O139" s="33">
        <v>12377.968158519136</v>
      </c>
      <c r="P139" s="33">
        <v>45897.505931788954</v>
      </c>
      <c r="Q139" s="45">
        <v>2252.7902048504825</v>
      </c>
      <c r="R139" s="33">
        <v>0</v>
      </c>
      <c r="S139" s="33">
        <v>69440.401369292347</v>
      </c>
      <c r="T139" s="33">
        <v>0</v>
      </c>
      <c r="U139" s="34"/>
      <c r="V13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926486.99024687102</v>
      </c>
      <c r="W139" s="33">
        <v>696.88</v>
      </c>
      <c r="X139" s="34">
        <v>45212</v>
      </c>
      <c r="Y139" s="33">
        <v>12229.01</v>
      </c>
      <c r="Z139" s="46">
        <f>Шаблон_Формулы_2[[#This Row],[23]]*Шаблон_Формулы_2[[#This Row],[25]]</f>
        <v>8522152.4888000004</v>
      </c>
      <c r="AA139" s="31" t="s">
        <v>536</v>
      </c>
    </row>
    <row r="140" spans="1:27">
      <c r="A140" s="49">
        <v>136</v>
      </c>
      <c r="B140" s="35" t="s">
        <v>366</v>
      </c>
      <c r="C140" s="35" t="s">
        <v>135</v>
      </c>
      <c r="D140" s="35" t="s">
        <v>21</v>
      </c>
      <c r="E140" s="34">
        <v>45179</v>
      </c>
      <c r="F140" s="35" t="s">
        <v>99</v>
      </c>
      <c r="G140" s="32" t="s">
        <v>517</v>
      </c>
      <c r="H140" s="50">
        <v>32.055999999999997</v>
      </c>
      <c r="I140" s="33">
        <v>2788.41</v>
      </c>
      <c r="J140" s="33" t="s">
        <v>86</v>
      </c>
      <c r="K140" s="50">
        <v>55.210999999999999</v>
      </c>
      <c r="L140" s="33">
        <v>752000</v>
      </c>
      <c r="M140" s="33">
        <v>272155.44</v>
      </c>
      <c r="N140" s="33">
        <v>112522.01191791492</v>
      </c>
      <c r="O140" s="33">
        <v>29030.446831247398</v>
      </c>
      <c r="P140" s="33">
        <v>107644.89685026534</v>
      </c>
      <c r="Q140" s="45">
        <v>5283.541323287026</v>
      </c>
      <c r="R140" s="33">
        <v>0</v>
      </c>
      <c r="S140" s="33">
        <v>162860.80672329789</v>
      </c>
      <c r="T140" s="33">
        <v>0</v>
      </c>
      <c r="U140" s="34"/>
      <c r="V14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1441497.1436460123</v>
      </c>
      <c r="W140" s="33">
        <v>1084.26</v>
      </c>
      <c r="X140" s="34">
        <v>45212</v>
      </c>
      <c r="Y140" s="33">
        <v>12229.01</v>
      </c>
      <c r="Z140" s="46">
        <f>Шаблон_Формулы_2[[#This Row],[23]]*Шаблон_Формулы_2[[#This Row],[25]]</f>
        <v>13259426.3826</v>
      </c>
      <c r="AA140" s="31" t="s">
        <v>536</v>
      </c>
    </row>
    <row r="141" spans="1:27">
      <c r="A141" s="49">
        <v>137</v>
      </c>
      <c r="B141" s="35" t="s">
        <v>366</v>
      </c>
      <c r="C141" s="35" t="s">
        <v>135</v>
      </c>
      <c r="D141" s="35" t="s">
        <v>21</v>
      </c>
      <c r="E141" s="34">
        <v>45179</v>
      </c>
      <c r="F141" s="35" t="s">
        <v>99</v>
      </c>
      <c r="G141" s="32" t="s">
        <v>518</v>
      </c>
      <c r="H141" s="50">
        <v>8.9049999999999994</v>
      </c>
      <c r="I141" s="33">
        <v>684.09</v>
      </c>
      <c r="J141" s="33" t="s">
        <v>86</v>
      </c>
      <c r="K141" s="50">
        <v>55.210999999999999</v>
      </c>
      <c r="L141" s="33">
        <v>632500</v>
      </c>
      <c r="M141" s="33">
        <v>75603.45</v>
      </c>
      <c r="N141" s="33">
        <v>31258.06451612903</v>
      </c>
      <c r="O141" s="33">
        <v>8064.5161290322576</v>
      </c>
      <c r="P141" s="33">
        <v>29903.225806451614</v>
      </c>
      <c r="Q141" s="45">
        <v>1467.741935483871</v>
      </c>
      <c r="R141" s="33">
        <v>0</v>
      </c>
      <c r="S141" s="33">
        <v>45241.93548387097</v>
      </c>
      <c r="T141" s="33">
        <v>0</v>
      </c>
      <c r="U141" s="34"/>
      <c r="V14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824038.93387096771</v>
      </c>
      <c r="W141" s="33">
        <v>619.82000000000005</v>
      </c>
      <c r="X141" s="34">
        <v>45212</v>
      </c>
      <c r="Y141" s="33">
        <v>12229.01</v>
      </c>
      <c r="Z141" s="46">
        <f>Шаблон_Формулы_2[[#This Row],[23]]*Шаблон_Формулы_2[[#This Row],[25]]</f>
        <v>7579784.9782000007</v>
      </c>
      <c r="AA141" s="31" t="s">
        <v>536</v>
      </c>
    </row>
    <row r="142" spans="1:27">
      <c r="A142" s="49">
        <v>138</v>
      </c>
      <c r="B142" s="35" t="s">
        <v>366</v>
      </c>
      <c r="C142" s="35" t="s">
        <v>135</v>
      </c>
      <c r="D142" s="35" t="s">
        <v>21</v>
      </c>
      <c r="E142" s="34">
        <v>45179</v>
      </c>
      <c r="F142" s="35" t="s">
        <v>109</v>
      </c>
      <c r="G142" s="32" t="s">
        <v>519</v>
      </c>
      <c r="H142" s="50">
        <v>0.58199999999999996</v>
      </c>
      <c r="I142" s="33">
        <v>379.8</v>
      </c>
      <c r="J142" s="33" t="s">
        <v>86</v>
      </c>
      <c r="K142" s="50">
        <v>55.210999999999999</v>
      </c>
      <c r="L142" s="33">
        <v>275000</v>
      </c>
      <c r="M142" s="33">
        <v>4941.1799999999994</v>
      </c>
      <c r="N142" s="33">
        <v>2042.9189835358895</v>
      </c>
      <c r="O142" s="33">
        <v>527.06888120120993</v>
      </c>
      <c r="P142" s="33">
        <v>1954.3714114940863</v>
      </c>
      <c r="Q142" s="45">
        <v>95.926536378620199</v>
      </c>
      <c r="R142" s="33">
        <v>0</v>
      </c>
      <c r="S142" s="33">
        <v>2956.8564235387876</v>
      </c>
      <c r="T142" s="33">
        <v>0</v>
      </c>
      <c r="U142" s="34"/>
      <c r="V14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287518.32223614858</v>
      </c>
      <c r="W142" s="33">
        <v>216.27</v>
      </c>
      <c r="X142" s="34">
        <v>45212</v>
      </c>
      <c r="Y142" s="33">
        <v>12229.01</v>
      </c>
      <c r="Z142" s="46">
        <f>Шаблон_Формулы_2[[#This Row],[23]]*Шаблон_Формулы_2[[#This Row],[25]]</f>
        <v>2644767.9927000003</v>
      </c>
      <c r="AA142" s="31" t="s">
        <v>536</v>
      </c>
    </row>
    <row r="143" spans="1:27">
      <c r="A143" s="49">
        <v>139</v>
      </c>
      <c r="B143" s="35" t="s">
        <v>367</v>
      </c>
      <c r="C143" s="35" t="s">
        <v>135</v>
      </c>
      <c r="D143" s="35" t="s">
        <v>21</v>
      </c>
      <c r="E143" s="34">
        <v>45179</v>
      </c>
      <c r="F143" s="35" t="s">
        <v>91</v>
      </c>
      <c r="G143" s="32" t="s">
        <v>520</v>
      </c>
      <c r="H143" s="50">
        <v>16.495000000000001</v>
      </c>
      <c r="I143" s="33">
        <v>3291</v>
      </c>
      <c r="J143" s="33" t="s">
        <v>86</v>
      </c>
      <c r="K143" s="50">
        <v>58.88</v>
      </c>
      <c r="L143" s="33">
        <v>562000</v>
      </c>
      <c r="M143" s="33">
        <v>140042.55000000002</v>
      </c>
      <c r="N143" s="33">
        <v>54292.306385869568</v>
      </c>
      <c r="O143" s="33">
        <v>14007.302989130436</v>
      </c>
      <c r="P143" s="33">
        <v>51939.079483695656</v>
      </c>
      <c r="Q143" s="45">
        <v>2549.329144021739</v>
      </c>
      <c r="R143" s="33">
        <v>0</v>
      </c>
      <c r="S143" s="33">
        <v>78580.969769021744</v>
      </c>
      <c r="T143" s="33">
        <v>0</v>
      </c>
      <c r="U143" s="34"/>
      <c r="V14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903411.5377717393</v>
      </c>
      <c r="W143" s="33">
        <v>679.53</v>
      </c>
      <c r="X143" s="34">
        <v>45212</v>
      </c>
      <c r="Y143" s="33">
        <v>12229.01</v>
      </c>
      <c r="Z143" s="46">
        <f>Шаблон_Формулы_2[[#This Row],[23]]*Шаблон_Формулы_2[[#This Row],[25]]</f>
        <v>8309979.1652999995</v>
      </c>
      <c r="AA143" s="31" t="s">
        <v>536</v>
      </c>
    </row>
    <row r="144" spans="1:27">
      <c r="A144" s="49">
        <v>140</v>
      </c>
      <c r="B144" s="35" t="s">
        <v>367</v>
      </c>
      <c r="C144" s="35" t="s">
        <v>135</v>
      </c>
      <c r="D144" s="35" t="s">
        <v>21</v>
      </c>
      <c r="E144" s="34">
        <v>45179</v>
      </c>
      <c r="F144" s="35" t="s">
        <v>325</v>
      </c>
      <c r="G144" s="32" t="s">
        <v>521</v>
      </c>
      <c r="H144" s="50">
        <v>22.34</v>
      </c>
      <c r="I144" s="33">
        <v>8920</v>
      </c>
      <c r="J144" s="33" t="s">
        <v>96</v>
      </c>
      <c r="K144" s="50">
        <v>58.88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45">
        <v>0</v>
      </c>
      <c r="R144" s="33">
        <v>0</v>
      </c>
      <c r="S144" s="33">
        <v>0</v>
      </c>
      <c r="T144" s="33">
        <v>0</v>
      </c>
      <c r="U144" s="34"/>
      <c r="V14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44" s="33">
        <v>0</v>
      </c>
      <c r="X144" s="34">
        <v>45212</v>
      </c>
      <c r="Y144" s="33">
        <v>12229.01</v>
      </c>
      <c r="Z144" s="46">
        <f>Шаблон_Формулы_2[[#This Row],[23]]*Шаблон_Формулы_2[[#This Row],[25]]</f>
        <v>0</v>
      </c>
      <c r="AA144" s="31" t="s">
        <v>536</v>
      </c>
    </row>
    <row r="145" spans="1:27">
      <c r="A145" s="49">
        <v>141</v>
      </c>
      <c r="B145" s="35" t="s">
        <v>367</v>
      </c>
      <c r="C145" s="35" t="s">
        <v>135</v>
      </c>
      <c r="D145" s="35" t="s">
        <v>21</v>
      </c>
      <c r="E145" s="34">
        <v>45179</v>
      </c>
      <c r="F145" s="35" t="s">
        <v>325</v>
      </c>
      <c r="G145" s="32" t="s">
        <v>522</v>
      </c>
      <c r="H145" s="50">
        <v>17.87</v>
      </c>
      <c r="I145" s="33">
        <v>6480</v>
      </c>
      <c r="J145" s="33" t="s">
        <v>96</v>
      </c>
      <c r="K145" s="50">
        <v>58.88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45">
        <v>0</v>
      </c>
      <c r="R145" s="33">
        <v>0</v>
      </c>
      <c r="S145" s="33">
        <v>0</v>
      </c>
      <c r="T145" s="33">
        <v>0</v>
      </c>
      <c r="U145" s="34"/>
      <c r="V14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45" s="33">
        <v>0</v>
      </c>
      <c r="X145" s="34">
        <v>45212</v>
      </c>
      <c r="Y145" s="33">
        <v>12229.01</v>
      </c>
      <c r="Z145" s="46">
        <f>Шаблон_Формулы_2[[#This Row],[23]]*Шаблон_Формулы_2[[#This Row],[25]]</f>
        <v>0</v>
      </c>
      <c r="AA145" s="31" t="s">
        <v>536</v>
      </c>
    </row>
    <row r="146" spans="1:27">
      <c r="A146" s="49">
        <v>142</v>
      </c>
      <c r="B146" s="35" t="s">
        <v>367</v>
      </c>
      <c r="C146" s="35" t="s">
        <v>135</v>
      </c>
      <c r="D146" s="35" t="s">
        <v>21</v>
      </c>
      <c r="E146" s="34">
        <v>45179</v>
      </c>
      <c r="F146" s="35" t="s">
        <v>325</v>
      </c>
      <c r="G146" s="32" t="s">
        <v>523</v>
      </c>
      <c r="H146" s="50">
        <v>2.06</v>
      </c>
      <c r="I146" s="33">
        <v>2501</v>
      </c>
      <c r="J146" s="33" t="s">
        <v>96</v>
      </c>
      <c r="K146" s="50">
        <v>58.88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45">
        <v>0</v>
      </c>
      <c r="R146" s="33">
        <v>0</v>
      </c>
      <c r="S146" s="33">
        <v>0</v>
      </c>
      <c r="T146" s="33">
        <v>0</v>
      </c>
      <c r="U146" s="34"/>
      <c r="V14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46" s="33">
        <v>0</v>
      </c>
      <c r="X146" s="34">
        <v>45212</v>
      </c>
      <c r="Y146" s="33">
        <v>12229.01</v>
      </c>
      <c r="Z146" s="46">
        <f>Шаблон_Формулы_2[[#This Row],[23]]*Шаблон_Формулы_2[[#This Row],[25]]</f>
        <v>0</v>
      </c>
      <c r="AA146" s="31" t="s">
        <v>536</v>
      </c>
    </row>
    <row r="147" spans="1:27">
      <c r="A147" s="49">
        <v>143</v>
      </c>
      <c r="B147" s="35" t="s">
        <v>367</v>
      </c>
      <c r="C147" s="35" t="s">
        <v>135</v>
      </c>
      <c r="D147" s="35" t="s">
        <v>21</v>
      </c>
      <c r="E147" s="34">
        <v>45179</v>
      </c>
      <c r="F147" s="35" t="s">
        <v>325</v>
      </c>
      <c r="G147" s="32" t="s">
        <v>524</v>
      </c>
      <c r="H147" s="50">
        <v>0.115</v>
      </c>
      <c r="I147" s="33">
        <v>90</v>
      </c>
      <c r="J147" s="33" t="s">
        <v>96</v>
      </c>
      <c r="K147" s="50">
        <v>58.88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45">
        <v>0</v>
      </c>
      <c r="R147" s="33">
        <v>0</v>
      </c>
      <c r="S147" s="33">
        <v>0</v>
      </c>
      <c r="T147" s="33">
        <v>0</v>
      </c>
      <c r="U147" s="34"/>
      <c r="V14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47" s="33">
        <v>0</v>
      </c>
      <c r="X147" s="34">
        <v>45212</v>
      </c>
      <c r="Y147" s="33">
        <v>12229.01</v>
      </c>
      <c r="Z147" s="46">
        <f>Шаблон_Формулы_2[[#This Row],[23]]*Шаблон_Формулы_2[[#This Row],[25]]</f>
        <v>0</v>
      </c>
      <c r="AA147" s="31" t="s">
        <v>536</v>
      </c>
    </row>
    <row r="148" spans="1:27">
      <c r="A148" s="49">
        <v>144</v>
      </c>
      <c r="B148" s="35" t="s">
        <v>368</v>
      </c>
      <c r="C148" s="35" t="s">
        <v>135</v>
      </c>
      <c r="D148" s="35" t="s">
        <v>21</v>
      </c>
      <c r="E148" s="34">
        <v>45179</v>
      </c>
      <c r="F148" s="35" t="s">
        <v>94</v>
      </c>
      <c r="G148" s="32" t="s">
        <v>525</v>
      </c>
      <c r="H148" s="50">
        <v>51.87</v>
      </c>
      <c r="I148" s="33">
        <v>10550</v>
      </c>
      <c r="J148" s="33" t="s">
        <v>86</v>
      </c>
      <c r="K148" s="50">
        <v>58.360999999999997</v>
      </c>
      <c r="L148" s="33">
        <v>1148000</v>
      </c>
      <c r="M148" s="33">
        <v>440376.3</v>
      </c>
      <c r="N148" s="33">
        <v>172245.26653073114</v>
      </c>
      <c r="O148" s="33">
        <v>44438.923253542605</v>
      </c>
      <c r="P148" s="33">
        <v>164779.52742413597</v>
      </c>
      <c r="Q148" s="45">
        <v>8087.8840321447542</v>
      </c>
      <c r="R148" s="33">
        <v>0</v>
      </c>
      <c r="S148" s="33">
        <v>249302.35945237402</v>
      </c>
      <c r="T148" s="33">
        <v>0</v>
      </c>
      <c r="U148" s="34"/>
      <c r="V14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2227230.2606929285</v>
      </c>
      <c r="W148" s="33">
        <v>1675.28</v>
      </c>
      <c r="X148" s="34">
        <v>45212</v>
      </c>
      <c r="Y148" s="33">
        <v>12229.01</v>
      </c>
      <c r="Z148" s="46">
        <f>Шаблон_Формулы_2[[#This Row],[23]]*Шаблон_Формулы_2[[#This Row],[25]]</f>
        <v>20487015.8728</v>
      </c>
      <c r="AA148" s="31" t="s">
        <v>536</v>
      </c>
    </row>
    <row r="149" spans="1:27">
      <c r="A149" s="49">
        <v>145</v>
      </c>
      <c r="B149" s="35" t="s">
        <v>368</v>
      </c>
      <c r="C149" s="35" t="s">
        <v>135</v>
      </c>
      <c r="D149" s="35" t="s">
        <v>21</v>
      </c>
      <c r="E149" s="34">
        <v>45179</v>
      </c>
      <c r="F149" s="35" t="s">
        <v>95</v>
      </c>
      <c r="G149" s="32" t="s">
        <v>526</v>
      </c>
      <c r="H149" s="50">
        <v>6.4909999999999997</v>
      </c>
      <c r="I149" s="33">
        <v>2270.31</v>
      </c>
      <c r="J149" s="33" t="s">
        <v>96</v>
      </c>
      <c r="K149" s="50">
        <v>58.360999999999997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45">
        <v>0</v>
      </c>
      <c r="R149" s="33">
        <v>0</v>
      </c>
      <c r="S149" s="33">
        <v>0</v>
      </c>
      <c r="T149" s="33">
        <v>0</v>
      </c>
      <c r="U149" s="34"/>
      <c r="V149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0</v>
      </c>
      <c r="W149" s="33">
        <v>0</v>
      </c>
      <c r="X149" s="34">
        <v>45212</v>
      </c>
      <c r="Y149" s="33">
        <v>12229.01</v>
      </c>
      <c r="Z149" s="46">
        <f>Шаблон_Формулы_2[[#This Row],[23]]*Шаблон_Формулы_2[[#This Row],[25]]</f>
        <v>0</v>
      </c>
      <c r="AA149" s="31" t="s">
        <v>536</v>
      </c>
    </row>
    <row r="150" spans="1:27">
      <c r="A150" s="49">
        <v>146</v>
      </c>
      <c r="B150" s="35" t="s">
        <v>369</v>
      </c>
      <c r="C150" s="35" t="s">
        <v>135</v>
      </c>
      <c r="D150" s="35" t="s">
        <v>21</v>
      </c>
      <c r="E150" s="34">
        <v>45179</v>
      </c>
      <c r="F150" s="35" t="s">
        <v>108</v>
      </c>
      <c r="G150" s="32" t="s">
        <v>527</v>
      </c>
      <c r="H150" s="50">
        <v>11.94</v>
      </c>
      <c r="I150" s="33">
        <v>976.8</v>
      </c>
      <c r="J150" s="33" t="s">
        <v>86</v>
      </c>
      <c r="K150" s="50">
        <v>33.655000000000008</v>
      </c>
      <c r="L150" s="33">
        <v>238000</v>
      </c>
      <c r="M150" s="33">
        <v>101370.59999999999</v>
      </c>
      <c r="N150" s="33">
        <v>68755.667805675213</v>
      </c>
      <c r="O150" s="33">
        <v>17738.820383301139</v>
      </c>
      <c r="P150" s="33">
        <v>65775.545981280622</v>
      </c>
      <c r="Q150" s="45">
        <v>3228.465309760807</v>
      </c>
      <c r="R150" s="33">
        <v>0</v>
      </c>
      <c r="S150" s="33">
        <v>99514.782350319379</v>
      </c>
      <c r="T150" s="33">
        <v>0</v>
      </c>
      <c r="U150" s="34"/>
      <c r="V150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594383.88183033711</v>
      </c>
      <c r="W150" s="33">
        <v>447.08</v>
      </c>
      <c r="X150" s="34">
        <v>45212</v>
      </c>
      <c r="Y150" s="33">
        <v>12229.01</v>
      </c>
      <c r="Z150" s="46">
        <f>Шаблон_Формулы_2[[#This Row],[23]]*Шаблон_Формулы_2[[#This Row],[25]]</f>
        <v>5467345.7907999996</v>
      </c>
      <c r="AA150" s="31" t="s">
        <v>536</v>
      </c>
    </row>
    <row r="151" spans="1:27">
      <c r="A151" s="49">
        <v>147</v>
      </c>
      <c r="B151" s="35" t="s">
        <v>369</v>
      </c>
      <c r="C151" s="35" t="s">
        <v>135</v>
      </c>
      <c r="D151" s="35" t="s">
        <v>21</v>
      </c>
      <c r="E151" s="34">
        <v>45179</v>
      </c>
      <c r="F151" s="35" t="s">
        <v>320</v>
      </c>
      <c r="G151" s="32" t="s">
        <v>528</v>
      </c>
      <c r="H151" s="50">
        <v>8.0570000000000004</v>
      </c>
      <c r="I151" s="33">
        <v>8476</v>
      </c>
      <c r="J151" s="33" t="s">
        <v>86</v>
      </c>
      <c r="K151" s="50">
        <v>33.655000000000008</v>
      </c>
      <c r="L151" s="33">
        <v>752000</v>
      </c>
      <c r="M151" s="33">
        <v>68403.930000000008</v>
      </c>
      <c r="N151" s="33">
        <v>46395.679690982011</v>
      </c>
      <c r="O151" s="33">
        <v>11969.989600356557</v>
      </c>
      <c r="P151" s="33">
        <v>44384.721438122113</v>
      </c>
      <c r="Q151" s="45">
        <v>2178.5381072648934</v>
      </c>
      <c r="R151" s="33">
        <v>0</v>
      </c>
      <c r="S151" s="33">
        <v>67151.641658000284</v>
      </c>
      <c r="T151" s="33">
        <v>0</v>
      </c>
      <c r="U151" s="34"/>
      <c r="V151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992484.50049472589</v>
      </c>
      <c r="W151" s="33">
        <v>746.53</v>
      </c>
      <c r="X151" s="34">
        <v>45212</v>
      </c>
      <c r="Y151" s="33">
        <v>12229.01</v>
      </c>
      <c r="Z151" s="46">
        <f>Шаблон_Формулы_2[[#This Row],[23]]*Шаблон_Формулы_2[[#This Row],[25]]</f>
        <v>9129322.8353000004</v>
      </c>
      <c r="AA151" s="31" t="s">
        <v>536</v>
      </c>
    </row>
    <row r="152" spans="1:27">
      <c r="A152" s="49">
        <v>148</v>
      </c>
      <c r="B152" s="35" t="s">
        <v>369</v>
      </c>
      <c r="C152" s="35" t="s">
        <v>135</v>
      </c>
      <c r="D152" s="35" t="s">
        <v>21</v>
      </c>
      <c r="E152" s="34">
        <v>45179</v>
      </c>
      <c r="F152" s="35" t="s">
        <v>258</v>
      </c>
      <c r="G152" s="32" t="s">
        <v>529</v>
      </c>
      <c r="H152" s="50">
        <v>6.84</v>
      </c>
      <c r="I152" s="33">
        <v>7388.05</v>
      </c>
      <c r="J152" s="33" t="s">
        <v>86</v>
      </c>
      <c r="K152" s="50">
        <v>33.655000000000008</v>
      </c>
      <c r="L152" s="33">
        <v>535000</v>
      </c>
      <c r="M152" s="33">
        <v>58071.6</v>
      </c>
      <c r="N152" s="33">
        <v>39387.668994205902</v>
      </c>
      <c r="O152" s="33">
        <v>10161.937305006682</v>
      </c>
      <c r="P152" s="33">
        <v>37680.463526964777</v>
      </c>
      <c r="Q152" s="45">
        <v>1849.4725895112163</v>
      </c>
      <c r="R152" s="33">
        <v>0</v>
      </c>
      <c r="S152" s="33">
        <v>57008.468281087487</v>
      </c>
      <c r="T152" s="33">
        <v>0</v>
      </c>
      <c r="U152" s="34"/>
      <c r="V152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739159.61069677596</v>
      </c>
      <c r="W152" s="33">
        <v>555.98</v>
      </c>
      <c r="X152" s="34">
        <v>45212</v>
      </c>
      <c r="Y152" s="33">
        <v>12229.01</v>
      </c>
      <c r="Z152" s="46">
        <f>Шаблон_Формулы_2[[#This Row],[23]]*Шаблон_Формулы_2[[#This Row],[25]]</f>
        <v>6799084.9798000008</v>
      </c>
      <c r="AA152" s="31" t="s">
        <v>536</v>
      </c>
    </row>
    <row r="153" spans="1:27">
      <c r="A153" s="49">
        <v>149</v>
      </c>
      <c r="B153" s="35" t="s">
        <v>369</v>
      </c>
      <c r="C153" s="35" t="s">
        <v>135</v>
      </c>
      <c r="D153" s="35" t="s">
        <v>21</v>
      </c>
      <c r="E153" s="34">
        <v>45179</v>
      </c>
      <c r="F153" s="35" t="s">
        <v>103</v>
      </c>
      <c r="G153" s="32" t="s">
        <v>530</v>
      </c>
      <c r="H153" s="50">
        <v>1.58</v>
      </c>
      <c r="I153" s="33">
        <v>1722.73</v>
      </c>
      <c r="J153" s="33" t="s">
        <v>86</v>
      </c>
      <c r="K153" s="50">
        <v>33.655000000000008</v>
      </c>
      <c r="L153" s="33">
        <v>391000</v>
      </c>
      <c r="M153" s="33">
        <v>13414.2</v>
      </c>
      <c r="N153" s="33">
        <v>9098.3212004159832</v>
      </c>
      <c r="O153" s="33">
        <v>2347.3480909225964</v>
      </c>
      <c r="P153" s="33">
        <v>8703.9667211409869</v>
      </c>
      <c r="Q153" s="45">
        <v>427.21735254791253</v>
      </c>
      <c r="R153" s="33">
        <v>0</v>
      </c>
      <c r="S153" s="33">
        <v>13168.622790075766</v>
      </c>
      <c r="T153" s="33">
        <v>0</v>
      </c>
      <c r="U153" s="34"/>
      <c r="V153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438159.67615510325</v>
      </c>
      <c r="W153" s="33">
        <v>329.57</v>
      </c>
      <c r="X153" s="34">
        <v>45212</v>
      </c>
      <c r="Y153" s="33">
        <v>12229.01</v>
      </c>
      <c r="Z153" s="46">
        <f>Шаблон_Формулы_2[[#This Row],[23]]*Шаблон_Формулы_2[[#This Row],[25]]</f>
        <v>4030314.8256999999</v>
      </c>
      <c r="AA153" s="31" t="s">
        <v>536</v>
      </c>
    </row>
    <row r="154" spans="1:27">
      <c r="A154" s="49">
        <v>150</v>
      </c>
      <c r="B154" s="35" t="s">
        <v>369</v>
      </c>
      <c r="C154" s="35" t="s">
        <v>135</v>
      </c>
      <c r="D154" s="35" t="s">
        <v>21</v>
      </c>
      <c r="E154" s="34">
        <v>45179</v>
      </c>
      <c r="F154" s="35" t="s">
        <v>382</v>
      </c>
      <c r="G154" s="32" t="s">
        <v>531</v>
      </c>
      <c r="H154" s="50">
        <v>2.1779999999999999</v>
      </c>
      <c r="I154" s="33">
        <v>1743.57</v>
      </c>
      <c r="J154" s="33" t="s">
        <v>86</v>
      </c>
      <c r="K154" s="50">
        <v>33.655000000000008</v>
      </c>
      <c r="L154" s="33">
        <v>391000</v>
      </c>
      <c r="M154" s="33">
        <v>18491.22</v>
      </c>
      <c r="N154" s="33">
        <v>12541.863021839246</v>
      </c>
      <c r="O154" s="33">
        <v>3235.7747734363384</v>
      </c>
      <c r="P154" s="33">
        <v>11998.252859901942</v>
      </c>
      <c r="Q154" s="45">
        <v>588.9110087654135</v>
      </c>
      <c r="R154" s="33">
        <v>0</v>
      </c>
      <c r="S154" s="33">
        <v>18152.696478977858</v>
      </c>
      <c r="T154" s="33">
        <v>0</v>
      </c>
      <c r="U154" s="34"/>
      <c r="V154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456008.71814292076</v>
      </c>
      <c r="W154" s="33">
        <v>343</v>
      </c>
      <c r="X154" s="34">
        <v>45212</v>
      </c>
      <c r="Y154" s="33">
        <v>12229.01</v>
      </c>
      <c r="Z154" s="46">
        <f>Шаблон_Формулы_2[[#This Row],[23]]*Шаблон_Формулы_2[[#This Row],[25]]</f>
        <v>4194550.43</v>
      </c>
      <c r="AA154" s="31" t="s">
        <v>536</v>
      </c>
    </row>
    <row r="155" spans="1:27">
      <c r="A155" s="49">
        <v>151</v>
      </c>
      <c r="B155" s="35" t="s">
        <v>369</v>
      </c>
      <c r="C155" s="35" t="s">
        <v>135</v>
      </c>
      <c r="D155" s="35" t="s">
        <v>21</v>
      </c>
      <c r="E155" s="34">
        <v>45179</v>
      </c>
      <c r="F155" s="35" t="s">
        <v>324</v>
      </c>
      <c r="G155" s="32" t="s">
        <v>532</v>
      </c>
      <c r="H155" s="50">
        <v>1.68</v>
      </c>
      <c r="I155" s="33">
        <v>2134</v>
      </c>
      <c r="J155" s="33" t="s">
        <v>86</v>
      </c>
      <c r="K155" s="50">
        <v>33.655000000000008</v>
      </c>
      <c r="L155" s="33">
        <v>408000</v>
      </c>
      <c r="M155" s="33">
        <v>14263.199999999999</v>
      </c>
      <c r="N155" s="33">
        <v>9674.1643143663623</v>
      </c>
      <c r="O155" s="33">
        <v>2495.9144257911148</v>
      </c>
      <c r="P155" s="33">
        <v>9254.8506908334548</v>
      </c>
      <c r="Q155" s="45">
        <v>454.25642549398293</v>
      </c>
      <c r="R155" s="33">
        <v>0</v>
      </c>
      <c r="S155" s="33">
        <v>14002.079928688156</v>
      </c>
      <c r="T155" s="33">
        <v>0</v>
      </c>
      <c r="U155" s="34"/>
      <c r="V155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458144.46578517312</v>
      </c>
      <c r="W155" s="33">
        <v>344.61</v>
      </c>
      <c r="X155" s="34">
        <v>45212</v>
      </c>
      <c r="Y155" s="33">
        <v>12229.01</v>
      </c>
      <c r="Z155" s="46">
        <f>Шаблон_Формулы_2[[#This Row],[23]]*Шаблон_Формулы_2[[#This Row],[25]]</f>
        <v>4214239.1361000007</v>
      </c>
      <c r="AA155" s="31" t="s">
        <v>536</v>
      </c>
    </row>
    <row r="156" spans="1:27">
      <c r="A156" s="49">
        <v>152</v>
      </c>
      <c r="B156" s="35" t="s">
        <v>369</v>
      </c>
      <c r="C156" s="35" t="s">
        <v>135</v>
      </c>
      <c r="D156" s="35" t="s">
        <v>21</v>
      </c>
      <c r="E156" s="34">
        <v>45179</v>
      </c>
      <c r="F156" s="35" t="s">
        <v>329</v>
      </c>
      <c r="G156" s="32" t="s">
        <v>533</v>
      </c>
      <c r="H156" s="50">
        <v>1.222</v>
      </c>
      <c r="I156" s="33">
        <v>484</v>
      </c>
      <c r="J156" s="33" t="s">
        <v>86</v>
      </c>
      <c r="K156" s="50">
        <v>33.655000000000008</v>
      </c>
      <c r="L156" s="33">
        <v>288000</v>
      </c>
      <c r="M156" s="33">
        <v>10374.780000000001</v>
      </c>
      <c r="N156" s="33">
        <v>7036.8028524736274</v>
      </c>
      <c r="O156" s="33">
        <v>1815.4806120932992</v>
      </c>
      <c r="P156" s="33">
        <v>6731.8021096419534</v>
      </c>
      <c r="Q156" s="45">
        <v>330.41747140098045</v>
      </c>
      <c r="R156" s="33">
        <v>0</v>
      </c>
      <c r="S156" s="33">
        <v>10184.846233843409</v>
      </c>
      <c r="T156" s="33">
        <v>0</v>
      </c>
      <c r="U156" s="34"/>
      <c r="V156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324474.12927945331</v>
      </c>
      <c r="W156" s="33">
        <v>244.06</v>
      </c>
      <c r="X156" s="34">
        <v>45212</v>
      </c>
      <c r="Y156" s="33">
        <v>12229.01</v>
      </c>
      <c r="Z156" s="46">
        <f>Шаблон_Формулы_2[[#This Row],[23]]*Шаблон_Формулы_2[[#This Row],[25]]</f>
        <v>2984612.1806000001</v>
      </c>
      <c r="AA156" s="31" t="s">
        <v>536</v>
      </c>
    </row>
    <row r="157" spans="1:27">
      <c r="A157" s="49">
        <v>153</v>
      </c>
      <c r="B157" s="35" t="s">
        <v>369</v>
      </c>
      <c r="C157" s="35" t="s">
        <v>135</v>
      </c>
      <c r="D157" s="35" t="s">
        <v>21</v>
      </c>
      <c r="E157" s="34">
        <v>45179</v>
      </c>
      <c r="F157" s="35" t="s">
        <v>376</v>
      </c>
      <c r="G157" s="32" t="s">
        <v>534</v>
      </c>
      <c r="H157" s="50">
        <v>0.109</v>
      </c>
      <c r="I157" s="33">
        <v>45</v>
      </c>
      <c r="J157" s="33" t="s">
        <v>86</v>
      </c>
      <c r="K157" s="50">
        <v>33.655000000000008</v>
      </c>
      <c r="L157" s="33">
        <v>196500</v>
      </c>
      <c r="M157" s="33">
        <v>925.41</v>
      </c>
      <c r="N157" s="33">
        <v>627.66899420591278</v>
      </c>
      <c r="O157" s="33">
        <v>161.93730500668545</v>
      </c>
      <c r="P157" s="33">
        <v>600.46352696478959</v>
      </c>
      <c r="Q157" s="45">
        <v>29.47258951121675</v>
      </c>
      <c r="R157" s="33">
        <v>0</v>
      </c>
      <c r="S157" s="33">
        <v>908.46828108750537</v>
      </c>
      <c r="T157" s="33">
        <v>0</v>
      </c>
      <c r="U157" s="34"/>
      <c r="V157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199753.42069677613</v>
      </c>
      <c r="W157" s="33">
        <v>150.25</v>
      </c>
      <c r="X157" s="34">
        <v>45212</v>
      </c>
      <c r="Y157" s="33">
        <v>12229.01</v>
      </c>
      <c r="Z157" s="46">
        <f>Шаблон_Формулы_2[[#This Row],[23]]*Шаблон_Формулы_2[[#This Row],[25]]</f>
        <v>1837408.7524999999</v>
      </c>
      <c r="AA157" s="31" t="s">
        <v>536</v>
      </c>
    </row>
    <row r="158" spans="1:27">
      <c r="A158" s="49">
        <v>154</v>
      </c>
      <c r="B158" s="35" t="s">
        <v>369</v>
      </c>
      <c r="C158" s="35" t="s">
        <v>135</v>
      </c>
      <c r="D158" s="35" t="s">
        <v>21</v>
      </c>
      <c r="E158" s="34">
        <v>45179</v>
      </c>
      <c r="F158" s="35" t="s">
        <v>106</v>
      </c>
      <c r="G158" s="32" t="s">
        <v>535</v>
      </c>
      <c r="H158" s="50">
        <v>4.9000000000000002E-2</v>
      </c>
      <c r="I158" s="33">
        <v>26</v>
      </c>
      <c r="J158" s="33" t="s">
        <v>86</v>
      </c>
      <c r="K158" s="50">
        <v>33.655000000000008</v>
      </c>
      <c r="L158" s="33">
        <v>289000</v>
      </c>
      <c r="M158" s="33">
        <v>416.01</v>
      </c>
      <c r="N158" s="33">
        <v>282.16312583568555</v>
      </c>
      <c r="O158" s="33">
        <v>72.79750408557419</v>
      </c>
      <c r="P158" s="33">
        <v>269.9331451493091</v>
      </c>
      <c r="Q158" s="45">
        <v>13.249145743574504</v>
      </c>
      <c r="R158" s="33">
        <v>0</v>
      </c>
      <c r="S158" s="33">
        <v>408.39399792007123</v>
      </c>
      <c r="T158" s="33">
        <v>0</v>
      </c>
      <c r="U158" s="34"/>
      <c r="V158" s="33">
        <f>Шаблон_Формулы_2[[#This Row],[12]]+Шаблон_Формулы_2[[#This Row],[13]]+Шаблон_Формулы_2[[#This Row],[14]]+Шаблон_Формулы_2[[#This Row],[15]]+Шаблон_Формулы_2[[#This Row],[16]]+Шаблон_Формулы_2[[#This Row],[17]]+Шаблон_Формулы_2[[#This Row],[19]]</f>
        <v>290462.54691873427</v>
      </c>
      <c r="W158" s="33">
        <v>218.48</v>
      </c>
      <c r="X158" s="34">
        <v>45212</v>
      </c>
      <c r="Y158" s="33">
        <v>12229.01</v>
      </c>
      <c r="Z158" s="46">
        <f>Шаблон_Формулы_2[[#This Row],[23]]*Шаблон_Формулы_2[[#This Row],[25]]</f>
        <v>2671794.1047999999</v>
      </c>
      <c r="AA158" s="31" t="s">
        <v>536</v>
      </c>
    </row>
  </sheetData>
  <mergeCells count="3">
    <mergeCell ref="A1:C1"/>
    <mergeCell ref="D1:G1"/>
    <mergeCell ref="H1:X1"/>
  </mergeCells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982E-BFE0-4FAA-97EE-5E6AC62DCA08}">
  <sheetPr>
    <pageSetUpPr fitToPage="1"/>
  </sheetPr>
  <dimension ref="A1:AC175"/>
  <sheetViews>
    <sheetView view="pageBreakPreview" zoomScale="80" zoomScaleNormal="100" zoomScaleSheetLayoutView="80" workbookViewId="0">
      <selection activeCell="T15" sqref="T15"/>
    </sheetView>
  </sheetViews>
  <sheetFormatPr defaultColWidth="9" defaultRowHeight="13.8" outlineLevelRow="1" outlineLevelCol="1"/>
  <cols>
    <col min="1" max="1" width="5.77734375" style="67" customWidth="1"/>
    <col min="2" max="2" width="24.109375" style="67" customWidth="1"/>
    <col min="3" max="3" width="15.44140625" style="65" customWidth="1"/>
    <col min="4" max="4" width="14.77734375" style="65" customWidth="1"/>
    <col min="5" max="5" width="18.33203125" style="65" customWidth="1"/>
    <col min="6" max="6" width="32.33203125" style="67" customWidth="1"/>
    <col min="7" max="7" width="35.6640625" style="65" customWidth="1"/>
    <col min="8" max="8" width="12" style="231" customWidth="1"/>
    <col min="9" max="9" width="16.109375" style="232" customWidth="1"/>
    <col min="10" max="11" width="8" style="232" customWidth="1" outlineLevel="1"/>
    <col min="12" max="12" width="16.21875" style="232" customWidth="1" outlineLevel="1"/>
    <col min="13" max="13" width="18.88671875" style="65" customWidth="1"/>
    <col min="14" max="14" width="16.6640625" style="65" customWidth="1"/>
    <col min="15" max="15" width="12.77734375" style="65" customWidth="1"/>
    <col min="16" max="16" width="13.77734375" style="65" customWidth="1"/>
    <col min="17" max="17" width="13.109375" style="65" customWidth="1"/>
    <col min="18" max="19" width="11" style="65" customWidth="1"/>
    <col min="20" max="20" width="21.6640625" style="65" customWidth="1"/>
    <col min="21" max="21" width="14" style="65" customWidth="1"/>
    <col min="22" max="22" width="22.21875" style="65" customWidth="1"/>
    <col min="23" max="23" width="18" style="65" customWidth="1"/>
    <col min="24" max="24" width="8.44140625" style="65" hidden="1" customWidth="1" outlineLevel="1"/>
    <col min="25" max="25" width="6.88671875" style="65" hidden="1" customWidth="1" outlineLevel="1"/>
    <col min="26" max="26" width="11.6640625" style="65" customWidth="1" collapsed="1"/>
    <col min="27" max="28" width="9" style="65" customWidth="1"/>
    <col min="29" max="29" width="15.6640625" style="65" bestFit="1" customWidth="1"/>
    <col min="30" max="30" width="12.33203125" style="65" bestFit="1" customWidth="1"/>
    <col min="31" max="16384" width="9" style="65"/>
  </cols>
  <sheetData>
    <row r="1" spans="1:29" ht="21">
      <c r="A1" s="61" t="s">
        <v>537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 t="str">
        <f>'[1]Cover Letter'!E21</f>
        <v>No. 477 LCL</v>
      </c>
      <c r="O1" s="63"/>
      <c r="P1" s="63"/>
      <c r="Q1" s="63"/>
      <c r="R1" s="63"/>
      <c r="S1" s="63"/>
      <c r="T1" s="63"/>
      <c r="U1" s="63"/>
      <c r="V1" s="63"/>
      <c r="W1" s="63"/>
      <c r="X1" s="64"/>
    </row>
    <row r="2" spans="1:29" ht="21">
      <c r="A2" s="66" t="s">
        <v>538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4"/>
    </row>
    <row r="3" spans="1:29" ht="14.4" thickBot="1">
      <c r="C3" s="68"/>
      <c r="D3" s="68"/>
      <c r="E3" s="68"/>
      <c r="G3" s="68"/>
      <c r="H3" s="69"/>
      <c r="I3" s="70"/>
      <c r="J3" s="70"/>
      <c r="K3" s="70"/>
      <c r="L3" s="70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</row>
    <row r="4" spans="1:29" ht="161.25" customHeight="1">
      <c r="A4" s="71" t="s">
        <v>57</v>
      </c>
      <c r="B4" s="72" t="s">
        <v>58</v>
      </c>
      <c r="C4" s="72" t="s">
        <v>59</v>
      </c>
      <c r="D4" s="72" t="s">
        <v>539</v>
      </c>
      <c r="E4" s="72" t="s">
        <v>540</v>
      </c>
      <c r="F4" s="72" t="s">
        <v>541</v>
      </c>
      <c r="G4" s="72" t="s">
        <v>61</v>
      </c>
      <c r="H4" s="73" t="s">
        <v>62</v>
      </c>
      <c r="I4" s="74" t="s">
        <v>63</v>
      </c>
      <c r="J4" s="75" t="s">
        <v>64</v>
      </c>
      <c r="K4" s="76"/>
      <c r="L4" s="77" t="s">
        <v>66</v>
      </c>
      <c r="M4" s="78" t="s">
        <v>67</v>
      </c>
      <c r="N4" s="79" t="s">
        <v>68</v>
      </c>
      <c r="O4" s="79" t="s">
        <v>69</v>
      </c>
      <c r="P4" s="79" t="s">
        <v>70</v>
      </c>
      <c r="Q4" s="79" t="s">
        <v>71</v>
      </c>
      <c r="R4" s="79" t="s">
        <v>72</v>
      </c>
      <c r="S4" s="79" t="s">
        <v>542</v>
      </c>
      <c r="T4" s="78" t="s">
        <v>74</v>
      </c>
      <c r="U4" s="78" t="s">
        <v>75</v>
      </c>
      <c r="V4" s="78" t="s">
        <v>76</v>
      </c>
      <c r="W4" s="80" t="s">
        <v>77</v>
      </c>
      <c r="X4" s="81"/>
      <c r="AC4" s="65" t="s">
        <v>543</v>
      </c>
    </row>
    <row r="5" spans="1:29" ht="14.25" customHeight="1" thickBot="1">
      <c r="A5" s="82" t="s">
        <v>544</v>
      </c>
      <c r="B5" s="83">
        <v>2</v>
      </c>
      <c r="C5" s="83">
        <v>3</v>
      </c>
      <c r="D5" s="83">
        <v>4</v>
      </c>
      <c r="E5" s="83">
        <v>5</v>
      </c>
      <c r="F5" s="83">
        <v>6</v>
      </c>
      <c r="G5" s="83">
        <v>7</v>
      </c>
      <c r="H5" s="84">
        <v>8</v>
      </c>
      <c r="I5" s="84">
        <v>9</v>
      </c>
      <c r="J5" s="84"/>
      <c r="K5" s="84"/>
      <c r="L5" s="84"/>
      <c r="M5" s="85">
        <v>10</v>
      </c>
      <c r="N5" s="83">
        <v>11</v>
      </c>
      <c r="O5" s="83">
        <v>12</v>
      </c>
      <c r="P5" s="83">
        <v>13</v>
      </c>
      <c r="Q5" s="83">
        <v>14</v>
      </c>
      <c r="R5" s="83">
        <v>15</v>
      </c>
      <c r="S5" s="83"/>
      <c r="T5" s="83">
        <v>16</v>
      </c>
      <c r="U5" s="83">
        <v>17</v>
      </c>
      <c r="V5" s="83">
        <v>17</v>
      </c>
      <c r="W5" s="86">
        <v>18</v>
      </c>
      <c r="X5" s="64"/>
      <c r="AC5" s="65" t="s">
        <v>545</v>
      </c>
    </row>
    <row r="6" spans="1:29" s="99" customFormat="1" ht="14.4">
      <c r="A6" s="87">
        <v>1</v>
      </c>
      <c r="B6" s="88" t="s">
        <v>546</v>
      </c>
      <c r="C6" s="89" t="s">
        <v>21</v>
      </c>
      <c r="D6" s="90">
        <v>45176</v>
      </c>
      <c r="E6" s="89" t="s">
        <v>84</v>
      </c>
      <c r="F6" s="91" t="s">
        <v>383</v>
      </c>
      <c r="G6" s="92" t="s">
        <v>547</v>
      </c>
      <c r="H6" s="93">
        <v>34.630000000000003</v>
      </c>
      <c r="I6" s="94">
        <v>4478.59</v>
      </c>
      <c r="J6" s="89" t="s">
        <v>86</v>
      </c>
      <c r="K6" s="89">
        <v>1</v>
      </c>
      <c r="L6" s="95">
        <v>60.52</v>
      </c>
      <c r="M6" s="96">
        <v>624000</v>
      </c>
      <c r="N6" s="96">
        <v>294008.7</v>
      </c>
      <c r="O6" s="96">
        <v>110893.82022471911</v>
      </c>
      <c r="P6" s="96">
        <v>28610.376734963651</v>
      </c>
      <c r="Q6" s="96">
        <v>106087.27693324522</v>
      </c>
      <c r="R6" s="96">
        <v>5207.0885657633844</v>
      </c>
      <c r="S6" s="96">
        <v>0</v>
      </c>
      <c r="T6" s="96">
        <v>160504.21348314607</v>
      </c>
      <c r="U6" s="96">
        <v>0</v>
      </c>
      <c r="V6" s="96">
        <v>1329311.4759418373</v>
      </c>
      <c r="W6" s="97">
        <v>999.88</v>
      </c>
      <c r="X6" s="98">
        <f t="shared" ref="X6:X69" si="0">SUMIF($B$6:$B$1048576,B6,$W$6:$W$1048576)</f>
        <v>2190.81</v>
      </c>
      <c r="Y6" s="99">
        <f t="shared" ref="Y6:Y69" si="1">IF(B6=B5,0,1)</f>
        <v>1</v>
      </c>
      <c r="Z6" s="100">
        <f t="shared" ref="Z6:Z69" si="2">X6*Y6</f>
        <v>2190.81</v>
      </c>
      <c r="AC6" s="101">
        <v>37416.959999999992</v>
      </c>
    </row>
    <row r="7" spans="1:29" s="99" customFormat="1" ht="14.4">
      <c r="A7" s="87"/>
      <c r="B7" s="102" t="s">
        <v>546</v>
      </c>
      <c r="C7" s="103" t="s">
        <v>21</v>
      </c>
      <c r="D7" s="104">
        <v>45176</v>
      </c>
      <c r="E7" s="103" t="s">
        <v>84</v>
      </c>
      <c r="F7" s="105" t="s">
        <v>384</v>
      </c>
      <c r="G7" s="106" t="s">
        <v>547</v>
      </c>
      <c r="H7" s="107">
        <v>17.260000000000002</v>
      </c>
      <c r="I7" s="108">
        <v>14793.6</v>
      </c>
      <c r="J7" s="89" t="s">
        <v>86</v>
      </c>
      <c r="K7" s="89">
        <v>1</v>
      </c>
      <c r="L7" s="109">
        <v>60.52</v>
      </c>
      <c r="M7" s="96">
        <v>724000</v>
      </c>
      <c r="N7" s="96">
        <v>146537.40000000002</v>
      </c>
      <c r="O7" s="110">
        <v>55270.786516853928</v>
      </c>
      <c r="P7" s="110">
        <v>14259.748843357567</v>
      </c>
      <c r="Q7" s="110">
        <v>52875.148711169859</v>
      </c>
      <c r="R7" s="110">
        <v>2595.2742894910771</v>
      </c>
      <c r="S7" s="96">
        <v>0</v>
      </c>
      <c r="T7" s="110">
        <v>79997.191011235947</v>
      </c>
      <c r="U7" s="110">
        <v>0</v>
      </c>
      <c r="V7" s="110">
        <v>1075535.5493721084</v>
      </c>
      <c r="W7" s="111">
        <v>809</v>
      </c>
      <c r="X7" s="98">
        <f t="shared" si="0"/>
        <v>2190.81</v>
      </c>
      <c r="Y7" s="99">
        <f t="shared" si="1"/>
        <v>0</v>
      </c>
      <c r="Z7" s="100">
        <f t="shared" si="2"/>
        <v>0</v>
      </c>
      <c r="AC7" s="101">
        <v>65318.400000000001</v>
      </c>
    </row>
    <row r="8" spans="1:29" s="99" customFormat="1" ht="14.4">
      <c r="A8" s="112"/>
      <c r="B8" s="102" t="s">
        <v>546</v>
      </c>
      <c r="C8" s="103" t="s">
        <v>21</v>
      </c>
      <c r="D8" s="104">
        <v>45176</v>
      </c>
      <c r="E8" s="103" t="s">
        <v>84</v>
      </c>
      <c r="F8" s="105" t="s">
        <v>385</v>
      </c>
      <c r="G8" s="106" t="s">
        <v>547</v>
      </c>
      <c r="H8" s="113">
        <v>8.6300000000000008</v>
      </c>
      <c r="I8" s="114">
        <v>1074.72</v>
      </c>
      <c r="J8" s="89" t="s">
        <v>86</v>
      </c>
      <c r="K8" s="89">
        <v>1</v>
      </c>
      <c r="L8" s="109">
        <v>60.52</v>
      </c>
      <c r="M8" s="96">
        <v>332000</v>
      </c>
      <c r="N8" s="96">
        <v>73268.700000000012</v>
      </c>
      <c r="O8" s="110">
        <v>27635.393258426964</v>
      </c>
      <c r="P8" s="110">
        <v>7129.8744216787836</v>
      </c>
      <c r="Q8" s="110">
        <v>26437.574355584929</v>
      </c>
      <c r="R8" s="110">
        <v>1297.6371447455385</v>
      </c>
      <c r="S8" s="96">
        <v>0</v>
      </c>
      <c r="T8" s="110">
        <v>39998.595505617974</v>
      </c>
      <c r="U8" s="110">
        <v>0</v>
      </c>
      <c r="V8" s="110">
        <v>507767.77468605421</v>
      </c>
      <c r="W8" s="111">
        <v>381.93</v>
      </c>
      <c r="X8" s="98">
        <f t="shared" si="0"/>
        <v>2190.81</v>
      </c>
      <c r="Y8" s="99">
        <f t="shared" si="1"/>
        <v>0</v>
      </c>
      <c r="Z8" s="100">
        <f t="shared" si="2"/>
        <v>0</v>
      </c>
      <c r="AC8" s="101">
        <v>8971.2000000000007</v>
      </c>
    </row>
    <row r="9" spans="1:29" s="99" customFormat="1" ht="14.4">
      <c r="A9" s="115">
        <v>2</v>
      </c>
      <c r="B9" s="102" t="s">
        <v>548</v>
      </c>
      <c r="C9" s="103" t="s">
        <v>21</v>
      </c>
      <c r="D9" s="104">
        <v>45176</v>
      </c>
      <c r="E9" s="103" t="s">
        <v>84</v>
      </c>
      <c r="F9" s="105" t="s">
        <v>386</v>
      </c>
      <c r="G9" s="106" t="s">
        <v>547</v>
      </c>
      <c r="H9" s="107">
        <v>25.97</v>
      </c>
      <c r="I9" s="94">
        <v>3358.95</v>
      </c>
      <c r="J9" s="89" t="s">
        <v>86</v>
      </c>
      <c r="K9" s="89">
        <v>1</v>
      </c>
      <c r="L9" s="109">
        <v>60.490000000000009</v>
      </c>
      <c r="M9" s="96">
        <v>392000</v>
      </c>
      <c r="N9" s="96">
        <v>220485.3</v>
      </c>
      <c r="O9" s="110">
        <v>83203.603901471302</v>
      </c>
      <c r="P9" s="110">
        <v>21466.35807571499</v>
      </c>
      <c r="Q9" s="110">
        <v>79597.255744751179</v>
      </c>
      <c r="R9" s="110">
        <v>3906.877169780128</v>
      </c>
      <c r="S9" s="96">
        <v>0</v>
      </c>
      <c r="T9" s="110">
        <v>120426.26880476109</v>
      </c>
      <c r="U9" s="110">
        <v>0</v>
      </c>
      <c r="V9" s="110">
        <v>921085.6636964787</v>
      </c>
      <c r="W9" s="111">
        <v>692.82</v>
      </c>
      <c r="X9" s="98">
        <f t="shared" si="0"/>
        <v>2049.1999999999998</v>
      </c>
      <c r="Y9" s="99">
        <f t="shared" si="1"/>
        <v>1</v>
      </c>
      <c r="Z9" s="100">
        <f t="shared" si="2"/>
        <v>2049.1999999999998</v>
      </c>
      <c r="AC9" s="116">
        <v>28062.719999999994</v>
      </c>
    </row>
    <row r="10" spans="1:29" s="99" customFormat="1" ht="14.4">
      <c r="A10" s="87"/>
      <c r="B10" s="102" t="s">
        <v>548</v>
      </c>
      <c r="C10" s="103" t="s">
        <v>21</v>
      </c>
      <c r="D10" s="104">
        <v>45176</v>
      </c>
      <c r="E10" s="103" t="s">
        <v>84</v>
      </c>
      <c r="F10" s="117" t="s">
        <v>387</v>
      </c>
      <c r="G10" s="106" t="s">
        <v>547</v>
      </c>
      <c r="H10" s="118">
        <v>17.260000000000002</v>
      </c>
      <c r="I10" s="119">
        <v>14793.6</v>
      </c>
      <c r="J10" s="89" t="s">
        <v>86</v>
      </c>
      <c r="K10" s="89">
        <v>1</v>
      </c>
      <c r="L10" s="109">
        <v>60.490000000000009</v>
      </c>
      <c r="M10" s="96">
        <v>724000</v>
      </c>
      <c r="N10" s="96">
        <v>146537.40000000002</v>
      </c>
      <c r="O10" s="110">
        <v>55298.198049264334</v>
      </c>
      <c r="P10" s="110">
        <v>14266.820962142501</v>
      </c>
      <c r="Q10" s="110">
        <v>52901.372127624396</v>
      </c>
      <c r="R10" s="110">
        <v>2596.5614151099353</v>
      </c>
      <c r="S10" s="96">
        <v>0</v>
      </c>
      <c r="T10" s="110">
        <v>80036.865597619428</v>
      </c>
      <c r="U10" s="110">
        <v>0</v>
      </c>
      <c r="V10" s="110">
        <v>1075637.2181517605</v>
      </c>
      <c r="W10" s="111">
        <v>809.07</v>
      </c>
      <c r="X10" s="98">
        <f t="shared" si="0"/>
        <v>2049.1999999999998</v>
      </c>
      <c r="Y10" s="99">
        <f t="shared" si="1"/>
        <v>0</v>
      </c>
      <c r="Z10" s="100">
        <f t="shared" si="2"/>
        <v>0</v>
      </c>
      <c r="AC10" s="120">
        <v>65318.400000000001</v>
      </c>
    </row>
    <row r="11" spans="1:29" s="99" customFormat="1" ht="14.4">
      <c r="A11" s="112"/>
      <c r="B11" s="102" t="s">
        <v>548</v>
      </c>
      <c r="C11" s="103" t="s">
        <v>21</v>
      </c>
      <c r="D11" s="104">
        <v>45176</v>
      </c>
      <c r="E11" s="103" t="s">
        <v>84</v>
      </c>
      <c r="F11" s="117" t="s">
        <v>388</v>
      </c>
      <c r="G11" s="106" t="s">
        <v>547</v>
      </c>
      <c r="H11" s="118">
        <v>17.260000000000002</v>
      </c>
      <c r="I11" s="119">
        <v>2149.44</v>
      </c>
      <c r="J11" s="89" t="s">
        <v>86</v>
      </c>
      <c r="K11" s="89">
        <v>1</v>
      </c>
      <c r="L11" s="109">
        <v>60.490000000000009</v>
      </c>
      <c r="M11" s="96">
        <v>376000</v>
      </c>
      <c r="N11" s="96">
        <v>146537.40000000002</v>
      </c>
      <c r="O11" s="110">
        <v>55298.198049264334</v>
      </c>
      <c r="P11" s="110">
        <v>14266.820962142501</v>
      </c>
      <c r="Q11" s="110">
        <v>52901.372127624396</v>
      </c>
      <c r="R11" s="110">
        <v>2596.5614151099353</v>
      </c>
      <c r="S11" s="96">
        <v>0</v>
      </c>
      <c r="T11" s="110">
        <v>80036.865597619428</v>
      </c>
      <c r="U11" s="110">
        <v>0</v>
      </c>
      <c r="V11" s="110">
        <v>727637.21815176064</v>
      </c>
      <c r="W11" s="111">
        <v>547.30999999999995</v>
      </c>
      <c r="X11" s="98">
        <f t="shared" si="0"/>
        <v>2049.1999999999998</v>
      </c>
      <c r="Y11" s="99">
        <f t="shared" si="1"/>
        <v>0</v>
      </c>
      <c r="Z11" s="100">
        <f t="shared" si="2"/>
        <v>0</v>
      </c>
      <c r="AC11" s="120">
        <v>17942.400000000001</v>
      </c>
    </row>
    <row r="12" spans="1:29" s="99" customFormat="1" ht="14.4">
      <c r="A12" s="115">
        <v>3</v>
      </c>
      <c r="B12" s="102" t="s">
        <v>549</v>
      </c>
      <c r="C12" s="103" t="s">
        <v>21</v>
      </c>
      <c r="D12" s="104">
        <v>45176</v>
      </c>
      <c r="E12" s="103" t="s">
        <v>84</v>
      </c>
      <c r="F12" s="117" t="s">
        <v>389</v>
      </c>
      <c r="G12" s="106" t="s">
        <v>547</v>
      </c>
      <c r="H12" s="107">
        <v>18.34</v>
      </c>
      <c r="I12" s="114">
        <v>2283.7800000000002</v>
      </c>
      <c r="J12" s="89" t="s">
        <v>86</v>
      </c>
      <c r="K12" s="89">
        <v>1</v>
      </c>
      <c r="L12" s="109">
        <v>64.73</v>
      </c>
      <c r="M12" s="96">
        <v>376000</v>
      </c>
      <c r="N12" s="96">
        <v>155706.6</v>
      </c>
      <c r="O12" s="110">
        <v>54909.501004171172</v>
      </c>
      <c r="P12" s="110">
        <v>14166.537926772749</v>
      </c>
      <c r="Q12" s="110">
        <v>52529.522632473352</v>
      </c>
      <c r="R12" s="110">
        <v>2578.3099026726404</v>
      </c>
      <c r="S12" s="96">
        <v>0</v>
      </c>
      <c r="T12" s="110">
        <v>79474.27776919512</v>
      </c>
      <c r="U12" s="110">
        <v>0</v>
      </c>
      <c r="V12" s="110">
        <v>735364.7492352851</v>
      </c>
      <c r="W12" s="111">
        <v>553.13</v>
      </c>
      <c r="X12" s="98">
        <f t="shared" si="0"/>
        <v>2295.2400000000002</v>
      </c>
      <c r="Y12" s="99">
        <f t="shared" si="1"/>
        <v>1</v>
      </c>
      <c r="Z12" s="100">
        <f t="shared" si="2"/>
        <v>2295.2400000000002</v>
      </c>
      <c r="AC12" s="101">
        <v>19063.800000000003</v>
      </c>
    </row>
    <row r="13" spans="1:29" s="99" customFormat="1" ht="14.4">
      <c r="A13" s="87"/>
      <c r="B13" s="102" t="s">
        <v>549</v>
      </c>
      <c r="C13" s="103" t="s">
        <v>21</v>
      </c>
      <c r="D13" s="104">
        <v>45176</v>
      </c>
      <c r="E13" s="103" t="s">
        <v>84</v>
      </c>
      <c r="F13" s="117" t="s">
        <v>390</v>
      </c>
      <c r="G13" s="106" t="s">
        <v>547</v>
      </c>
      <c r="H13" s="107">
        <v>10.79</v>
      </c>
      <c r="I13" s="114">
        <v>8614</v>
      </c>
      <c r="J13" s="89" t="s">
        <v>86</v>
      </c>
      <c r="K13" s="89">
        <v>1</v>
      </c>
      <c r="L13" s="109">
        <v>64.73</v>
      </c>
      <c r="M13" s="96">
        <v>392000</v>
      </c>
      <c r="N13" s="96">
        <v>91607.099999999991</v>
      </c>
      <c r="O13" s="110">
        <v>32304.989958288272</v>
      </c>
      <c r="P13" s="110">
        <v>8334.6207322725149</v>
      </c>
      <c r="Q13" s="110">
        <v>30904.77367526649</v>
      </c>
      <c r="R13" s="110">
        <v>1516.9009732735979</v>
      </c>
      <c r="S13" s="96">
        <v>0</v>
      </c>
      <c r="T13" s="110">
        <v>46757.222308048811</v>
      </c>
      <c r="U13" s="110">
        <v>0</v>
      </c>
      <c r="V13" s="110">
        <v>603425.60764714971</v>
      </c>
      <c r="W13" s="111">
        <v>453.88</v>
      </c>
      <c r="X13" s="98">
        <f t="shared" si="0"/>
        <v>2295.2400000000002</v>
      </c>
      <c r="Y13" s="99">
        <f t="shared" si="1"/>
        <v>0</v>
      </c>
      <c r="Z13" s="100">
        <f t="shared" si="2"/>
        <v>0</v>
      </c>
      <c r="AC13" s="116">
        <v>43254</v>
      </c>
    </row>
    <row r="14" spans="1:29" s="121" customFormat="1" ht="14.4">
      <c r="A14" s="87"/>
      <c r="B14" s="102" t="s">
        <v>549</v>
      </c>
      <c r="C14" s="103" t="s">
        <v>21</v>
      </c>
      <c r="D14" s="104">
        <v>45176</v>
      </c>
      <c r="E14" s="103" t="s">
        <v>84</v>
      </c>
      <c r="F14" s="117" t="s">
        <v>391</v>
      </c>
      <c r="G14" s="106" t="s">
        <v>547</v>
      </c>
      <c r="H14" s="113">
        <v>22.65</v>
      </c>
      <c r="I14" s="114">
        <v>3330.18</v>
      </c>
      <c r="J14" s="89" t="s">
        <v>86</v>
      </c>
      <c r="K14" s="89">
        <v>1</v>
      </c>
      <c r="L14" s="109">
        <v>64.73</v>
      </c>
      <c r="M14" s="96">
        <v>392000</v>
      </c>
      <c r="N14" s="96">
        <v>192298.5</v>
      </c>
      <c r="O14" s="110">
        <v>67813.533137648687</v>
      </c>
      <c r="P14" s="110">
        <v>17495.751583500693</v>
      </c>
      <c r="Q14" s="110">
        <v>64874.246871620569</v>
      </c>
      <c r="R14" s="110">
        <v>3184.2267881971261</v>
      </c>
      <c r="S14" s="96">
        <v>0</v>
      </c>
      <c r="T14" s="110">
        <v>98151.166383438889</v>
      </c>
      <c r="U14" s="110">
        <v>0</v>
      </c>
      <c r="V14" s="110">
        <v>835817.42476440594</v>
      </c>
      <c r="W14" s="111">
        <v>628.67999999999995</v>
      </c>
      <c r="X14" s="98">
        <f t="shared" si="0"/>
        <v>2295.2400000000002</v>
      </c>
      <c r="Y14" s="99">
        <f t="shared" si="1"/>
        <v>0</v>
      </c>
      <c r="Z14" s="100">
        <f t="shared" si="2"/>
        <v>0</v>
      </c>
      <c r="AC14" s="122">
        <v>34265.699999999997</v>
      </c>
    </row>
    <row r="15" spans="1:29" s="121" customFormat="1" ht="14.4">
      <c r="A15" s="87"/>
      <c r="B15" s="102" t="s">
        <v>549</v>
      </c>
      <c r="C15" s="103" t="s">
        <v>21</v>
      </c>
      <c r="D15" s="104">
        <v>45176</v>
      </c>
      <c r="E15" s="103" t="s">
        <v>84</v>
      </c>
      <c r="F15" s="117" t="s">
        <v>392</v>
      </c>
      <c r="G15" s="106" t="s">
        <v>547</v>
      </c>
      <c r="H15" s="118">
        <v>7.55</v>
      </c>
      <c r="I15" s="123">
        <v>4228</v>
      </c>
      <c r="J15" s="89" t="s">
        <v>86</v>
      </c>
      <c r="K15" s="89">
        <v>1</v>
      </c>
      <c r="L15" s="109">
        <v>64.73</v>
      </c>
      <c r="M15" s="96">
        <v>332000</v>
      </c>
      <c r="N15" s="96">
        <v>64099.5</v>
      </c>
      <c r="O15" s="110">
        <v>22604.511045882897</v>
      </c>
      <c r="P15" s="110">
        <v>5831.9171945002317</v>
      </c>
      <c r="Q15" s="110">
        <v>21624.748957206859</v>
      </c>
      <c r="R15" s="110">
        <v>1061.4089293990421</v>
      </c>
      <c r="S15" s="96">
        <v>0</v>
      </c>
      <c r="T15" s="110">
        <v>32717.055461146298</v>
      </c>
      <c r="U15" s="110">
        <v>0</v>
      </c>
      <c r="V15" s="110">
        <v>479939.14158813527</v>
      </c>
      <c r="W15" s="111">
        <v>361</v>
      </c>
      <c r="X15" s="98">
        <f t="shared" si="0"/>
        <v>2295.2400000000002</v>
      </c>
      <c r="Y15" s="99">
        <f t="shared" si="1"/>
        <v>0</v>
      </c>
      <c r="Z15" s="100">
        <f t="shared" si="2"/>
        <v>0</v>
      </c>
      <c r="AC15" s="122">
        <v>28366.1</v>
      </c>
    </row>
    <row r="16" spans="1:29" s="121" customFormat="1" ht="14.4">
      <c r="A16" s="112"/>
      <c r="B16" s="102" t="s">
        <v>549</v>
      </c>
      <c r="C16" s="103" t="s">
        <v>21</v>
      </c>
      <c r="D16" s="104">
        <v>45176</v>
      </c>
      <c r="E16" s="103" t="s">
        <v>84</v>
      </c>
      <c r="F16" s="117" t="s">
        <v>393</v>
      </c>
      <c r="G16" s="106" t="s">
        <v>547</v>
      </c>
      <c r="H16" s="118">
        <v>5.4</v>
      </c>
      <c r="I16" s="123">
        <v>424.4</v>
      </c>
      <c r="J16" s="89" t="s">
        <v>86</v>
      </c>
      <c r="K16" s="89">
        <v>1</v>
      </c>
      <c r="L16" s="109">
        <v>64.73</v>
      </c>
      <c r="M16" s="96">
        <v>291100</v>
      </c>
      <c r="N16" s="96">
        <v>45846</v>
      </c>
      <c r="O16" s="110">
        <v>16167.46485400896</v>
      </c>
      <c r="P16" s="110">
        <v>4171.1725629538078</v>
      </c>
      <c r="Q16" s="110">
        <v>15466.707863432719</v>
      </c>
      <c r="R16" s="110">
        <v>759.15340645759306</v>
      </c>
      <c r="S16" s="96">
        <v>0</v>
      </c>
      <c r="T16" s="110">
        <v>23400.278078170864</v>
      </c>
      <c r="U16" s="110">
        <v>0</v>
      </c>
      <c r="V16" s="110">
        <v>396910.77676502388</v>
      </c>
      <c r="W16" s="111">
        <v>298.55</v>
      </c>
      <c r="X16" s="98">
        <f t="shared" si="0"/>
        <v>2295.2400000000002</v>
      </c>
      <c r="Y16" s="99">
        <f t="shared" si="1"/>
        <v>0</v>
      </c>
      <c r="Z16" s="100">
        <f t="shared" si="2"/>
        <v>0</v>
      </c>
      <c r="AC16" s="116">
        <v>5938.7999999999993</v>
      </c>
    </row>
    <row r="17" spans="1:29" s="121" customFormat="1" ht="14.4">
      <c r="A17" s="115">
        <v>4</v>
      </c>
      <c r="B17" s="102" t="s">
        <v>550</v>
      </c>
      <c r="C17" s="103" t="s">
        <v>21</v>
      </c>
      <c r="D17" s="104">
        <v>45176</v>
      </c>
      <c r="E17" s="103" t="s">
        <v>84</v>
      </c>
      <c r="F17" s="117" t="s">
        <v>394</v>
      </c>
      <c r="G17" s="106" t="s">
        <v>547</v>
      </c>
      <c r="H17" s="124">
        <v>30.21</v>
      </c>
      <c r="I17" s="125">
        <v>5096</v>
      </c>
      <c r="J17" s="89" t="s">
        <v>86</v>
      </c>
      <c r="K17" s="89">
        <v>1</v>
      </c>
      <c r="L17" s="109">
        <v>63.21</v>
      </c>
      <c r="M17" s="96">
        <v>392000</v>
      </c>
      <c r="N17" s="96">
        <v>256482.9</v>
      </c>
      <c r="O17" s="110">
        <v>92622.971048884676</v>
      </c>
      <c r="P17" s="110">
        <v>23896.53535832938</v>
      </c>
      <c r="Q17" s="110">
        <v>88608.353108685333</v>
      </c>
      <c r="R17" s="110">
        <v>4349.1694352159475</v>
      </c>
      <c r="S17" s="96">
        <v>0</v>
      </c>
      <c r="T17" s="110">
        <v>134059.56336022782</v>
      </c>
      <c r="U17" s="110">
        <v>0</v>
      </c>
      <c r="V17" s="110">
        <v>992019.49231134332</v>
      </c>
      <c r="W17" s="111">
        <v>746.18</v>
      </c>
      <c r="X17" s="98">
        <f t="shared" si="0"/>
        <v>2003.3999999999999</v>
      </c>
      <c r="Y17" s="99">
        <f t="shared" si="1"/>
        <v>1</v>
      </c>
      <c r="Z17" s="100">
        <f t="shared" si="2"/>
        <v>2003.3999999999999</v>
      </c>
      <c r="AC17" s="126">
        <v>21185.64</v>
      </c>
    </row>
    <row r="18" spans="1:29" s="121" customFormat="1" ht="14.4">
      <c r="A18" s="87"/>
      <c r="B18" s="102" t="s">
        <v>550</v>
      </c>
      <c r="C18" s="103" t="s">
        <v>21</v>
      </c>
      <c r="D18" s="104">
        <v>45176</v>
      </c>
      <c r="E18" s="103" t="s">
        <v>84</v>
      </c>
      <c r="F18" s="117" t="s">
        <v>395</v>
      </c>
      <c r="G18" s="106" t="s">
        <v>547</v>
      </c>
      <c r="H18" s="107">
        <v>21.58</v>
      </c>
      <c r="I18" s="114">
        <v>6420</v>
      </c>
      <c r="J18" s="89" t="s">
        <v>86</v>
      </c>
      <c r="K18" s="89">
        <v>1</v>
      </c>
      <c r="L18" s="109">
        <v>63.21</v>
      </c>
      <c r="M18" s="96">
        <v>392000</v>
      </c>
      <c r="N18" s="96">
        <v>183214.19999999998</v>
      </c>
      <c r="O18" s="110">
        <v>66163.644992880872</v>
      </c>
      <c r="P18" s="110">
        <v>17070.083847492486</v>
      </c>
      <c r="Q18" s="110">
        <v>63295.870906502132</v>
      </c>
      <c r="R18" s="110">
        <v>3106.7552602436322</v>
      </c>
      <c r="S18" s="96">
        <v>0</v>
      </c>
      <c r="T18" s="110">
        <v>95763.170384432844</v>
      </c>
      <c r="U18" s="110">
        <v>0</v>
      </c>
      <c r="V18" s="110">
        <v>820613.72539155197</v>
      </c>
      <c r="W18" s="111">
        <v>617.25</v>
      </c>
      <c r="X18" s="98">
        <f t="shared" si="0"/>
        <v>2003.3999999999999</v>
      </c>
      <c r="Y18" s="99">
        <f t="shared" si="1"/>
        <v>0</v>
      </c>
      <c r="Z18" s="100">
        <f t="shared" si="2"/>
        <v>0</v>
      </c>
      <c r="AC18" s="116">
        <v>34787.199999999997</v>
      </c>
    </row>
    <row r="19" spans="1:29" s="99" customFormat="1" ht="14.4">
      <c r="A19" s="87"/>
      <c r="B19" s="102" t="s">
        <v>550</v>
      </c>
      <c r="C19" s="103" t="s">
        <v>21</v>
      </c>
      <c r="D19" s="104">
        <v>45176</v>
      </c>
      <c r="E19" s="103" t="s">
        <v>84</v>
      </c>
      <c r="F19" s="117" t="s">
        <v>396</v>
      </c>
      <c r="G19" s="106" t="s">
        <v>547</v>
      </c>
      <c r="H19" s="113">
        <v>10.79</v>
      </c>
      <c r="I19" s="114">
        <v>8614</v>
      </c>
      <c r="J19" s="89" t="s">
        <v>86</v>
      </c>
      <c r="K19" s="89">
        <v>1</v>
      </c>
      <c r="L19" s="109">
        <v>63.21</v>
      </c>
      <c r="M19" s="96">
        <v>392000</v>
      </c>
      <c r="N19" s="96">
        <v>91607.099999999991</v>
      </c>
      <c r="O19" s="110">
        <v>33081.822496440436</v>
      </c>
      <c r="P19" s="110">
        <v>8535.0419237462429</v>
      </c>
      <c r="Q19" s="110">
        <v>31647.935453251066</v>
      </c>
      <c r="R19" s="110">
        <v>1553.3776301218161</v>
      </c>
      <c r="S19" s="96">
        <v>0</v>
      </c>
      <c r="T19" s="110">
        <v>47881.585192216422</v>
      </c>
      <c r="U19" s="110">
        <v>0</v>
      </c>
      <c r="V19" s="110">
        <v>606306.86269577604</v>
      </c>
      <c r="W19" s="111">
        <v>456.05</v>
      </c>
      <c r="X19" s="98">
        <f t="shared" si="0"/>
        <v>2003.3999999999999</v>
      </c>
      <c r="Y19" s="99">
        <f t="shared" si="1"/>
        <v>0</v>
      </c>
      <c r="Z19" s="100">
        <f t="shared" si="2"/>
        <v>0</v>
      </c>
      <c r="AC19" s="116">
        <v>43254</v>
      </c>
    </row>
    <row r="20" spans="1:29" s="99" customFormat="1" ht="14.4">
      <c r="A20" s="112"/>
      <c r="B20" s="102" t="s">
        <v>550</v>
      </c>
      <c r="C20" s="103" t="s">
        <v>21</v>
      </c>
      <c r="D20" s="104">
        <v>45176</v>
      </c>
      <c r="E20" s="103" t="s">
        <v>84</v>
      </c>
      <c r="F20" s="117" t="s">
        <v>397</v>
      </c>
      <c r="G20" s="106" t="s">
        <v>547</v>
      </c>
      <c r="H20" s="113">
        <v>0.63</v>
      </c>
      <c r="I20" s="114">
        <v>46.5</v>
      </c>
      <c r="J20" s="89" t="s">
        <v>86</v>
      </c>
      <c r="K20" s="89">
        <v>1</v>
      </c>
      <c r="L20" s="109">
        <v>63.21</v>
      </c>
      <c r="M20" s="96">
        <v>232000</v>
      </c>
      <c r="N20" s="96">
        <v>5348.7</v>
      </c>
      <c r="O20" s="110">
        <v>1931.5614617940198</v>
      </c>
      <c r="P20" s="110">
        <v>498.33887043189367</v>
      </c>
      <c r="Q20" s="110">
        <v>1847.8405315614616</v>
      </c>
      <c r="R20" s="110">
        <v>90.697674418604649</v>
      </c>
      <c r="S20" s="96">
        <v>0</v>
      </c>
      <c r="T20" s="110">
        <v>2795.6810631229232</v>
      </c>
      <c r="U20" s="110">
        <v>0</v>
      </c>
      <c r="V20" s="110">
        <v>244512.81960132893</v>
      </c>
      <c r="W20" s="111">
        <v>183.92</v>
      </c>
      <c r="X20" s="98">
        <f t="shared" si="0"/>
        <v>2003.3999999999999</v>
      </c>
      <c r="Y20" s="99">
        <f t="shared" si="1"/>
        <v>0</v>
      </c>
      <c r="Z20" s="100">
        <f t="shared" si="2"/>
        <v>0</v>
      </c>
      <c r="AC20" s="116">
        <v>960</v>
      </c>
    </row>
    <row r="21" spans="1:29" s="99" customFormat="1" ht="14.4">
      <c r="A21" s="115">
        <v>5</v>
      </c>
      <c r="B21" s="102" t="s">
        <v>551</v>
      </c>
      <c r="C21" s="103" t="s">
        <v>21</v>
      </c>
      <c r="D21" s="104">
        <v>45176</v>
      </c>
      <c r="E21" s="103" t="s">
        <v>84</v>
      </c>
      <c r="F21" s="117" t="s">
        <v>398</v>
      </c>
      <c r="G21" s="106" t="s">
        <v>547</v>
      </c>
      <c r="H21" s="107">
        <v>30.21</v>
      </c>
      <c r="I21" s="108">
        <v>5096</v>
      </c>
      <c r="J21" s="89" t="s">
        <v>86</v>
      </c>
      <c r="K21" s="89">
        <v>1</v>
      </c>
      <c r="L21" s="109">
        <v>64.739999999999995</v>
      </c>
      <c r="M21" s="96">
        <v>392000</v>
      </c>
      <c r="N21" s="96">
        <v>256482.9</v>
      </c>
      <c r="O21" s="110">
        <v>90434.012974976838</v>
      </c>
      <c r="P21" s="110">
        <v>23331.788693234477</v>
      </c>
      <c r="Q21" s="110">
        <v>86514.272474513447</v>
      </c>
      <c r="R21" s="110">
        <v>4246.3855421686749</v>
      </c>
      <c r="S21" s="96">
        <v>0</v>
      </c>
      <c r="T21" s="110">
        <v>130891.33456904543</v>
      </c>
      <c r="U21" s="110">
        <v>0</v>
      </c>
      <c r="V21" s="110">
        <v>983900.69425393874</v>
      </c>
      <c r="W21" s="111">
        <v>740.07</v>
      </c>
      <c r="X21" s="98">
        <f t="shared" si="0"/>
        <v>1793.53</v>
      </c>
      <c r="Y21" s="99">
        <f t="shared" si="1"/>
        <v>1</v>
      </c>
      <c r="Z21" s="100">
        <f t="shared" si="2"/>
        <v>1793.53</v>
      </c>
      <c r="AC21" s="116">
        <v>21185.64</v>
      </c>
    </row>
    <row r="22" spans="1:29" s="99" customFormat="1" ht="14.4">
      <c r="A22" s="87"/>
      <c r="B22" s="102" t="s">
        <v>551</v>
      </c>
      <c r="C22" s="103" t="s">
        <v>21</v>
      </c>
      <c r="D22" s="104">
        <v>45176</v>
      </c>
      <c r="E22" s="103" t="s">
        <v>84</v>
      </c>
      <c r="F22" s="117" t="s">
        <v>399</v>
      </c>
      <c r="G22" s="106" t="s">
        <v>547</v>
      </c>
      <c r="H22" s="107">
        <v>21.58</v>
      </c>
      <c r="I22" s="114">
        <v>6420</v>
      </c>
      <c r="J22" s="89" t="s">
        <v>86</v>
      </c>
      <c r="K22" s="89">
        <v>1</v>
      </c>
      <c r="L22" s="109">
        <v>64.739999999999995</v>
      </c>
      <c r="M22" s="96">
        <v>392000</v>
      </c>
      <c r="N22" s="96">
        <v>183214.19999999998</v>
      </c>
      <c r="O22" s="110">
        <v>64600</v>
      </c>
      <c r="P22" s="110">
        <v>16666.666666666664</v>
      </c>
      <c r="Q22" s="110">
        <v>61800</v>
      </c>
      <c r="R22" s="110">
        <v>3033.333333333333</v>
      </c>
      <c r="S22" s="96">
        <v>0</v>
      </c>
      <c r="T22" s="110">
        <v>93500</v>
      </c>
      <c r="U22" s="110">
        <v>0</v>
      </c>
      <c r="V22" s="110">
        <v>814814.2</v>
      </c>
      <c r="W22" s="111">
        <v>612.89</v>
      </c>
      <c r="X22" s="98">
        <f t="shared" si="0"/>
        <v>1793.53</v>
      </c>
      <c r="Y22" s="99">
        <f t="shared" si="1"/>
        <v>0</v>
      </c>
      <c r="Z22" s="100">
        <f t="shared" si="2"/>
        <v>0</v>
      </c>
      <c r="AC22" s="116">
        <v>34787.199999999997</v>
      </c>
    </row>
    <row r="23" spans="1:29" s="130" customFormat="1" ht="14.4">
      <c r="A23" s="112"/>
      <c r="B23" s="102" t="s">
        <v>551</v>
      </c>
      <c r="C23" s="103" t="s">
        <v>21</v>
      </c>
      <c r="D23" s="104">
        <v>45176</v>
      </c>
      <c r="E23" s="103" t="s">
        <v>84</v>
      </c>
      <c r="F23" s="105" t="s">
        <v>400</v>
      </c>
      <c r="G23" s="106" t="s">
        <v>547</v>
      </c>
      <c r="H23" s="113">
        <v>12.95</v>
      </c>
      <c r="I23" s="114">
        <v>1612.08</v>
      </c>
      <c r="J23" s="89" t="s">
        <v>86</v>
      </c>
      <c r="K23" s="89">
        <v>1</v>
      </c>
      <c r="L23" s="127">
        <v>64.739999999999995</v>
      </c>
      <c r="M23" s="96">
        <v>332000</v>
      </c>
      <c r="N23" s="96">
        <v>109945.5</v>
      </c>
      <c r="O23" s="128">
        <v>38765.987025023169</v>
      </c>
      <c r="P23" s="128">
        <v>10001.544640098857</v>
      </c>
      <c r="Q23" s="128">
        <v>37085.72752548656</v>
      </c>
      <c r="R23" s="128">
        <v>1820.2811244979919</v>
      </c>
      <c r="S23" s="96">
        <v>0</v>
      </c>
      <c r="T23" s="110">
        <v>56108.665430954585</v>
      </c>
      <c r="U23" s="128">
        <v>0</v>
      </c>
      <c r="V23" s="128">
        <v>585727.70574606117</v>
      </c>
      <c r="W23" s="129">
        <v>440.57</v>
      </c>
      <c r="X23" s="98">
        <f t="shared" si="0"/>
        <v>1793.53</v>
      </c>
      <c r="Y23" s="99">
        <f t="shared" si="1"/>
        <v>0</v>
      </c>
      <c r="Z23" s="100">
        <f t="shared" si="2"/>
        <v>0</v>
      </c>
      <c r="AC23" s="116">
        <v>12895.2</v>
      </c>
    </row>
    <row r="24" spans="1:29" s="99" customFormat="1" ht="14.4">
      <c r="A24" s="115">
        <v>6</v>
      </c>
      <c r="B24" s="131" t="s">
        <v>552</v>
      </c>
      <c r="C24" s="103" t="s">
        <v>21</v>
      </c>
      <c r="D24" s="104">
        <v>45176</v>
      </c>
      <c r="E24" s="103" t="s">
        <v>84</v>
      </c>
      <c r="F24" s="105" t="s">
        <v>401</v>
      </c>
      <c r="G24" s="132" t="s">
        <v>547</v>
      </c>
      <c r="H24" s="118">
        <v>12.95</v>
      </c>
      <c r="I24" s="114">
        <v>1612.08</v>
      </c>
      <c r="J24" s="89" t="s">
        <v>86</v>
      </c>
      <c r="K24" s="89">
        <v>1</v>
      </c>
      <c r="L24" s="109">
        <v>59.155999999999999</v>
      </c>
      <c r="M24" s="96">
        <v>332000</v>
      </c>
      <c r="N24" s="96">
        <v>109945.5</v>
      </c>
      <c r="O24" s="110">
        <v>42425.282304415443</v>
      </c>
      <c r="P24" s="110">
        <v>10945.635269457029</v>
      </c>
      <c r="Q24" s="110">
        <v>40586.415579146662</v>
      </c>
      <c r="R24" s="110">
        <v>1992.1056190411791</v>
      </c>
      <c r="S24" s="96">
        <v>0</v>
      </c>
      <c r="T24" s="110">
        <v>61405.013861653926</v>
      </c>
      <c r="U24" s="110">
        <v>0</v>
      </c>
      <c r="V24" s="110">
        <v>599299.95263371419</v>
      </c>
      <c r="W24" s="111">
        <v>450.78</v>
      </c>
      <c r="X24" s="98">
        <f t="shared" si="0"/>
        <v>2016.62</v>
      </c>
      <c r="Y24" s="99">
        <f t="shared" si="1"/>
        <v>1</v>
      </c>
      <c r="Z24" s="100">
        <f t="shared" si="2"/>
        <v>2016.62</v>
      </c>
      <c r="AC24" s="101">
        <v>12895.2</v>
      </c>
    </row>
    <row r="25" spans="1:29" s="99" customFormat="1" ht="14.4">
      <c r="A25" s="87"/>
      <c r="B25" s="131" t="s">
        <v>552</v>
      </c>
      <c r="C25" s="103" t="s">
        <v>21</v>
      </c>
      <c r="D25" s="104">
        <v>45176</v>
      </c>
      <c r="E25" s="103" t="s">
        <v>84</v>
      </c>
      <c r="F25" s="105" t="s">
        <v>402</v>
      </c>
      <c r="G25" s="132" t="s">
        <v>547</v>
      </c>
      <c r="H25" s="107">
        <v>12.67</v>
      </c>
      <c r="I25" s="114">
        <v>5225</v>
      </c>
      <c r="J25" s="89" t="s">
        <v>86</v>
      </c>
      <c r="K25" s="89">
        <v>1</v>
      </c>
      <c r="L25" s="109">
        <v>59.155999999999999</v>
      </c>
      <c r="M25" s="96">
        <v>376000</v>
      </c>
      <c r="N25" s="96">
        <v>107568.3</v>
      </c>
      <c r="O25" s="110">
        <v>41507.978903238894</v>
      </c>
      <c r="P25" s="110">
        <v>10708.972885252553</v>
      </c>
      <c r="Q25" s="110">
        <v>39708.871458516463</v>
      </c>
      <c r="R25" s="110">
        <v>1949.0330651159647</v>
      </c>
      <c r="S25" s="96">
        <v>0</v>
      </c>
      <c r="T25" s="110">
        <v>60077.337886266825</v>
      </c>
      <c r="U25" s="110">
        <v>0</v>
      </c>
      <c r="V25" s="110">
        <v>637520.49419839075</v>
      </c>
      <c r="W25" s="111">
        <v>479.53</v>
      </c>
      <c r="X25" s="98">
        <f t="shared" si="0"/>
        <v>2016.62</v>
      </c>
      <c r="Y25" s="99">
        <f t="shared" si="1"/>
        <v>0</v>
      </c>
      <c r="Z25" s="100">
        <f t="shared" si="2"/>
        <v>0</v>
      </c>
      <c r="AC25" s="101">
        <v>37054.560000000005</v>
      </c>
    </row>
    <row r="26" spans="1:29" s="99" customFormat="1" ht="14.4">
      <c r="A26" s="87"/>
      <c r="B26" s="131" t="s">
        <v>552</v>
      </c>
      <c r="C26" s="103" t="s">
        <v>21</v>
      </c>
      <c r="D26" s="104">
        <v>45176</v>
      </c>
      <c r="E26" s="103" t="s">
        <v>84</v>
      </c>
      <c r="F26" s="105" t="s">
        <v>403</v>
      </c>
      <c r="G26" s="132" t="s">
        <v>547</v>
      </c>
      <c r="H26" s="133">
        <v>18.850000000000001</v>
      </c>
      <c r="I26" s="134">
        <v>6745</v>
      </c>
      <c r="J26" s="89" t="s">
        <v>86</v>
      </c>
      <c r="K26" s="89">
        <v>1</v>
      </c>
      <c r="L26" s="109">
        <v>59.155999999999999</v>
      </c>
      <c r="M26" s="96">
        <v>376000</v>
      </c>
      <c r="N26" s="96">
        <v>160036.5</v>
      </c>
      <c r="O26" s="110">
        <v>61754.175400635613</v>
      </c>
      <c r="P26" s="110">
        <v>15932.449793765638</v>
      </c>
      <c r="Q26" s="110">
        <v>59077.523835282984</v>
      </c>
      <c r="R26" s="110">
        <v>2899.7058624653459</v>
      </c>
      <c r="S26" s="96">
        <v>0</v>
      </c>
      <c r="T26" s="110">
        <v>89381.043343025231</v>
      </c>
      <c r="U26" s="110">
        <v>0</v>
      </c>
      <c r="V26" s="110">
        <v>765081.39823517483</v>
      </c>
      <c r="W26" s="111">
        <v>575.48</v>
      </c>
      <c r="X26" s="98">
        <f t="shared" si="0"/>
        <v>2016.62</v>
      </c>
      <c r="Y26" s="99">
        <f t="shared" si="1"/>
        <v>0</v>
      </c>
      <c r="Z26" s="100">
        <f t="shared" si="2"/>
        <v>0</v>
      </c>
      <c r="AC26" s="101">
        <v>40793.759999999987</v>
      </c>
    </row>
    <row r="27" spans="1:29" s="99" customFormat="1" ht="14.4">
      <c r="A27" s="112"/>
      <c r="B27" s="131" t="s">
        <v>552</v>
      </c>
      <c r="C27" s="103" t="s">
        <v>21</v>
      </c>
      <c r="D27" s="104">
        <v>45176</v>
      </c>
      <c r="E27" s="103" t="s">
        <v>84</v>
      </c>
      <c r="F27" s="117" t="s">
        <v>404</v>
      </c>
      <c r="G27" s="132" t="s">
        <v>547</v>
      </c>
      <c r="H27" s="133">
        <v>14.686</v>
      </c>
      <c r="I27" s="134">
        <v>6028</v>
      </c>
      <c r="J27" s="89" t="s">
        <v>86</v>
      </c>
      <c r="K27" s="89">
        <v>1</v>
      </c>
      <c r="L27" s="109">
        <v>59.155999999999999</v>
      </c>
      <c r="M27" s="96">
        <v>376000</v>
      </c>
      <c r="N27" s="96">
        <v>124684.14</v>
      </c>
      <c r="O27" s="110">
        <v>48112.563391710057</v>
      </c>
      <c r="P27" s="110">
        <v>12412.942051524782</v>
      </c>
      <c r="Q27" s="110">
        <v>46027.189127053891</v>
      </c>
      <c r="R27" s="110">
        <v>2259.1554533775102</v>
      </c>
      <c r="S27" s="96">
        <v>0</v>
      </c>
      <c r="T27" s="110">
        <v>69636.604909054033</v>
      </c>
      <c r="U27" s="110">
        <v>0</v>
      </c>
      <c r="V27" s="110">
        <v>679132.59493272018</v>
      </c>
      <c r="W27" s="111">
        <v>510.83</v>
      </c>
      <c r="X27" s="98">
        <f t="shared" si="0"/>
        <v>2016.62</v>
      </c>
      <c r="Y27" s="99">
        <f t="shared" si="1"/>
        <v>0</v>
      </c>
      <c r="Z27" s="100">
        <f t="shared" si="2"/>
        <v>0</v>
      </c>
      <c r="AC27" s="101">
        <v>43633.919999999998</v>
      </c>
    </row>
    <row r="28" spans="1:29" s="99" customFormat="1" ht="14.4">
      <c r="A28" s="115">
        <v>7</v>
      </c>
      <c r="B28" s="131" t="s">
        <v>553</v>
      </c>
      <c r="C28" s="103" t="s">
        <v>21</v>
      </c>
      <c r="D28" s="104">
        <v>45176</v>
      </c>
      <c r="E28" s="103" t="s">
        <v>84</v>
      </c>
      <c r="F28" s="117" t="s">
        <v>405</v>
      </c>
      <c r="G28" s="132" t="s">
        <v>547</v>
      </c>
      <c r="H28" s="135">
        <v>8.6300000000000008</v>
      </c>
      <c r="I28" s="123">
        <v>4832</v>
      </c>
      <c r="J28" s="89" t="s">
        <v>86</v>
      </c>
      <c r="K28" s="89">
        <v>1</v>
      </c>
      <c r="L28" s="109">
        <v>46.967000000000006</v>
      </c>
      <c r="M28" s="96">
        <v>332000</v>
      </c>
      <c r="N28" s="96">
        <v>73268.700000000012</v>
      </c>
      <c r="O28" s="110">
        <v>35609.981476355737</v>
      </c>
      <c r="P28" s="110">
        <v>9187.3017224860014</v>
      </c>
      <c r="Q28" s="110">
        <v>34066.514786978092</v>
      </c>
      <c r="R28" s="110">
        <v>1672.0889134924521</v>
      </c>
      <c r="S28" s="96">
        <v>0</v>
      </c>
      <c r="T28" s="110">
        <v>51540.762663146466</v>
      </c>
      <c r="U28" s="110">
        <v>0</v>
      </c>
      <c r="V28" s="110">
        <v>537345.34956245869</v>
      </c>
      <c r="W28" s="111">
        <v>404.18</v>
      </c>
      <c r="X28" s="98">
        <f t="shared" si="0"/>
        <v>2570.61</v>
      </c>
      <c r="Y28" s="99">
        <f t="shared" si="1"/>
        <v>1</v>
      </c>
      <c r="Z28" s="100">
        <f t="shared" si="2"/>
        <v>2570.61</v>
      </c>
      <c r="AC28" s="101">
        <v>32418.399999999998</v>
      </c>
    </row>
    <row r="29" spans="1:29" s="99" customFormat="1" ht="14.4">
      <c r="A29" s="87"/>
      <c r="B29" s="131" t="s">
        <v>553</v>
      </c>
      <c r="C29" s="103" t="s">
        <v>21</v>
      </c>
      <c r="D29" s="104">
        <v>45176</v>
      </c>
      <c r="E29" s="103" t="s">
        <v>84</v>
      </c>
      <c r="F29" s="117" t="s">
        <v>406</v>
      </c>
      <c r="G29" s="132" t="s">
        <v>547</v>
      </c>
      <c r="H29" s="118">
        <v>21.576000000000001</v>
      </c>
      <c r="I29" s="114">
        <v>14320</v>
      </c>
      <c r="J29" s="89" t="s">
        <v>86</v>
      </c>
      <c r="K29" s="89">
        <v>1</v>
      </c>
      <c r="L29" s="109">
        <v>46.967000000000006</v>
      </c>
      <c r="M29" s="96">
        <v>724000</v>
      </c>
      <c r="N29" s="96">
        <v>183180.24</v>
      </c>
      <c r="O29" s="110">
        <v>89029.079992335028</v>
      </c>
      <c r="P29" s="110">
        <v>22969.318883471369</v>
      </c>
      <c r="Q29" s="110">
        <v>85170.234419911838</v>
      </c>
      <c r="R29" s="110">
        <v>4180.4160367917893</v>
      </c>
      <c r="S29" s="96">
        <v>0</v>
      </c>
      <c r="T29" s="110">
        <v>128857.87893627438</v>
      </c>
      <c r="U29" s="110">
        <v>0</v>
      </c>
      <c r="V29" s="110">
        <v>1237387.1682687846</v>
      </c>
      <c r="W29" s="111">
        <v>930.74</v>
      </c>
      <c r="X29" s="98">
        <f t="shared" si="0"/>
        <v>2570.61</v>
      </c>
      <c r="Y29" s="99">
        <f t="shared" si="1"/>
        <v>0</v>
      </c>
      <c r="Z29" s="100">
        <f t="shared" si="2"/>
        <v>0</v>
      </c>
      <c r="AC29" s="101">
        <v>32192</v>
      </c>
    </row>
    <row r="30" spans="1:29" s="99" customFormat="1" ht="14.4">
      <c r="A30" s="87"/>
      <c r="B30" s="131" t="s">
        <v>553</v>
      </c>
      <c r="C30" s="103" t="s">
        <v>21</v>
      </c>
      <c r="D30" s="104">
        <v>45176</v>
      </c>
      <c r="E30" s="103" t="s">
        <v>84</v>
      </c>
      <c r="F30" s="117" t="s">
        <v>407</v>
      </c>
      <c r="G30" s="132" t="s">
        <v>547</v>
      </c>
      <c r="H30" s="113">
        <v>9.4860000000000007</v>
      </c>
      <c r="I30" s="114">
        <v>3080</v>
      </c>
      <c r="J30" s="89" t="s">
        <v>86</v>
      </c>
      <c r="K30" s="89">
        <v>1</v>
      </c>
      <c r="L30" s="109">
        <v>46.967000000000006</v>
      </c>
      <c r="M30" s="96">
        <v>332000</v>
      </c>
      <c r="N30" s="96">
        <v>80536.14</v>
      </c>
      <c r="O30" s="110">
        <v>39142.095513871442</v>
      </c>
      <c r="P30" s="110">
        <v>10098.57985394</v>
      </c>
      <c r="Q30" s="110">
        <v>37445.534098409516</v>
      </c>
      <c r="R30" s="110">
        <v>1837.9415334170799</v>
      </c>
      <c r="S30" s="96">
        <v>0</v>
      </c>
      <c r="T30" s="110">
        <v>56653.032980603399</v>
      </c>
      <c r="U30" s="110">
        <v>0</v>
      </c>
      <c r="V30" s="110">
        <v>557713.32398024155</v>
      </c>
      <c r="W30" s="111">
        <v>419.5</v>
      </c>
      <c r="X30" s="98">
        <f t="shared" si="0"/>
        <v>2570.61</v>
      </c>
      <c r="Y30" s="99">
        <f t="shared" si="1"/>
        <v>0</v>
      </c>
      <c r="Z30" s="100">
        <f t="shared" si="2"/>
        <v>0</v>
      </c>
      <c r="AC30" s="116">
        <v>43300.800000000003</v>
      </c>
    </row>
    <row r="31" spans="1:29" s="99" customFormat="1" ht="14.4">
      <c r="A31" s="87"/>
      <c r="B31" s="131" t="s">
        <v>553</v>
      </c>
      <c r="C31" s="103" t="s">
        <v>21</v>
      </c>
      <c r="D31" s="104">
        <v>45176</v>
      </c>
      <c r="E31" s="103" t="s">
        <v>84</v>
      </c>
      <c r="F31" s="105" t="s">
        <v>408</v>
      </c>
      <c r="G31" s="132" t="s">
        <v>85</v>
      </c>
      <c r="H31" s="113">
        <v>0.73</v>
      </c>
      <c r="I31" s="114">
        <v>297</v>
      </c>
      <c r="J31" s="89" t="s">
        <v>86</v>
      </c>
      <c r="K31" s="89">
        <v>1</v>
      </c>
      <c r="L31" s="109">
        <v>46.967000000000006</v>
      </c>
      <c r="M31" s="96">
        <v>412000</v>
      </c>
      <c r="N31" s="96">
        <v>6197.7</v>
      </c>
      <c r="O31" s="110">
        <v>3012.2000553580169</v>
      </c>
      <c r="P31" s="110">
        <v>777.14139715119109</v>
      </c>
      <c r="Q31" s="110">
        <v>2881.6403006366168</v>
      </c>
      <c r="R31" s="110">
        <v>141.43973428151679</v>
      </c>
      <c r="S31" s="96">
        <v>0</v>
      </c>
      <c r="T31" s="110">
        <v>4359.7632380181822</v>
      </c>
      <c r="U31" s="110">
        <v>0</v>
      </c>
      <c r="V31" s="110">
        <v>429369.88472544553</v>
      </c>
      <c r="W31" s="111">
        <v>322.95999999999998</v>
      </c>
      <c r="X31" s="98">
        <f t="shared" si="0"/>
        <v>2570.61</v>
      </c>
      <c r="Y31" s="99">
        <f t="shared" si="1"/>
        <v>0</v>
      </c>
      <c r="Z31" s="100">
        <f t="shared" si="2"/>
        <v>0</v>
      </c>
      <c r="AC31" s="101">
        <v>1245.6000000000001</v>
      </c>
    </row>
    <row r="32" spans="1:29" s="99" customFormat="1" ht="14.4">
      <c r="A32" s="87"/>
      <c r="B32" s="131" t="s">
        <v>553</v>
      </c>
      <c r="C32" s="103" t="s">
        <v>21</v>
      </c>
      <c r="D32" s="104">
        <v>45176</v>
      </c>
      <c r="E32" s="103" t="s">
        <v>84</v>
      </c>
      <c r="F32" s="105">
        <v>62131146</v>
      </c>
      <c r="G32" s="132" t="s">
        <v>554</v>
      </c>
      <c r="H32" s="107">
        <v>0.64600000000000002</v>
      </c>
      <c r="I32" s="114">
        <v>115</v>
      </c>
      <c r="J32" s="89" t="s">
        <v>86</v>
      </c>
      <c r="K32" s="89">
        <v>1</v>
      </c>
      <c r="L32" s="109">
        <v>46.967000000000006</v>
      </c>
      <c r="M32" s="96">
        <v>265000</v>
      </c>
      <c r="N32" s="96">
        <v>5484.54</v>
      </c>
      <c r="O32" s="110">
        <v>2665.5907339195601</v>
      </c>
      <c r="P32" s="110">
        <v>687.71690761598563</v>
      </c>
      <c r="Q32" s="110">
        <v>2550.0542934400746</v>
      </c>
      <c r="R32" s="110">
        <v>125.16447718610938</v>
      </c>
      <c r="S32" s="96">
        <v>0</v>
      </c>
      <c r="T32" s="110">
        <v>3858.0918517256791</v>
      </c>
      <c r="U32" s="110">
        <v>0</v>
      </c>
      <c r="V32" s="110">
        <v>280371.1582638874</v>
      </c>
      <c r="W32" s="111">
        <v>210.89</v>
      </c>
      <c r="X32" s="98">
        <f t="shared" si="0"/>
        <v>2570.61</v>
      </c>
      <c r="Y32" s="99">
        <f t="shared" si="1"/>
        <v>0</v>
      </c>
      <c r="Z32" s="100">
        <f t="shared" si="2"/>
        <v>0</v>
      </c>
      <c r="AC32" s="101">
        <v>14579.6</v>
      </c>
    </row>
    <row r="33" spans="1:29" s="99" customFormat="1" ht="14.4">
      <c r="A33" s="112"/>
      <c r="B33" s="131" t="s">
        <v>553</v>
      </c>
      <c r="C33" s="103" t="s">
        <v>21</v>
      </c>
      <c r="D33" s="104">
        <v>45176</v>
      </c>
      <c r="E33" s="103" t="s">
        <v>84</v>
      </c>
      <c r="F33" s="105" t="s">
        <v>409</v>
      </c>
      <c r="G33" s="132" t="s">
        <v>555</v>
      </c>
      <c r="H33" s="107">
        <v>5.899</v>
      </c>
      <c r="I33" s="108">
        <v>1402.15</v>
      </c>
      <c r="J33" s="89" t="s">
        <v>86</v>
      </c>
      <c r="K33" s="89">
        <v>1</v>
      </c>
      <c r="L33" s="109">
        <v>46.967000000000006</v>
      </c>
      <c r="M33" s="96">
        <v>235000</v>
      </c>
      <c r="N33" s="96">
        <v>50082.51</v>
      </c>
      <c r="O33" s="110">
        <v>24341.052228160192</v>
      </c>
      <c r="P33" s="110">
        <v>6279.9412353354473</v>
      </c>
      <c r="Q33" s="110">
        <v>23286.022100623839</v>
      </c>
      <c r="R33" s="110">
        <v>1142.9493048310514</v>
      </c>
      <c r="S33" s="96">
        <v>0</v>
      </c>
      <c r="T33" s="110">
        <v>35230.470330231859</v>
      </c>
      <c r="U33" s="110">
        <v>0</v>
      </c>
      <c r="V33" s="110">
        <v>375362.94519918237</v>
      </c>
      <c r="W33" s="111">
        <v>282.33999999999997</v>
      </c>
      <c r="X33" s="98">
        <f t="shared" si="0"/>
        <v>2570.61</v>
      </c>
      <c r="Y33" s="99">
        <f t="shared" si="1"/>
        <v>0</v>
      </c>
      <c r="Z33" s="100">
        <f t="shared" si="2"/>
        <v>0</v>
      </c>
      <c r="AC33" s="101">
        <v>10281.599999999999</v>
      </c>
    </row>
    <row r="34" spans="1:29" s="99" customFormat="1" ht="14.4">
      <c r="A34" s="115">
        <v>8</v>
      </c>
      <c r="B34" s="131" t="s">
        <v>556</v>
      </c>
      <c r="C34" s="103" t="s">
        <v>21</v>
      </c>
      <c r="D34" s="104">
        <v>45176</v>
      </c>
      <c r="E34" s="103" t="s">
        <v>84</v>
      </c>
      <c r="F34" s="105" t="s">
        <v>410</v>
      </c>
      <c r="G34" s="106" t="s">
        <v>547</v>
      </c>
      <c r="H34" s="107">
        <v>37.031999999999996</v>
      </c>
      <c r="I34" s="108">
        <v>5640.54</v>
      </c>
      <c r="J34" s="89" t="s">
        <v>86</v>
      </c>
      <c r="K34" s="89">
        <v>1</v>
      </c>
      <c r="L34" s="109">
        <v>67.481999999999999</v>
      </c>
      <c r="M34" s="96">
        <v>683100</v>
      </c>
      <c r="N34" s="96">
        <v>314401.68</v>
      </c>
      <c r="O34" s="110">
        <v>106351.34702587356</v>
      </c>
      <c r="P34" s="110">
        <v>27438.428025251178</v>
      </c>
      <c r="Q34" s="110">
        <v>101741.69111763136</v>
      </c>
      <c r="R34" s="110">
        <v>4993.7939005957141</v>
      </c>
      <c r="S34" s="96">
        <v>0</v>
      </c>
      <c r="T34" s="110">
        <v>153929.58122165911</v>
      </c>
      <c r="U34" s="110">
        <v>0</v>
      </c>
      <c r="V34" s="110">
        <v>1391956.521291011</v>
      </c>
      <c r="W34" s="111">
        <v>1047</v>
      </c>
      <c r="X34" s="98">
        <f t="shared" si="0"/>
        <v>1780.27</v>
      </c>
      <c r="Y34" s="99">
        <f t="shared" si="1"/>
        <v>1</v>
      </c>
      <c r="Z34" s="100">
        <f t="shared" si="2"/>
        <v>1780.27</v>
      </c>
      <c r="AC34" s="101">
        <v>70299.839999999997</v>
      </c>
    </row>
    <row r="35" spans="1:29" s="99" customFormat="1" ht="14.4">
      <c r="A35" s="112"/>
      <c r="B35" s="131" t="s">
        <v>556</v>
      </c>
      <c r="C35" s="103" t="s">
        <v>21</v>
      </c>
      <c r="D35" s="104">
        <v>45176</v>
      </c>
      <c r="E35" s="103" t="s">
        <v>84</v>
      </c>
      <c r="F35" s="105" t="s">
        <v>411</v>
      </c>
      <c r="G35" s="106" t="s">
        <v>547</v>
      </c>
      <c r="H35" s="107">
        <v>30.45</v>
      </c>
      <c r="I35" s="108">
        <v>5203</v>
      </c>
      <c r="J35" s="89" t="s">
        <v>86</v>
      </c>
      <c r="K35" s="89">
        <v>1</v>
      </c>
      <c r="L35" s="109">
        <v>67.481999999999999</v>
      </c>
      <c r="M35" s="96">
        <v>392000</v>
      </c>
      <c r="N35" s="96">
        <v>258520.5</v>
      </c>
      <c r="O35" s="110">
        <v>87448.652974126424</v>
      </c>
      <c r="P35" s="110">
        <v>22561.571974748822</v>
      </c>
      <c r="Q35" s="110">
        <v>83658.308882368627</v>
      </c>
      <c r="R35" s="110">
        <v>4106.2060994042849</v>
      </c>
      <c r="S35" s="96">
        <v>0</v>
      </c>
      <c r="T35" s="110">
        <v>126570.41877834089</v>
      </c>
      <c r="U35" s="110">
        <v>0</v>
      </c>
      <c r="V35" s="110">
        <v>974865.65870898904</v>
      </c>
      <c r="W35" s="111">
        <v>733.27</v>
      </c>
      <c r="X35" s="98">
        <f t="shared" si="0"/>
        <v>1780.27</v>
      </c>
      <c r="Y35" s="99">
        <f t="shared" si="1"/>
        <v>0</v>
      </c>
      <c r="Z35" s="100">
        <f t="shared" si="2"/>
        <v>0</v>
      </c>
      <c r="AC35" s="101">
        <v>53703.539999999994</v>
      </c>
    </row>
    <row r="36" spans="1:29" s="99" customFormat="1" ht="14.4">
      <c r="A36" s="136">
        <v>9</v>
      </c>
      <c r="B36" s="131" t="s">
        <v>557</v>
      </c>
      <c r="C36" s="103" t="s">
        <v>21</v>
      </c>
      <c r="D36" s="104">
        <v>45176</v>
      </c>
      <c r="E36" s="103" t="s">
        <v>84</v>
      </c>
      <c r="F36" s="117" t="s">
        <v>412</v>
      </c>
      <c r="G36" s="106" t="s">
        <v>547</v>
      </c>
      <c r="H36" s="107">
        <v>66.418000000000006</v>
      </c>
      <c r="I36" s="114">
        <v>11352</v>
      </c>
      <c r="J36" s="89" t="s">
        <v>86</v>
      </c>
      <c r="K36" s="89">
        <v>1</v>
      </c>
      <c r="L36" s="109">
        <v>66.418000000000006</v>
      </c>
      <c r="M36" s="96">
        <v>1016000</v>
      </c>
      <c r="N36" s="96">
        <v>563888.82000000007</v>
      </c>
      <c r="O36" s="110">
        <v>193800</v>
      </c>
      <c r="P36" s="110">
        <v>50000</v>
      </c>
      <c r="Q36" s="110">
        <v>185400</v>
      </c>
      <c r="R36" s="110">
        <v>9100</v>
      </c>
      <c r="S36" s="96">
        <v>0</v>
      </c>
      <c r="T36" s="110">
        <v>280500</v>
      </c>
      <c r="U36" s="110">
        <v>0</v>
      </c>
      <c r="V36" s="110">
        <v>2298688.8200000003</v>
      </c>
      <c r="W36" s="111">
        <v>1729.03</v>
      </c>
      <c r="X36" s="98">
        <f t="shared" si="0"/>
        <v>1729.03</v>
      </c>
      <c r="Y36" s="99">
        <f t="shared" si="1"/>
        <v>1</v>
      </c>
      <c r="Z36" s="100">
        <f t="shared" si="2"/>
        <v>1729.03</v>
      </c>
      <c r="AC36" s="116">
        <v>117171.35999999999</v>
      </c>
    </row>
    <row r="37" spans="1:29" s="99" customFormat="1" ht="14.4">
      <c r="A37" s="115">
        <v>10</v>
      </c>
      <c r="B37" s="131" t="s">
        <v>558</v>
      </c>
      <c r="C37" s="103" t="s">
        <v>21</v>
      </c>
      <c r="D37" s="104">
        <v>45176</v>
      </c>
      <c r="E37" s="103" t="s">
        <v>84</v>
      </c>
      <c r="F37" s="117" t="s">
        <v>413</v>
      </c>
      <c r="G37" s="106" t="s">
        <v>547</v>
      </c>
      <c r="H37" s="113">
        <v>26.3</v>
      </c>
      <c r="I37" s="114">
        <v>4493.5</v>
      </c>
      <c r="J37" s="89" t="s">
        <v>86</v>
      </c>
      <c r="K37" s="89">
        <v>1</v>
      </c>
      <c r="L37" s="109">
        <v>51.002000000000002</v>
      </c>
      <c r="M37" s="96">
        <v>392000</v>
      </c>
      <c r="N37" s="96">
        <v>223287</v>
      </c>
      <c r="O37" s="110">
        <v>99936.080938002429</v>
      </c>
      <c r="P37" s="110">
        <v>25783.302615583703</v>
      </c>
      <c r="Q37" s="110">
        <v>95604.48609858437</v>
      </c>
      <c r="R37" s="110">
        <v>4692.5610760362342</v>
      </c>
      <c r="S37" s="96">
        <v>0</v>
      </c>
      <c r="T37" s="110">
        <v>144644.32767342459</v>
      </c>
      <c r="U37" s="110">
        <v>0</v>
      </c>
      <c r="V37" s="110">
        <v>985947.75840163138</v>
      </c>
      <c r="W37" s="111">
        <v>741.61</v>
      </c>
      <c r="X37" s="98">
        <f t="shared" si="0"/>
        <v>2252.2600000000002</v>
      </c>
      <c r="Y37" s="99">
        <f t="shared" si="1"/>
        <v>1</v>
      </c>
      <c r="Z37" s="100">
        <f t="shared" si="2"/>
        <v>2252.2600000000002</v>
      </c>
      <c r="AC37" s="116">
        <v>46380.329999999994</v>
      </c>
    </row>
    <row r="38" spans="1:29" s="99" customFormat="1" ht="14.4">
      <c r="A38" s="112"/>
      <c r="B38" s="131" t="s">
        <v>558</v>
      </c>
      <c r="C38" s="103" t="s">
        <v>21</v>
      </c>
      <c r="D38" s="104">
        <v>45176</v>
      </c>
      <c r="E38" s="103" t="s">
        <v>84</v>
      </c>
      <c r="F38" s="117" t="s">
        <v>414</v>
      </c>
      <c r="G38" s="106" t="s">
        <v>85</v>
      </c>
      <c r="H38" s="107">
        <v>24.702000000000002</v>
      </c>
      <c r="I38" s="108">
        <v>18480</v>
      </c>
      <c r="J38" s="89" t="s">
        <v>86</v>
      </c>
      <c r="K38" s="89">
        <v>1</v>
      </c>
      <c r="L38" s="109">
        <v>51.002000000000002</v>
      </c>
      <c r="M38" s="96">
        <v>1450500</v>
      </c>
      <c r="N38" s="96">
        <v>209719.98</v>
      </c>
      <c r="O38" s="110">
        <v>93863.919061997571</v>
      </c>
      <c r="P38" s="110">
        <v>24216.697384416297</v>
      </c>
      <c r="Q38" s="110">
        <v>89795.51390141563</v>
      </c>
      <c r="R38" s="110">
        <v>4407.4389239637658</v>
      </c>
      <c r="S38" s="96">
        <v>0</v>
      </c>
      <c r="T38" s="110">
        <v>135855.67232657541</v>
      </c>
      <c r="U38" s="110">
        <v>0</v>
      </c>
      <c r="V38" s="110">
        <v>2008359.2215983691</v>
      </c>
      <c r="W38" s="111">
        <v>1510.65</v>
      </c>
      <c r="X38" s="98">
        <f t="shared" si="0"/>
        <v>2252.2600000000002</v>
      </c>
      <c r="Y38" s="99">
        <f t="shared" si="1"/>
        <v>0</v>
      </c>
      <c r="Z38" s="100">
        <f t="shared" si="2"/>
        <v>0</v>
      </c>
      <c r="AC38" s="116">
        <v>67416</v>
      </c>
    </row>
    <row r="39" spans="1:29" s="99" customFormat="1" ht="14.4">
      <c r="A39" s="115">
        <v>11</v>
      </c>
      <c r="B39" s="131" t="s">
        <v>559</v>
      </c>
      <c r="C39" s="103" t="s">
        <v>21</v>
      </c>
      <c r="D39" s="104">
        <v>45176</v>
      </c>
      <c r="E39" s="103" t="s">
        <v>84</v>
      </c>
      <c r="F39" s="117" t="s">
        <v>415</v>
      </c>
      <c r="G39" s="106" t="s">
        <v>85</v>
      </c>
      <c r="H39" s="107">
        <v>18.527000000000001</v>
      </c>
      <c r="I39" s="108">
        <v>13860</v>
      </c>
      <c r="J39" s="89" t="s">
        <v>86</v>
      </c>
      <c r="K39" s="89">
        <v>1</v>
      </c>
      <c r="L39" s="109">
        <v>63.587000000000003</v>
      </c>
      <c r="M39" s="96">
        <v>1384500</v>
      </c>
      <c r="N39" s="96">
        <v>157294.23000000001</v>
      </c>
      <c r="O39" s="110">
        <v>56466.456980200361</v>
      </c>
      <c r="P39" s="110">
        <v>14568.229355056852</v>
      </c>
      <c r="Q39" s="110">
        <v>54018.994448550809</v>
      </c>
      <c r="R39" s="110">
        <v>2651.4177426203473</v>
      </c>
      <c r="S39" s="96">
        <v>0</v>
      </c>
      <c r="T39" s="110">
        <v>81727.766681868947</v>
      </c>
      <c r="U39" s="110">
        <v>0</v>
      </c>
      <c r="V39" s="110">
        <v>1751227.0952082973</v>
      </c>
      <c r="W39" s="111">
        <v>1317.24</v>
      </c>
      <c r="X39" s="98">
        <f t="shared" si="0"/>
        <v>3093.83</v>
      </c>
      <c r="Y39" s="99">
        <f t="shared" si="1"/>
        <v>1</v>
      </c>
      <c r="Z39" s="100">
        <f t="shared" si="2"/>
        <v>3093.83</v>
      </c>
      <c r="AC39" s="116">
        <v>50562</v>
      </c>
    </row>
    <row r="40" spans="1:29" s="99" customFormat="1" ht="14.4">
      <c r="A40" s="87"/>
      <c r="B40" s="131" t="s">
        <v>559</v>
      </c>
      <c r="C40" s="103" t="s">
        <v>21</v>
      </c>
      <c r="D40" s="104">
        <v>45176</v>
      </c>
      <c r="E40" s="103" t="s">
        <v>84</v>
      </c>
      <c r="F40" s="117" t="s">
        <v>416</v>
      </c>
      <c r="G40" s="106" t="s">
        <v>85</v>
      </c>
      <c r="H40" s="107">
        <v>2.06</v>
      </c>
      <c r="I40" s="108">
        <v>1540</v>
      </c>
      <c r="J40" s="89" t="s">
        <v>86</v>
      </c>
      <c r="K40" s="89">
        <v>1</v>
      </c>
      <c r="L40" s="109">
        <v>63.587000000000003</v>
      </c>
      <c r="M40" s="96">
        <v>478000</v>
      </c>
      <c r="N40" s="96">
        <v>17489.400000000001</v>
      </c>
      <c r="O40" s="110">
        <v>6278.4531429380222</v>
      </c>
      <c r="P40" s="110">
        <v>1619.8279522543917</v>
      </c>
      <c r="Q40" s="110">
        <v>6006.3220469592843</v>
      </c>
      <c r="R40" s="110">
        <v>294.80868731029932</v>
      </c>
      <c r="S40" s="96">
        <v>0</v>
      </c>
      <c r="T40" s="110">
        <v>9087.2348121471368</v>
      </c>
      <c r="U40" s="110">
        <v>0</v>
      </c>
      <c r="V40" s="110">
        <v>518776.04664160922</v>
      </c>
      <c r="W40" s="111">
        <v>390.21</v>
      </c>
      <c r="X40" s="98">
        <f t="shared" si="0"/>
        <v>3093.83</v>
      </c>
      <c r="Y40" s="99">
        <f t="shared" si="1"/>
        <v>0</v>
      </c>
      <c r="Z40" s="100">
        <f t="shared" si="2"/>
        <v>0</v>
      </c>
      <c r="AC40" s="101">
        <v>5618</v>
      </c>
    </row>
    <row r="41" spans="1:29" s="99" customFormat="1" ht="14.4">
      <c r="A41" s="112"/>
      <c r="B41" s="131" t="s">
        <v>559</v>
      </c>
      <c r="C41" s="103" t="s">
        <v>21</v>
      </c>
      <c r="D41" s="104">
        <v>45176</v>
      </c>
      <c r="E41" s="103" t="s">
        <v>84</v>
      </c>
      <c r="F41" s="117" t="s">
        <v>417</v>
      </c>
      <c r="G41" s="132" t="s">
        <v>560</v>
      </c>
      <c r="H41" s="107">
        <v>43</v>
      </c>
      <c r="I41" s="108">
        <v>7897.6</v>
      </c>
      <c r="J41" s="89" t="s">
        <v>86</v>
      </c>
      <c r="K41" s="89">
        <v>1</v>
      </c>
      <c r="L41" s="109">
        <v>63.587000000000003</v>
      </c>
      <c r="M41" s="96">
        <v>992000</v>
      </c>
      <c r="N41" s="96">
        <v>365070</v>
      </c>
      <c r="O41" s="110">
        <v>131055.08987686162</v>
      </c>
      <c r="P41" s="110">
        <v>33811.942692688754</v>
      </c>
      <c r="Q41" s="110">
        <v>125374.68350448991</v>
      </c>
      <c r="R41" s="110">
        <v>6153.7735700693538</v>
      </c>
      <c r="S41" s="96">
        <v>0</v>
      </c>
      <c r="T41" s="110">
        <v>189684.99850598394</v>
      </c>
      <c r="U41" s="110">
        <v>0</v>
      </c>
      <c r="V41" s="110">
        <v>1843150.4881500935</v>
      </c>
      <c r="W41" s="111">
        <v>1386.38</v>
      </c>
      <c r="X41" s="98">
        <f t="shared" si="0"/>
        <v>3093.83</v>
      </c>
      <c r="Y41" s="99">
        <f t="shared" si="1"/>
        <v>0</v>
      </c>
      <c r="Z41" s="100">
        <f t="shared" si="2"/>
        <v>0</v>
      </c>
      <c r="AC41" s="101">
        <v>95846.399999999994</v>
      </c>
    </row>
    <row r="42" spans="1:29" s="99" customFormat="1" ht="14.4">
      <c r="A42" s="115">
        <v>12</v>
      </c>
      <c r="B42" s="131" t="s">
        <v>561</v>
      </c>
      <c r="C42" s="103" t="s">
        <v>21</v>
      </c>
      <c r="D42" s="104">
        <v>45176</v>
      </c>
      <c r="E42" s="103" t="s">
        <v>84</v>
      </c>
      <c r="F42" s="117" t="s">
        <v>418</v>
      </c>
      <c r="G42" s="132" t="s">
        <v>85</v>
      </c>
      <c r="H42" s="107">
        <v>24.702000000000002</v>
      </c>
      <c r="I42" s="108">
        <v>18480</v>
      </c>
      <c r="J42" s="89" t="s">
        <v>86</v>
      </c>
      <c r="K42" s="89">
        <v>1</v>
      </c>
      <c r="L42" s="109">
        <v>50.959000000000003</v>
      </c>
      <c r="M42" s="96">
        <v>1450500</v>
      </c>
      <c r="N42" s="96">
        <v>209719.98</v>
      </c>
      <c r="O42" s="110">
        <v>93943.122902725721</v>
      </c>
      <c r="P42" s="110">
        <v>24237.131811848743</v>
      </c>
      <c r="Q42" s="110">
        <v>89871.284758335139</v>
      </c>
      <c r="R42" s="110">
        <v>4411.1579897564707</v>
      </c>
      <c r="S42" s="96">
        <v>0</v>
      </c>
      <c r="T42" s="110">
        <v>135970.30946447144</v>
      </c>
      <c r="U42" s="110">
        <v>0</v>
      </c>
      <c r="V42" s="110">
        <v>2008652.9869271377</v>
      </c>
      <c r="W42" s="111">
        <v>1510.87</v>
      </c>
      <c r="X42" s="98">
        <f t="shared" si="0"/>
        <v>2235.44</v>
      </c>
      <c r="Y42" s="99">
        <f t="shared" si="1"/>
        <v>1</v>
      </c>
      <c r="Z42" s="100">
        <f t="shared" si="2"/>
        <v>2235.44</v>
      </c>
      <c r="AC42" s="116">
        <v>67416</v>
      </c>
    </row>
    <row r="43" spans="1:29" s="99" customFormat="1" ht="14.4">
      <c r="A43" s="112"/>
      <c r="B43" s="131" t="s">
        <v>561</v>
      </c>
      <c r="C43" s="103" t="s">
        <v>21</v>
      </c>
      <c r="D43" s="104">
        <v>45176</v>
      </c>
      <c r="E43" s="103" t="s">
        <v>84</v>
      </c>
      <c r="F43" s="117" t="s">
        <v>419</v>
      </c>
      <c r="G43" s="132" t="s">
        <v>323</v>
      </c>
      <c r="H43" s="107">
        <v>26.257000000000005</v>
      </c>
      <c r="I43" s="108">
        <v>3570</v>
      </c>
      <c r="J43" s="89" t="s">
        <v>86</v>
      </c>
      <c r="K43" s="89">
        <v>1</v>
      </c>
      <c r="L43" s="109">
        <v>50.959000000000003</v>
      </c>
      <c r="M43" s="96">
        <v>370000</v>
      </c>
      <c r="N43" s="96">
        <v>222921.93000000005</v>
      </c>
      <c r="O43" s="110">
        <v>99856.877097274293</v>
      </c>
      <c r="P43" s="110">
        <v>25762.86818815126</v>
      </c>
      <c r="Q43" s="110">
        <v>95528.715241664875</v>
      </c>
      <c r="R43" s="110">
        <v>4688.8420102435293</v>
      </c>
      <c r="S43" s="96">
        <v>0</v>
      </c>
      <c r="T43" s="110">
        <v>144529.69053552859</v>
      </c>
      <c r="U43" s="110">
        <v>0</v>
      </c>
      <c r="V43" s="110">
        <v>963288.92307286267</v>
      </c>
      <c r="W43" s="111">
        <v>724.57</v>
      </c>
      <c r="X43" s="98">
        <f t="shared" si="0"/>
        <v>2235.44</v>
      </c>
      <c r="Y43" s="99">
        <f t="shared" si="1"/>
        <v>0</v>
      </c>
      <c r="Z43" s="100">
        <f t="shared" si="2"/>
        <v>0</v>
      </c>
      <c r="AC43" s="116">
        <v>17539.2</v>
      </c>
    </row>
    <row r="44" spans="1:29" s="99" customFormat="1" ht="14.4">
      <c r="A44" s="115">
        <v>13</v>
      </c>
      <c r="B44" s="131" t="s">
        <v>562</v>
      </c>
      <c r="C44" s="103" t="s">
        <v>21</v>
      </c>
      <c r="D44" s="104">
        <v>45176</v>
      </c>
      <c r="E44" s="103" t="s">
        <v>84</v>
      </c>
      <c r="F44" s="117" t="s">
        <v>420</v>
      </c>
      <c r="G44" s="132" t="s">
        <v>85</v>
      </c>
      <c r="H44" s="107">
        <v>14.41</v>
      </c>
      <c r="I44" s="108">
        <v>10780</v>
      </c>
      <c r="J44" s="89" t="s">
        <v>86</v>
      </c>
      <c r="K44" s="89">
        <v>1</v>
      </c>
      <c r="L44" s="109">
        <v>47.507000000000012</v>
      </c>
      <c r="M44" s="96">
        <v>752000</v>
      </c>
      <c r="N44" s="96">
        <v>122340.9</v>
      </c>
      <c r="O44" s="110">
        <v>58784.137074536367</v>
      </c>
      <c r="P44" s="110">
        <v>15166.186035742096</v>
      </c>
      <c r="Q44" s="110">
        <v>56236.217820531696</v>
      </c>
      <c r="R44" s="110">
        <v>2760.2458585050617</v>
      </c>
      <c r="S44" s="96">
        <v>0</v>
      </c>
      <c r="T44" s="110">
        <v>85082.303660513164</v>
      </c>
      <c r="U44" s="110">
        <v>0</v>
      </c>
      <c r="V44" s="110">
        <v>1092369.9904498283</v>
      </c>
      <c r="W44" s="111">
        <v>821.66</v>
      </c>
      <c r="X44" s="98">
        <f t="shared" si="0"/>
        <v>1913.11</v>
      </c>
      <c r="Y44" s="99">
        <f t="shared" si="1"/>
        <v>1</v>
      </c>
      <c r="Z44" s="100">
        <f t="shared" si="2"/>
        <v>1913.11</v>
      </c>
      <c r="AC44" s="101">
        <v>39326</v>
      </c>
    </row>
    <row r="45" spans="1:29" s="99" customFormat="1" ht="14.4">
      <c r="A45" s="87"/>
      <c r="B45" s="131" t="s">
        <v>562</v>
      </c>
      <c r="C45" s="103" t="s">
        <v>21</v>
      </c>
      <c r="D45" s="104">
        <v>45176</v>
      </c>
      <c r="E45" s="103" t="s">
        <v>84</v>
      </c>
      <c r="F45" s="117" t="s">
        <v>421</v>
      </c>
      <c r="G45" s="137" t="s">
        <v>563</v>
      </c>
      <c r="H45" s="107">
        <v>11.7</v>
      </c>
      <c r="I45" s="108">
        <v>4830</v>
      </c>
      <c r="J45" s="89" t="s">
        <v>86</v>
      </c>
      <c r="K45" s="89">
        <v>1</v>
      </c>
      <c r="L45" s="109">
        <v>47.507000000000012</v>
      </c>
      <c r="M45" s="96">
        <v>593000</v>
      </c>
      <c r="N45" s="96">
        <v>99333</v>
      </c>
      <c r="O45" s="110">
        <v>47728.966257604123</v>
      </c>
      <c r="P45" s="110">
        <v>12313.974782663603</v>
      </c>
      <c r="Q45" s="110">
        <v>45660.218494116642</v>
      </c>
      <c r="R45" s="110">
        <v>2241.1434104447758</v>
      </c>
      <c r="S45" s="96">
        <v>0</v>
      </c>
      <c r="T45" s="110">
        <v>69081.398530742808</v>
      </c>
      <c r="U45" s="110">
        <v>0</v>
      </c>
      <c r="V45" s="110">
        <v>869358.70147557196</v>
      </c>
      <c r="W45" s="111">
        <v>653.91</v>
      </c>
      <c r="X45" s="98">
        <f t="shared" si="0"/>
        <v>1913.11</v>
      </c>
      <c r="Y45" s="99">
        <f t="shared" si="1"/>
        <v>0</v>
      </c>
      <c r="Z45" s="100">
        <f t="shared" si="2"/>
        <v>0</v>
      </c>
      <c r="AC45" s="101">
        <v>17780</v>
      </c>
    </row>
    <row r="46" spans="1:29" s="99" customFormat="1" ht="14.4">
      <c r="A46" s="87"/>
      <c r="B46" s="131" t="s">
        <v>562</v>
      </c>
      <c r="C46" s="103" t="s">
        <v>21</v>
      </c>
      <c r="D46" s="104">
        <v>45176</v>
      </c>
      <c r="E46" s="103" t="s">
        <v>84</v>
      </c>
      <c r="F46" s="117" t="s">
        <v>422</v>
      </c>
      <c r="G46" s="132" t="s">
        <v>88</v>
      </c>
      <c r="H46" s="107">
        <v>6.09</v>
      </c>
      <c r="I46" s="108">
        <v>1303</v>
      </c>
      <c r="J46" s="89" t="s">
        <v>86</v>
      </c>
      <c r="K46" s="89">
        <v>1</v>
      </c>
      <c r="L46" s="109">
        <v>47.507000000000012</v>
      </c>
      <c r="M46" s="96">
        <v>147000</v>
      </c>
      <c r="N46" s="96">
        <v>51704.1</v>
      </c>
      <c r="O46" s="110">
        <v>24843.538846906762</v>
      </c>
      <c r="P46" s="110">
        <v>6409.5817458479778</v>
      </c>
      <c r="Q46" s="110">
        <v>23766.729113604302</v>
      </c>
      <c r="R46" s="110">
        <v>1166.5438777443321</v>
      </c>
      <c r="S46" s="96">
        <v>0</v>
      </c>
      <c r="T46" s="110">
        <v>35957.753594207155</v>
      </c>
      <c r="U46" s="110">
        <v>0</v>
      </c>
      <c r="V46" s="110">
        <v>290848.24717831053</v>
      </c>
      <c r="W46" s="111">
        <v>218.77</v>
      </c>
      <c r="X46" s="98">
        <f t="shared" si="0"/>
        <v>1913.11</v>
      </c>
      <c r="Y46" s="99">
        <f t="shared" si="1"/>
        <v>0</v>
      </c>
      <c r="Z46" s="100">
        <f t="shared" si="2"/>
        <v>0</v>
      </c>
      <c r="AC46" s="101">
        <v>18016</v>
      </c>
    </row>
    <row r="47" spans="1:29" s="99" customFormat="1" ht="14.4">
      <c r="A47" s="87"/>
      <c r="B47" s="131" t="s">
        <v>562</v>
      </c>
      <c r="C47" s="103" t="s">
        <v>21</v>
      </c>
      <c r="D47" s="104">
        <v>45176</v>
      </c>
      <c r="E47" s="103" t="s">
        <v>84</v>
      </c>
      <c r="F47" s="117" t="s">
        <v>423</v>
      </c>
      <c r="G47" s="132" t="s">
        <v>88</v>
      </c>
      <c r="H47" s="107">
        <v>6.09</v>
      </c>
      <c r="I47" s="108">
        <v>386</v>
      </c>
      <c r="J47" s="89" t="s">
        <v>86</v>
      </c>
      <c r="K47" s="89">
        <v>1</v>
      </c>
      <c r="L47" s="109">
        <v>47.507000000000012</v>
      </c>
      <c r="M47" s="96">
        <v>147000</v>
      </c>
      <c r="N47" s="96">
        <v>51704.1</v>
      </c>
      <c r="O47" s="110">
        <v>24843.538846906762</v>
      </c>
      <c r="P47" s="110">
        <v>6409.5817458479778</v>
      </c>
      <c r="Q47" s="110">
        <v>23766.729113604302</v>
      </c>
      <c r="R47" s="110">
        <v>1166.5438777443321</v>
      </c>
      <c r="S47" s="96">
        <v>0</v>
      </c>
      <c r="T47" s="110">
        <v>35957.753594207155</v>
      </c>
      <c r="U47" s="110">
        <v>0</v>
      </c>
      <c r="V47" s="110">
        <v>290848.24717831053</v>
      </c>
      <c r="W47" s="111">
        <v>218.77</v>
      </c>
      <c r="X47" s="98">
        <f t="shared" si="0"/>
        <v>1913.11</v>
      </c>
      <c r="Y47" s="99">
        <f t="shared" si="1"/>
        <v>0</v>
      </c>
      <c r="Z47" s="100">
        <f t="shared" si="2"/>
        <v>0</v>
      </c>
      <c r="AC47" s="101">
        <v>5600</v>
      </c>
    </row>
    <row r="48" spans="1:29" s="99" customFormat="1" ht="14.4">
      <c r="A48" s="87"/>
      <c r="B48" s="138" t="s">
        <v>562</v>
      </c>
      <c r="C48" s="139" t="s">
        <v>21</v>
      </c>
      <c r="D48" s="140">
        <v>45176</v>
      </c>
      <c r="E48" s="139" t="s">
        <v>84</v>
      </c>
      <c r="F48" s="141" t="s">
        <v>564</v>
      </c>
      <c r="G48" s="142" t="s">
        <v>565</v>
      </c>
      <c r="H48" s="143">
        <v>1.24</v>
      </c>
      <c r="I48" s="144">
        <v>1494.4</v>
      </c>
      <c r="J48" s="89" t="s">
        <v>96</v>
      </c>
      <c r="K48" s="89">
        <v>0</v>
      </c>
      <c r="L48" s="109">
        <v>47.507000000000012</v>
      </c>
      <c r="M48" s="145">
        <v>0</v>
      </c>
      <c r="N48" s="145">
        <v>0</v>
      </c>
      <c r="O48" s="146">
        <v>0</v>
      </c>
      <c r="P48" s="146">
        <v>0</v>
      </c>
      <c r="Q48" s="146">
        <v>0</v>
      </c>
      <c r="R48" s="146">
        <v>0</v>
      </c>
      <c r="S48" s="145">
        <v>0</v>
      </c>
      <c r="T48" s="146">
        <v>0</v>
      </c>
      <c r="U48" s="146">
        <v>0</v>
      </c>
      <c r="V48" s="146">
        <v>0</v>
      </c>
      <c r="W48" s="147">
        <v>0</v>
      </c>
      <c r="X48" s="98">
        <f t="shared" si="0"/>
        <v>1913.11</v>
      </c>
      <c r="Y48" s="99">
        <f t="shared" si="1"/>
        <v>0</v>
      </c>
      <c r="Z48" s="100">
        <f t="shared" si="2"/>
        <v>0</v>
      </c>
      <c r="AC48" s="101"/>
    </row>
    <row r="49" spans="1:29" s="99" customFormat="1" ht="14.4">
      <c r="A49" s="87"/>
      <c r="B49" s="138" t="s">
        <v>562</v>
      </c>
      <c r="C49" s="139" t="s">
        <v>21</v>
      </c>
      <c r="D49" s="140">
        <v>45176</v>
      </c>
      <c r="E49" s="139" t="s">
        <v>84</v>
      </c>
      <c r="F49" s="141" t="s">
        <v>566</v>
      </c>
      <c r="G49" s="142" t="s">
        <v>565</v>
      </c>
      <c r="H49" s="143">
        <v>0.42</v>
      </c>
      <c r="I49" s="144">
        <v>44</v>
      </c>
      <c r="J49" s="89" t="s">
        <v>96</v>
      </c>
      <c r="K49" s="89">
        <v>0</v>
      </c>
      <c r="L49" s="109">
        <v>47.507000000000012</v>
      </c>
      <c r="M49" s="145">
        <v>0</v>
      </c>
      <c r="N49" s="145">
        <v>0</v>
      </c>
      <c r="O49" s="146">
        <v>0</v>
      </c>
      <c r="P49" s="146">
        <v>0</v>
      </c>
      <c r="Q49" s="146">
        <v>0</v>
      </c>
      <c r="R49" s="146">
        <v>0</v>
      </c>
      <c r="S49" s="145">
        <v>0</v>
      </c>
      <c r="T49" s="146">
        <v>0</v>
      </c>
      <c r="U49" s="146">
        <v>0</v>
      </c>
      <c r="V49" s="146">
        <v>0</v>
      </c>
      <c r="W49" s="147">
        <v>0</v>
      </c>
      <c r="X49" s="98">
        <f t="shared" si="0"/>
        <v>1913.11</v>
      </c>
      <c r="Y49" s="99">
        <f t="shared" si="1"/>
        <v>0</v>
      </c>
      <c r="Z49" s="100">
        <f t="shared" si="2"/>
        <v>0</v>
      </c>
      <c r="AC49" s="116"/>
    </row>
    <row r="50" spans="1:29" s="99" customFormat="1" ht="14.4">
      <c r="A50" s="87"/>
      <c r="B50" s="138" t="s">
        <v>562</v>
      </c>
      <c r="C50" s="139" t="s">
        <v>21</v>
      </c>
      <c r="D50" s="140">
        <v>45176</v>
      </c>
      <c r="E50" s="139" t="s">
        <v>84</v>
      </c>
      <c r="F50" s="141" t="s">
        <v>426</v>
      </c>
      <c r="G50" s="142" t="s">
        <v>565</v>
      </c>
      <c r="H50" s="148">
        <v>3.7440000000000002</v>
      </c>
      <c r="I50" s="144">
        <v>3209</v>
      </c>
      <c r="J50" s="89" t="s">
        <v>96</v>
      </c>
      <c r="K50" s="89">
        <v>0</v>
      </c>
      <c r="L50" s="109">
        <v>47.507000000000012</v>
      </c>
      <c r="M50" s="145">
        <v>0</v>
      </c>
      <c r="N50" s="145">
        <v>0</v>
      </c>
      <c r="O50" s="146">
        <v>0</v>
      </c>
      <c r="P50" s="146">
        <v>0</v>
      </c>
      <c r="Q50" s="146">
        <v>0</v>
      </c>
      <c r="R50" s="146">
        <v>0</v>
      </c>
      <c r="S50" s="145">
        <v>0</v>
      </c>
      <c r="T50" s="146">
        <v>0</v>
      </c>
      <c r="U50" s="146">
        <v>0</v>
      </c>
      <c r="V50" s="146">
        <v>0</v>
      </c>
      <c r="W50" s="147">
        <v>0</v>
      </c>
      <c r="X50" s="98">
        <f t="shared" si="0"/>
        <v>1913.11</v>
      </c>
      <c r="Y50" s="99">
        <f t="shared" si="1"/>
        <v>0</v>
      </c>
      <c r="Z50" s="100">
        <f t="shared" si="2"/>
        <v>0</v>
      </c>
      <c r="AC50" s="149"/>
    </row>
    <row r="51" spans="1:29" s="99" customFormat="1" ht="14.4">
      <c r="A51" s="112"/>
      <c r="B51" s="138" t="s">
        <v>562</v>
      </c>
      <c r="C51" s="139" t="s">
        <v>21</v>
      </c>
      <c r="D51" s="140">
        <v>45176</v>
      </c>
      <c r="E51" s="139" t="s">
        <v>84</v>
      </c>
      <c r="F51" s="141" t="s">
        <v>427</v>
      </c>
      <c r="G51" s="142" t="s">
        <v>565</v>
      </c>
      <c r="H51" s="148">
        <v>3.8130000000000002</v>
      </c>
      <c r="I51" s="144">
        <v>2100</v>
      </c>
      <c r="J51" s="89" t="s">
        <v>96</v>
      </c>
      <c r="K51" s="89">
        <v>0</v>
      </c>
      <c r="L51" s="109">
        <v>47.507000000000012</v>
      </c>
      <c r="M51" s="145">
        <v>0</v>
      </c>
      <c r="N51" s="145">
        <v>0</v>
      </c>
      <c r="O51" s="146">
        <v>0</v>
      </c>
      <c r="P51" s="146">
        <v>0</v>
      </c>
      <c r="Q51" s="146">
        <v>0</v>
      </c>
      <c r="R51" s="146">
        <v>0</v>
      </c>
      <c r="S51" s="145">
        <v>0</v>
      </c>
      <c r="T51" s="146">
        <v>0</v>
      </c>
      <c r="U51" s="146">
        <v>0</v>
      </c>
      <c r="V51" s="146">
        <v>0</v>
      </c>
      <c r="W51" s="147">
        <v>0</v>
      </c>
      <c r="X51" s="98">
        <f t="shared" si="0"/>
        <v>1913.11</v>
      </c>
      <c r="Y51" s="99">
        <f t="shared" si="1"/>
        <v>0</v>
      </c>
      <c r="Z51" s="100">
        <f t="shared" si="2"/>
        <v>0</v>
      </c>
      <c r="AC51" s="149"/>
    </row>
    <row r="52" spans="1:29" s="99" customFormat="1" ht="14.4">
      <c r="A52" s="115">
        <v>14</v>
      </c>
      <c r="B52" s="131" t="s">
        <v>567</v>
      </c>
      <c r="C52" s="137" t="s">
        <v>21</v>
      </c>
      <c r="D52" s="104">
        <v>45176</v>
      </c>
      <c r="E52" s="103" t="s">
        <v>84</v>
      </c>
      <c r="F52" s="117" t="s">
        <v>428</v>
      </c>
      <c r="G52" s="132" t="s">
        <v>568</v>
      </c>
      <c r="H52" s="113">
        <v>2.6619999999999999</v>
      </c>
      <c r="I52" s="114">
        <v>1358</v>
      </c>
      <c r="J52" s="89" t="s">
        <v>86</v>
      </c>
      <c r="K52" s="89">
        <v>1</v>
      </c>
      <c r="L52" s="109">
        <v>23.993000000000002</v>
      </c>
      <c r="M52" s="96">
        <v>392000</v>
      </c>
      <c r="N52" s="96">
        <v>22600.38</v>
      </c>
      <c r="O52" s="110">
        <v>21501.921393739838</v>
      </c>
      <c r="P52" s="110">
        <v>5547.4513399741581</v>
      </c>
      <c r="Q52" s="110">
        <v>20569.949568624179</v>
      </c>
      <c r="R52" s="110">
        <v>1009.6361438752969</v>
      </c>
      <c r="S52" s="96">
        <v>0</v>
      </c>
      <c r="T52" s="110">
        <v>31121.202017255029</v>
      </c>
      <c r="U52" s="110">
        <v>0</v>
      </c>
      <c r="V52" s="110">
        <v>494350.54046346853</v>
      </c>
      <c r="W52" s="111">
        <v>371.84</v>
      </c>
      <c r="X52" s="98">
        <f t="shared" si="0"/>
        <v>609.29</v>
      </c>
      <c r="Y52" s="99">
        <f t="shared" si="1"/>
        <v>1</v>
      </c>
      <c r="Z52" s="100">
        <f t="shared" si="2"/>
        <v>609.29</v>
      </c>
      <c r="AC52" s="149">
        <v>4930</v>
      </c>
    </row>
    <row r="53" spans="1:29" s="99" customFormat="1" ht="14.4">
      <c r="A53" s="87"/>
      <c r="B53" s="131" t="s">
        <v>567</v>
      </c>
      <c r="C53" s="137" t="s">
        <v>21</v>
      </c>
      <c r="D53" s="104">
        <v>45176</v>
      </c>
      <c r="E53" s="103" t="s">
        <v>84</v>
      </c>
      <c r="F53" s="150" t="s">
        <v>429</v>
      </c>
      <c r="G53" s="132" t="s">
        <v>569</v>
      </c>
      <c r="H53" s="113">
        <v>0.72</v>
      </c>
      <c r="I53" s="108">
        <v>908</v>
      </c>
      <c r="J53" s="89" t="s">
        <v>86</v>
      </c>
      <c r="K53" s="89">
        <v>1</v>
      </c>
      <c r="L53" s="109">
        <v>23.993000000000002</v>
      </c>
      <c r="M53" s="96">
        <v>288000</v>
      </c>
      <c r="N53" s="96">
        <v>6112.8</v>
      </c>
      <c r="O53" s="110">
        <v>5815.6962447380483</v>
      </c>
      <c r="P53" s="110">
        <v>1500.4376276413952</v>
      </c>
      <c r="Q53" s="110">
        <v>5563.6227232942938</v>
      </c>
      <c r="R53" s="110">
        <v>273.07964823073394</v>
      </c>
      <c r="S53" s="96">
        <v>0</v>
      </c>
      <c r="T53" s="110">
        <v>8417.4550910682265</v>
      </c>
      <c r="U53" s="110">
        <v>0</v>
      </c>
      <c r="V53" s="110">
        <v>315683.09133497271</v>
      </c>
      <c r="W53" s="111">
        <v>237.45</v>
      </c>
      <c r="X53" s="98">
        <f t="shared" si="0"/>
        <v>609.29</v>
      </c>
      <c r="Y53" s="99">
        <f t="shared" si="1"/>
        <v>0</v>
      </c>
      <c r="Z53" s="100">
        <f t="shared" si="2"/>
        <v>0</v>
      </c>
      <c r="AC53" s="149">
        <v>32000</v>
      </c>
    </row>
    <row r="54" spans="1:29" s="99" customFormat="1" ht="14.4">
      <c r="A54" s="87"/>
      <c r="B54" s="138" t="s">
        <v>567</v>
      </c>
      <c r="C54" s="151" t="s">
        <v>21</v>
      </c>
      <c r="D54" s="140">
        <v>45176</v>
      </c>
      <c r="E54" s="139" t="s">
        <v>84</v>
      </c>
      <c r="F54" s="152" t="s">
        <v>430</v>
      </c>
      <c r="G54" s="141" t="s">
        <v>370</v>
      </c>
      <c r="H54" s="148">
        <v>0.57999999999999996</v>
      </c>
      <c r="I54" s="144">
        <v>192.8</v>
      </c>
      <c r="J54" s="89" t="s">
        <v>96</v>
      </c>
      <c r="K54" s="89">
        <v>0</v>
      </c>
      <c r="L54" s="109">
        <v>23.993000000000002</v>
      </c>
      <c r="M54" s="145">
        <v>0</v>
      </c>
      <c r="N54" s="145">
        <v>0</v>
      </c>
      <c r="O54" s="146">
        <v>0</v>
      </c>
      <c r="P54" s="146">
        <v>0</v>
      </c>
      <c r="Q54" s="146">
        <v>0</v>
      </c>
      <c r="R54" s="146">
        <v>0</v>
      </c>
      <c r="S54" s="145">
        <v>0</v>
      </c>
      <c r="T54" s="146">
        <v>0</v>
      </c>
      <c r="U54" s="146">
        <v>0</v>
      </c>
      <c r="V54" s="146">
        <v>0</v>
      </c>
      <c r="W54" s="147">
        <v>0</v>
      </c>
      <c r="X54" s="98">
        <f t="shared" si="0"/>
        <v>609.29</v>
      </c>
      <c r="Y54" s="99">
        <f t="shared" si="1"/>
        <v>0</v>
      </c>
      <c r="Z54" s="100">
        <f t="shared" si="2"/>
        <v>0</v>
      </c>
      <c r="AC54" s="149"/>
    </row>
    <row r="55" spans="1:29" s="99" customFormat="1" ht="14.4">
      <c r="A55" s="87"/>
      <c r="B55" s="138" t="s">
        <v>567</v>
      </c>
      <c r="C55" s="151" t="s">
        <v>21</v>
      </c>
      <c r="D55" s="140">
        <v>45176</v>
      </c>
      <c r="E55" s="139" t="s">
        <v>84</v>
      </c>
      <c r="F55" s="152" t="s">
        <v>431</v>
      </c>
      <c r="G55" s="141" t="s">
        <v>570</v>
      </c>
      <c r="H55" s="153">
        <v>0.55000000000000004</v>
      </c>
      <c r="I55" s="154">
        <v>105.5</v>
      </c>
      <c r="J55" s="89" t="s">
        <v>96</v>
      </c>
      <c r="K55" s="89">
        <v>0</v>
      </c>
      <c r="L55" s="109">
        <v>23.993000000000002</v>
      </c>
      <c r="M55" s="145">
        <v>0</v>
      </c>
      <c r="N55" s="145">
        <v>0</v>
      </c>
      <c r="O55" s="146">
        <v>0</v>
      </c>
      <c r="P55" s="146">
        <v>0</v>
      </c>
      <c r="Q55" s="146">
        <v>0</v>
      </c>
      <c r="R55" s="146">
        <v>0</v>
      </c>
      <c r="S55" s="145">
        <v>0</v>
      </c>
      <c r="T55" s="146">
        <v>0</v>
      </c>
      <c r="U55" s="146">
        <v>0</v>
      </c>
      <c r="V55" s="146">
        <v>0</v>
      </c>
      <c r="W55" s="147">
        <v>0</v>
      </c>
      <c r="X55" s="98">
        <f t="shared" si="0"/>
        <v>609.29</v>
      </c>
      <c r="Y55" s="99">
        <f t="shared" si="1"/>
        <v>0</v>
      </c>
      <c r="Z55" s="100">
        <f t="shared" si="2"/>
        <v>0</v>
      </c>
      <c r="AC55" s="149">
        <v>5316.11</v>
      </c>
    </row>
    <row r="56" spans="1:29" s="99" customFormat="1" ht="14.4">
      <c r="A56" s="87"/>
      <c r="B56" s="138" t="s">
        <v>567</v>
      </c>
      <c r="C56" s="151" t="s">
        <v>21</v>
      </c>
      <c r="D56" s="140">
        <v>45176</v>
      </c>
      <c r="E56" s="139" t="s">
        <v>84</v>
      </c>
      <c r="F56" s="152" t="s">
        <v>432</v>
      </c>
      <c r="G56" s="141" t="s">
        <v>372</v>
      </c>
      <c r="H56" s="148">
        <v>1.32</v>
      </c>
      <c r="I56" s="155">
        <v>158</v>
      </c>
      <c r="J56" s="89" t="s">
        <v>96</v>
      </c>
      <c r="K56" s="89">
        <v>0</v>
      </c>
      <c r="L56" s="109">
        <v>23.993000000000002</v>
      </c>
      <c r="M56" s="145">
        <v>0</v>
      </c>
      <c r="N56" s="145">
        <v>0</v>
      </c>
      <c r="O56" s="146">
        <v>0</v>
      </c>
      <c r="P56" s="146">
        <v>0</v>
      </c>
      <c r="Q56" s="146">
        <v>0</v>
      </c>
      <c r="R56" s="146">
        <v>0</v>
      </c>
      <c r="S56" s="145">
        <v>0</v>
      </c>
      <c r="T56" s="146">
        <v>0</v>
      </c>
      <c r="U56" s="146">
        <v>0</v>
      </c>
      <c r="V56" s="146">
        <v>0</v>
      </c>
      <c r="W56" s="147">
        <v>0</v>
      </c>
      <c r="X56" s="98">
        <f t="shared" si="0"/>
        <v>609.29</v>
      </c>
      <c r="Y56" s="99">
        <f t="shared" si="1"/>
        <v>0</v>
      </c>
      <c r="Z56" s="100">
        <f t="shared" si="2"/>
        <v>0</v>
      </c>
      <c r="AC56" s="149">
        <v>11180</v>
      </c>
    </row>
    <row r="57" spans="1:29" s="99" customFormat="1" ht="14.4">
      <c r="A57" s="87"/>
      <c r="B57" s="138" t="s">
        <v>567</v>
      </c>
      <c r="C57" s="151" t="s">
        <v>21</v>
      </c>
      <c r="D57" s="140">
        <v>45176</v>
      </c>
      <c r="E57" s="139" t="s">
        <v>84</v>
      </c>
      <c r="F57" s="152" t="s">
        <v>571</v>
      </c>
      <c r="G57" s="141" t="s">
        <v>565</v>
      </c>
      <c r="H57" s="148">
        <v>14.672000000000001</v>
      </c>
      <c r="I57" s="144">
        <v>17376</v>
      </c>
      <c r="J57" s="89" t="s">
        <v>96</v>
      </c>
      <c r="K57" s="89">
        <v>0</v>
      </c>
      <c r="L57" s="109">
        <v>23.993000000000002</v>
      </c>
      <c r="M57" s="145">
        <v>0</v>
      </c>
      <c r="N57" s="145">
        <v>0</v>
      </c>
      <c r="O57" s="146">
        <v>0</v>
      </c>
      <c r="P57" s="146">
        <v>0</v>
      </c>
      <c r="Q57" s="146">
        <v>0</v>
      </c>
      <c r="R57" s="146">
        <v>0</v>
      </c>
      <c r="S57" s="145">
        <v>0</v>
      </c>
      <c r="T57" s="146">
        <v>0</v>
      </c>
      <c r="U57" s="146">
        <v>0</v>
      </c>
      <c r="V57" s="146">
        <v>0</v>
      </c>
      <c r="W57" s="147">
        <v>0</v>
      </c>
      <c r="X57" s="98">
        <f t="shared" si="0"/>
        <v>609.29</v>
      </c>
      <c r="Y57" s="99">
        <f t="shared" si="1"/>
        <v>0</v>
      </c>
      <c r="Z57" s="100">
        <f t="shared" si="2"/>
        <v>0</v>
      </c>
      <c r="AC57" s="149"/>
    </row>
    <row r="58" spans="1:29" s="121" customFormat="1" ht="14.4">
      <c r="A58" s="87"/>
      <c r="B58" s="138" t="s">
        <v>567</v>
      </c>
      <c r="C58" s="151" t="s">
        <v>21</v>
      </c>
      <c r="D58" s="140">
        <v>45176</v>
      </c>
      <c r="E58" s="139" t="s">
        <v>84</v>
      </c>
      <c r="F58" s="152" t="s">
        <v>572</v>
      </c>
      <c r="G58" s="141" t="s">
        <v>565</v>
      </c>
      <c r="H58" s="156">
        <v>0.44600000000000001</v>
      </c>
      <c r="I58" s="157">
        <v>575</v>
      </c>
      <c r="J58" s="89" t="s">
        <v>96</v>
      </c>
      <c r="K58" s="89">
        <v>0</v>
      </c>
      <c r="L58" s="109">
        <v>23.993000000000002</v>
      </c>
      <c r="M58" s="145">
        <v>0</v>
      </c>
      <c r="N58" s="145">
        <v>0</v>
      </c>
      <c r="O58" s="146">
        <v>0</v>
      </c>
      <c r="P58" s="146">
        <v>0</v>
      </c>
      <c r="Q58" s="146">
        <v>0</v>
      </c>
      <c r="R58" s="146">
        <v>0</v>
      </c>
      <c r="S58" s="145">
        <v>0</v>
      </c>
      <c r="T58" s="146">
        <v>0</v>
      </c>
      <c r="U58" s="146">
        <v>0</v>
      </c>
      <c r="V58" s="146">
        <v>0</v>
      </c>
      <c r="W58" s="147">
        <v>0</v>
      </c>
      <c r="X58" s="98">
        <f t="shared" si="0"/>
        <v>609.29</v>
      </c>
      <c r="Y58" s="99">
        <f t="shared" si="1"/>
        <v>0</v>
      </c>
      <c r="Z58" s="100">
        <f t="shared" si="2"/>
        <v>0</v>
      </c>
      <c r="AC58" s="149"/>
    </row>
    <row r="59" spans="1:29" s="99" customFormat="1" ht="14.4">
      <c r="A59" s="87"/>
      <c r="B59" s="138" t="s">
        <v>567</v>
      </c>
      <c r="C59" s="151" t="s">
        <v>21</v>
      </c>
      <c r="D59" s="140">
        <v>45176</v>
      </c>
      <c r="E59" s="139" t="s">
        <v>84</v>
      </c>
      <c r="F59" s="152" t="s">
        <v>573</v>
      </c>
      <c r="G59" s="141" t="s">
        <v>565</v>
      </c>
      <c r="H59" s="158">
        <v>0.66500000000000004</v>
      </c>
      <c r="I59" s="159">
        <v>308</v>
      </c>
      <c r="J59" s="89" t="s">
        <v>96</v>
      </c>
      <c r="K59" s="89">
        <v>0</v>
      </c>
      <c r="L59" s="109">
        <v>23.993000000000002</v>
      </c>
      <c r="M59" s="145">
        <v>0</v>
      </c>
      <c r="N59" s="145">
        <v>0</v>
      </c>
      <c r="O59" s="146">
        <v>0</v>
      </c>
      <c r="P59" s="146">
        <v>0</v>
      </c>
      <c r="Q59" s="146">
        <v>0</v>
      </c>
      <c r="R59" s="146">
        <v>0</v>
      </c>
      <c r="S59" s="145">
        <v>0</v>
      </c>
      <c r="T59" s="146">
        <v>0</v>
      </c>
      <c r="U59" s="146">
        <v>0</v>
      </c>
      <c r="V59" s="146">
        <v>0</v>
      </c>
      <c r="W59" s="147">
        <v>0</v>
      </c>
      <c r="X59" s="98">
        <f t="shared" si="0"/>
        <v>609.29</v>
      </c>
      <c r="Y59" s="99">
        <f t="shared" si="1"/>
        <v>0</v>
      </c>
      <c r="Z59" s="100">
        <f t="shared" si="2"/>
        <v>0</v>
      </c>
      <c r="AC59" s="149"/>
    </row>
    <row r="60" spans="1:29" s="99" customFormat="1" ht="17.25" customHeight="1">
      <c r="A60" s="87"/>
      <c r="B60" s="138" t="s">
        <v>567</v>
      </c>
      <c r="C60" s="151" t="s">
        <v>21</v>
      </c>
      <c r="D60" s="140">
        <v>45176</v>
      </c>
      <c r="E60" s="139" t="s">
        <v>84</v>
      </c>
      <c r="F60" s="152" t="s">
        <v>436</v>
      </c>
      <c r="G60" s="141" t="s">
        <v>565</v>
      </c>
      <c r="H60" s="160">
        <v>1.41</v>
      </c>
      <c r="I60" s="161">
        <v>1373</v>
      </c>
      <c r="J60" s="89" t="s">
        <v>96</v>
      </c>
      <c r="K60" s="89">
        <v>0</v>
      </c>
      <c r="L60" s="109">
        <v>23.993000000000002</v>
      </c>
      <c r="M60" s="145">
        <v>0</v>
      </c>
      <c r="N60" s="145">
        <v>0</v>
      </c>
      <c r="O60" s="146">
        <v>0</v>
      </c>
      <c r="P60" s="146">
        <v>0</v>
      </c>
      <c r="Q60" s="146">
        <v>0</v>
      </c>
      <c r="R60" s="146">
        <v>0</v>
      </c>
      <c r="S60" s="145">
        <v>0</v>
      </c>
      <c r="T60" s="146">
        <v>0</v>
      </c>
      <c r="U60" s="146">
        <v>0</v>
      </c>
      <c r="V60" s="146">
        <v>0</v>
      </c>
      <c r="W60" s="147">
        <v>0</v>
      </c>
      <c r="X60" s="98">
        <f t="shared" si="0"/>
        <v>609.29</v>
      </c>
      <c r="Y60" s="99">
        <f t="shared" si="1"/>
        <v>0</v>
      </c>
      <c r="Z60" s="100">
        <f t="shared" si="2"/>
        <v>0</v>
      </c>
      <c r="AC60" s="149"/>
    </row>
    <row r="61" spans="1:29" s="99" customFormat="1" ht="14.4">
      <c r="A61" s="112"/>
      <c r="B61" s="138" t="s">
        <v>567</v>
      </c>
      <c r="C61" s="151" t="s">
        <v>21</v>
      </c>
      <c r="D61" s="140">
        <v>45176</v>
      </c>
      <c r="E61" s="139" t="s">
        <v>84</v>
      </c>
      <c r="F61" s="152" t="s">
        <v>437</v>
      </c>
      <c r="G61" s="141" t="s">
        <v>565</v>
      </c>
      <c r="H61" s="148">
        <v>0.96799999999999997</v>
      </c>
      <c r="I61" s="155">
        <v>189</v>
      </c>
      <c r="J61" s="89" t="s">
        <v>96</v>
      </c>
      <c r="K61" s="89">
        <v>0</v>
      </c>
      <c r="L61" s="109">
        <v>23.993000000000002</v>
      </c>
      <c r="M61" s="145">
        <v>0</v>
      </c>
      <c r="N61" s="145">
        <v>0</v>
      </c>
      <c r="O61" s="146">
        <v>0</v>
      </c>
      <c r="P61" s="146">
        <v>0</v>
      </c>
      <c r="Q61" s="146">
        <v>0</v>
      </c>
      <c r="R61" s="146">
        <v>0</v>
      </c>
      <c r="S61" s="145">
        <v>0</v>
      </c>
      <c r="T61" s="146">
        <v>0</v>
      </c>
      <c r="U61" s="146">
        <v>0</v>
      </c>
      <c r="V61" s="146">
        <v>0</v>
      </c>
      <c r="W61" s="147">
        <v>0</v>
      </c>
      <c r="X61" s="98">
        <f t="shared" si="0"/>
        <v>609.29</v>
      </c>
      <c r="Y61" s="99">
        <f t="shared" si="1"/>
        <v>0</v>
      </c>
      <c r="Z61" s="100">
        <f t="shared" si="2"/>
        <v>0</v>
      </c>
      <c r="AC61" s="149"/>
    </row>
    <row r="62" spans="1:29" s="99" customFormat="1" ht="14.4">
      <c r="A62" s="115">
        <v>15</v>
      </c>
      <c r="B62" s="131" t="s">
        <v>574</v>
      </c>
      <c r="C62" s="137" t="s">
        <v>21</v>
      </c>
      <c r="D62" s="104">
        <v>45176</v>
      </c>
      <c r="E62" s="103" t="s">
        <v>84</v>
      </c>
      <c r="F62" s="117" t="s">
        <v>438</v>
      </c>
      <c r="G62" s="103" t="s">
        <v>85</v>
      </c>
      <c r="H62" s="113">
        <v>23.24</v>
      </c>
      <c r="I62" s="114">
        <v>10471</v>
      </c>
      <c r="J62" s="89" t="s">
        <v>86</v>
      </c>
      <c r="K62" s="89">
        <v>1</v>
      </c>
      <c r="L62" s="109">
        <v>64.489999999999995</v>
      </c>
      <c r="M62" s="96">
        <v>752000</v>
      </c>
      <c r="N62" s="96">
        <v>197307.59999999998</v>
      </c>
      <c r="O62" s="110">
        <v>69838.92076290898</v>
      </c>
      <c r="P62" s="110">
        <v>18018.297410451232</v>
      </c>
      <c r="Q62" s="110">
        <v>66811.846797953171</v>
      </c>
      <c r="R62" s="110">
        <v>3279.3301287021245</v>
      </c>
      <c r="S62" s="96">
        <v>0</v>
      </c>
      <c r="T62" s="110">
        <v>101082.64847263142</v>
      </c>
      <c r="U62" s="110">
        <v>0</v>
      </c>
      <c r="V62" s="110">
        <v>1208338.6435726469</v>
      </c>
      <c r="W62" s="111">
        <v>908.89</v>
      </c>
      <c r="X62" s="98">
        <f t="shared" si="0"/>
        <v>2346.29</v>
      </c>
      <c r="Y62" s="99">
        <f t="shared" si="1"/>
        <v>1</v>
      </c>
      <c r="Z62" s="100">
        <f t="shared" si="2"/>
        <v>2346.29</v>
      </c>
      <c r="AC62" s="162">
        <v>44236.800000000003</v>
      </c>
    </row>
    <row r="63" spans="1:29" s="99" customFormat="1" ht="14.4">
      <c r="A63" s="112"/>
      <c r="B63" s="131" t="s">
        <v>574</v>
      </c>
      <c r="C63" s="137" t="s">
        <v>21</v>
      </c>
      <c r="D63" s="104">
        <v>45176</v>
      </c>
      <c r="E63" s="103" t="s">
        <v>84</v>
      </c>
      <c r="F63" s="117" t="s">
        <v>439</v>
      </c>
      <c r="G63" s="103" t="s">
        <v>575</v>
      </c>
      <c r="H63" s="113">
        <v>41.249999999999993</v>
      </c>
      <c r="I63" s="114">
        <v>8208</v>
      </c>
      <c r="J63" s="89" t="s">
        <v>86</v>
      </c>
      <c r="K63" s="89">
        <v>1</v>
      </c>
      <c r="L63" s="109">
        <v>64.489999999999995</v>
      </c>
      <c r="M63" s="96">
        <v>1101000</v>
      </c>
      <c r="N63" s="96">
        <v>350212.49999999994</v>
      </c>
      <c r="O63" s="110">
        <v>123961.07923709102</v>
      </c>
      <c r="P63" s="110">
        <v>31981.702589548768</v>
      </c>
      <c r="Q63" s="110">
        <v>118588.15320204683</v>
      </c>
      <c r="R63" s="110">
        <v>5820.669871297875</v>
      </c>
      <c r="S63" s="96">
        <v>0</v>
      </c>
      <c r="T63" s="110">
        <v>179417.35152736859</v>
      </c>
      <c r="U63" s="110">
        <v>0</v>
      </c>
      <c r="V63" s="110">
        <v>1910981.4564273532</v>
      </c>
      <c r="W63" s="111">
        <v>1437.4</v>
      </c>
      <c r="X63" s="98">
        <f t="shared" si="0"/>
        <v>2346.29</v>
      </c>
      <c r="Y63" s="99">
        <f t="shared" si="1"/>
        <v>0</v>
      </c>
      <c r="Z63" s="100">
        <f t="shared" si="2"/>
        <v>0</v>
      </c>
      <c r="AC63" s="162">
        <v>68188.320000000007</v>
      </c>
    </row>
    <row r="64" spans="1:29" s="99" customFormat="1" ht="14.4">
      <c r="A64" s="115">
        <v>16</v>
      </c>
      <c r="B64" s="131" t="s">
        <v>576</v>
      </c>
      <c r="C64" s="137" t="s">
        <v>21</v>
      </c>
      <c r="D64" s="104">
        <v>45176</v>
      </c>
      <c r="E64" s="103" t="s">
        <v>84</v>
      </c>
      <c r="F64" s="150" t="s">
        <v>440</v>
      </c>
      <c r="G64" s="103" t="s">
        <v>85</v>
      </c>
      <c r="H64" s="113">
        <v>17.940000000000001</v>
      </c>
      <c r="I64" s="114">
        <v>7704</v>
      </c>
      <c r="J64" s="89" t="s">
        <v>86</v>
      </c>
      <c r="K64" s="89">
        <v>1</v>
      </c>
      <c r="L64" s="109">
        <v>61.61</v>
      </c>
      <c r="M64" s="96">
        <v>698500</v>
      </c>
      <c r="N64" s="96">
        <v>152310.6</v>
      </c>
      <c r="O64" s="110">
        <v>56431.94286641779</v>
      </c>
      <c r="P64" s="110">
        <v>14559.324784937511</v>
      </c>
      <c r="Q64" s="110">
        <v>53985.97630254829</v>
      </c>
      <c r="R64" s="110">
        <v>2649.7971108586271</v>
      </c>
      <c r="S64" s="96">
        <v>0</v>
      </c>
      <c r="T64" s="110">
        <v>81677.812043499434</v>
      </c>
      <c r="U64" s="110">
        <v>0</v>
      </c>
      <c r="V64" s="110">
        <v>1060115.4531082618</v>
      </c>
      <c r="W64" s="111">
        <v>797.4</v>
      </c>
      <c r="X64" s="98">
        <f t="shared" si="0"/>
        <v>2261.33</v>
      </c>
      <c r="Y64" s="99">
        <f t="shared" si="1"/>
        <v>1</v>
      </c>
      <c r="Z64" s="100">
        <f t="shared" si="2"/>
        <v>2261.33</v>
      </c>
      <c r="AC64" s="149">
        <v>25334.399999999998</v>
      </c>
    </row>
    <row r="65" spans="1:29" s="99" customFormat="1" ht="14.4">
      <c r="A65" s="112"/>
      <c r="B65" s="131" t="s">
        <v>576</v>
      </c>
      <c r="C65" s="137" t="s">
        <v>21</v>
      </c>
      <c r="D65" s="104">
        <v>45176</v>
      </c>
      <c r="E65" s="103" t="s">
        <v>84</v>
      </c>
      <c r="F65" s="150" t="s">
        <v>441</v>
      </c>
      <c r="G65" s="132" t="s">
        <v>577</v>
      </c>
      <c r="H65" s="113">
        <v>43.67</v>
      </c>
      <c r="I65" s="114">
        <v>6140.16</v>
      </c>
      <c r="J65" s="89" t="s">
        <v>86</v>
      </c>
      <c r="K65" s="89">
        <v>1</v>
      </c>
      <c r="L65" s="109">
        <v>61.61</v>
      </c>
      <c r="M65" s="96">
        <v>1066000</v>
      </c>
      <c r="N65" s="96">
        <v>370758.3</v>
      </c>
      <c r="O65" s="110">
        <v>137368.05713358222</v>
      </c>
      <c r="P65" s="110">
        <v>35440.675215062489</v>
      </c>
      <c r="Q65" s="110">
        <v>131414.02369745172</v>
      </c>
      <c r="R65" s="110">
        <v>6450.2028891413729</v>
      </c>
      <c r="S65" s="96">
        <v>0</v>
      </c>
      <c r="T65" s="110">
        <v>198822.18795650057</v>
      </c>
      <c r="U65" s="110">
        <v>0</v>
      </c>
      <c r="V65" s="110">
        <v>1946253.4468917383</v>
      </c>
      <c r="W65" s="111">
        <v>1463.93</v>
      </c>
      <c r="X65" s="98">
        <f t="shared" si="0"/>
        <v>2261.33</v>
      </c>
      <c r="Y65" s="99">
        <f t="shared" si="1"/>
        <v>0</v>
      </c>
      <c r="Z65" s="100">
        <f t="shared" si="2"/>
        <v>0</v>
      </c>
      <c r="AC65" s="149">
        <v>227635.20000000001</v>
      </c>
    </row>
    <row r="66" spans="1:29" s="99" customFormat="1" ht="14.4">
      <c r="A66" s="115">
        <v>17</v>
      </c>
      <c r="B66" s="131" t="s">
        <v>578</v>
      </c>
      <c r="C66" s="137" t="s">
        <v>21</v>
      </c>
      <c r="D66" s="104">
        <v>45176</v>
      </c>
      <c r="E66" s="103" t="s">
        <v>84</v>
      </c>
      <c r="F66" s="150" t="s">
        <v>442</v>
      </c>
      <c r="G66" s="132" t="s">
        <v>85</v>
      </c>
      <c r="H66" s="113">
        <v>22.425000000000001</v>
      </c>
      <c r="I66" s="114">
        <v>9630</v>
      </c>
      <c r="J66" s="89" t="s">
        <v>86</v>
      </c>
      <c r="K66" s="89">
        <v>1</v>
      </c>
      <c r="L66" s="109">
        <v>40.957000000000001</v>
      </c>
      <c r="M66" s="96">
        <v>752000</v>
      </c>
      <c r="N66" s="96">
        <v>190388.25</v>
      </c>
      <c r="O66" s="110">
        <v>106110.43289303416</v>
      </c>
      <c r="P66" s="110">
        <v>27376.272676221404</v>
      </c>
      <c r="Q66" s="110">
        <v>101511.21908342896</v>
      </c>
      <c r="R66" s="110">
        <v>4982.4816270722949</v>
      </c>
      <c r="S66" s="96">
        <v>0</v>
      </c>
      <c r="T66" s="110">
        <v>153580.88971360208</v>
      </c>
      <c r="U66" s="110">
        <v>0</v>
      </c>
      <c r="V66" s="110">
        <v>1335949.5459933588</v>
      </c>
      <c r="W66" s="111">
        <v>1004.87</v>
      </c>
      <c r="X66" s="98">
        <f t="shared" si="0"/>
        <v>1664.99</v>
      </c>
      <c r="Y66" s="99">
        <f t="shared" si="1"/>
        <v>1</v>
      </c>
      <c r="Z66" s="100">
        <f t="shared" si="2"/>
        <v>1664.99</v>
      </c>
      <c r="AC66" s="149">
        <v>31667.999999999996</v>
      </c>
    </row>
    <row r="67" spans="1:29" s="99" customFormat="1" ht="14.4">
      <c r="A67" s="87"/>
      <c r="B67" s="131" t="s">
        <v>578</v>
      </c>
      <c r="C67" s="137" t="s">
        <v>21</v>
      </c>
      <c r="D67" s="104">
        <v>45176</v>
      </c>
      <c r="E67" s="103" t="s">
        <v>84</v>
      </c>
      <c r="F67" s="150" t="s">
        <v>443</v>
      </c>
      <c r="G67" s="132" t="s">
        <v>222</v>
      </c>
      <c r="H67" s="163">
        <v>13.272</v>
      </c>
      <c r="I67" s="164">
        <v>7963</v>
      </c>
      <c r="J67" s="89" t="s">
        <v>86</v>
      </c>
      <c r="K67" s="89">
        <v>1</v>
      </c>
      <c r="L67" s="109">
        <v>40.957000000000001</v>
      </c>
      <c r="M67" s="96">
        <v>532000</v>
      </c>
      <c r="N67" s="96">
        <v>112679.28</v>
      </c>
      <c r="O67" s="110">
        <v>62800.341821910784</v>
      </c>
      <c r="P67" s="110">
        <v>16202.358571184413</v>
      </c>
      <c r="Q67" s="110">
        <v>60078.345581951806</v>
      </c>
      <c r="R67" s="110">
        <v>2948.8292599555634</v>
      </c>
      <c r="S67" s="96">
        <v>0</v>
      </c>
      <c r="T67" s="110">
        <v>90895.231584344554</v>
      </c>
      <c r="U67" s="110">
        <v>0</v>
      </c>
      <c r="V67" s="110">
        <v>877604.38681934716</v>
      </c>
      <c r="W67" s="111">
        <v>660.12</v>
      </c>
      <c r="X67" s="98">
        <f t="shared" si="0"/>
        <v>1664.99</v>
      </c>
      <c r="Y67" s="99">
        <f t="shared" si="1"/>
        <v>0</v>
      </c>
      <c r="Z67" s="100">
        <f t="shared" si="2"/>
        <v>0</v>
      </c>
      <c r="AC67" s="149">
        <v>16059.2</v>
      </c>
    </row>
    <row r="68" spans="1:29" s="99" customFormat="1" ht="14.4">
      <c r="A68" s="112"/>
      <c r="B68" s="138" t="s">
        <v>578</v>
      </c>
      <c r="C68" s="151" t="s">
        <v>21</v>
      </c>
      <c r="D68" s="140">
        <v>45176</v>
      </c>
      <c r="E68" s="139" t="s">
        <v>84</v>
      </c>
      <c r="F68" s="152" t="s">
        <v>444</v>
      </c>
      <c r="G68" s="142" t="s">
        <v>373</v>
      </c>
      <c r="H68" s="148">
        <v>5.26</v>
      </c>
      <c r="I68" s="155">
        <v>4988</v>
      </c>
      <c r="J68" s="89" t="s">
        <v>96</v>
      </c>
      <c r="K68" s="89">
        <v>0</v>
      </c>
      <c r="L68" s="109">
        <v>40.957000000000001</v>
      </c>
      <c r="M68" s="145">
        <v>0</v>
      </c>
      <c r="N68" s="145">
        <v>0</v>
      </c>
      <c r="O68" s="146">
        <v>0</v>
      </c>
      <c r="P68" s="146">
        <v>0</v>
      </c>
      <c r="Q68" s="146">
        <v>0</v>
      </c>
      <c r="R68" s="146">
        <v>0</v>
      </c>
      <c r="S68" s="145">
        <v>0</v>
      </c>
      <c r="T68" s="146">
        <v>0</v>
      </c>
      <c r="U68" s="146">
        <v>0</v>
      </c>
      <c r="V68" s="146">
        <v>0</v>
      </c>
      <c r="W68" s="147">
        <v>0</v>
      </c>
      <c r="X68" s="98">
        <f t="shared" si="0"/>
        <v>1664.99</v>
      </c>
      <c r="Y68" s="99">
        <f t="shared" si="1"/>
        <v>0</v>
      </c>
      <c r="Z68" s="100">
        <f t="shared" si="2"/>
        <v>0</v>
      </c>
      <c r="AC68" s="101">
        <v>12496</v>
      </c>
    </row>
    <row r="69" spans="1:29" s="99" customFormat="1" ht="14.4">
      <c r="A69" s="115">
        <v>18</v>
      </c>
      <c r="B69" s="131" t="s">
        <v>579</v>
      </c>
      <c r="C69" s="137" t="s">
        <v>21</v>
      </c>
      <c r="D69" s="104">
        <v>45176</v>
      </c>
      <c r="E69" s="103" t="s">
        <v>84</v>
      </c>
      <c r="F69" s="150" t="s">
        <v>445</v>
      </c>
      <c r="G69" s="132" t="s">
        <v>85</v>
      </c>
      <c r="H69" s="113">
        <v>35.133000000000003</v>
      </c>
      <c r="I69" s="114">
        <v>15087</v>
      </c>
      <c r="J69" s="89" t="s">
        <v>86</v>
      </c>
      <c r="K69" s="89">
        <v>1</v>
      </c>
      <c r="L69" s="109">
        <v>65.823000000000008</v>
      </c>
      <c r="M69" s="96">
        <v>1384500</v>
      </c>
      <c r="N69" s="96">
        <v>298279.17000000004</v>
      </c>
      <c r="O69" s="110">
        <v>103440.67271318535</v>
      </c>
      <c r="P69" s="110">
        <v>26687.480060161339</v>
      </c>
      <c r="Q69" s="110">
        <v>98957.176063078252</v>
      </c>
      <c r="R69" s="110">
        <v>4857.1213709493641</v>
      </c>
      <c r="S69" s="96">
        <v>0</v>
      </c>
      <c r="T69" s="110">
        <v>149716.76313750513</v>
      </c>
      <c r="U69" s="110">
        <v>0</v>
      </c>
      <c r="V69" s="110">
        <v>2066438.3833448794</v>
      </c>
      <c r="W69" s="111">
        <v>1554.33</v>
      </c>
      <c r="X69" s="98">
        <f t="shared" si="0"/>
        <v>2464.2400000000002</v>
      </c>
      <c r="Y69" s="99">
        <f t="shared" si="1"/>
        <v>1</v>
      </c>
      <c r="Z69" s="100">
        <f t="shared" si="2"/>
        <v>2464.2400000000002</v>
      </c>
      <c r="AC69" s="101">
        <v>49613.2</v>
      </c>
    </row>
    <row r="70" spans="1:29" s="99" customFormat="1" ht="14.4">
      <c r="A70" s="87"/>
      <c r="B70" s="131" t="s">
        <v>579</v>
      </c>
      <c r="C70" s="137" t="s">
        <v>21</v>
      </c>
      <c r="D70" s="104">
        <v>45176</v>
      </c>
      <c r="E70" s="103" t="s">
        <v>84</v>
      </c>
      <c r="F70" s="150" t="s">
        <v>446</v>
      </c>
      <c r="G70" s="132" t="s">
        <v>580</v>
      </c>
      <c r="H70" s="113">
        <v>18.75</v>
      </c>
      <c r="I70" s="114">
        <v>2160</v>
      </c>
      <c r="J70" s="89" t="s">
        <v>86</v>
      </c>
      <c r="K70" s="89">
        <v>1</v>
      </c>
      <c r="L70" s="109">
        <v>65.823000000000008</v>
      </c>
      <c r="M70" s="96">
        <v>376000</v>
      </c>
      <c r="N70" s="96">
        <v>159187.5</v>
      </c>
      <c r="O70" s="110">
        <v>55204.867599471305</v>
      </c>
      <c r="P70" s="110">
        <v>14242.741898728405</v>
      </c>
      <c r="Q70" s="110">
        <v>52812.086960484929</v>
      </c>
      <c r="R70" s="110">
        <v>2592.1790255685701</v>
      </c>
      <c r="S70" s="96">
        <v>0</v>
      </c>
      <c r="T70" s="110">
        <v>79901.782051866365</v>
      </c>
      <c r="U70" s="110">
        <v>0</v>
      </c>
      <c r="V70" s="110">
        <v>739941.15753611969</v>
      </c>
      <c r="W70" s="111">
        <v>556.57000000000005</v>
      </c>
      <c r="X70" s="98">
        <f t="shared" ref="X70:X133" si="3">SUMIF($B$6:$B$1048576,B70,$W$6:$W$1048576)</f>
        <v>2464.2400000000002</v>
      </c>
      <c r="Y70" s="99">
        <f t="shared" ref="Y70:Y133" si="4">IF(B70=B69,0,1)</f>
        <v>0</v>
      </c>
      <c r="Z70" s="100">
        <f t="shared" ref="Z70:Z133" si="5">X70*Y70</f>
        <v>0</v>
      </c>
      <c r="AC70" s="101">
        <v>14796.000000000002</v>
      </c>
    </row>
    <row r="71" spans="1:29" s="99" customFormat="1" ht="14.4">
      <c r="A71" s="112"/>
      <c r="B71" s="131" t="s">
        <v>579</v>
      </c>
      <c r="C71" s="137" t="s">
        <v>21</v>
      </c>
      <c r="D71" s="104">
        <v>45176</v>
      </c>
      <c r="E71" s="103" t="s">
        <v>84</v>
      </c>
      <c r="F71" s="150" t="s">
        <v>447</v>
      </c>
      <c r="G71" s="132" t="s">
        <v>108</v>
      </c>
      <c r="H71" s="135">
        <v>11.94</v>
      </c>
      <c r="I71" s="123">
        <v>976.8</v>
      </c>
      <c r="J71" s="89" t="s">
        <v>86</v>
      </c>
      <c r="K71" s="89">
        <v>1</v>
      </c>
      <c r="L71" s="109">
        <v>65.823000000000008</v>
      </c>
      <c r="M71" s="96">
        <v>238000</v>
      </c>
      <c r="N71" s="96">
        <v>101370.59999999999</v>
      </c>
      <c r="O71" s="110">
        <v>35154.459687343326</v>
      </c>
      <c r="P71" s="110">
        <v>9069.7780411102485</v>
      </c>
      <c r="Q71" s="110">
        <v>33630.736976436805</v>
      </c>
      <c r="R71" s="110">
        <v>1650.6996034820654</v>
      </c>
      <c r="S71" s="96">
        <v>0</v>
      </c>
      <c r="T71" s="110">
        <v>50881.4548106285</v>
      </c>
      <c r="U71" s="110">
        <v>0</v>
      </c>
      <c r="V71" s="110">
        <v>469757.72911900096</v>
      </c>
      <c r="W71" s="111">
        <v>353.34</v>
      </c>
      <c r="X71" s="98">
        <f t="shared" si="3"/>
        <v>2464.2400000000002</v>
      </c>
      <c r="Y71" s="99">
        <f t="shared" si="4"/>
        <v>0</v>
      </c>
      <c r="Z71" s="100">
        <f t="shared" si="5"/>
        <v>0</v>
      </c>
      <c r="AC71" s="101">
        <v>36696</v>
      </c>
    </row>
    <row r="72" spans="1:29" s="99" customFormat="1" ht="17.25" customHeight="1">
      <c r="A72" s="115">
        <v>19</v>
      </c>
      <c r="B72" s="131" t="s">
        <v>581</v>
      </c>
      <c r="C72" s="137" t="s">
        <v>21</v>
      </c>
      <c r="D72" s="104">
        <v>45176</v>
      </c>
      <c r="E72" s="103" t="s">
        <v>84</v>
      </c>
      <c r="F72" s="150" t="s">
        <v>448</v>
      </c>
      <c r="G72" s="132" t="s">
        <v>85</v>
      </c>
      <c r="H72" s="135">
        <v>14.202999999999999</v>
      </c>
      <c r="I72" s="123">
        <v>6099</v>
      </c>
      <c r="J72" s="89" t="s">
        <v>86</v>
      </c>
      <c r="K72" s="89">
        <v>1</v>
      </c>
      <c r="L72" s="109">
        <v>38.766000000000005</v>
      </c>
      <c r="M72" s="96">
        <v>698500</v>
      </c>
      <c r="N72" s="96">
        <v>120583.47</v>
      </c>
      <c r="O72" s="110">
        <v>71004.008667388931</v>
      </c>
      <c r="P72" s="110">
        <v>18318.887685084865</v>
      </c>
      <c r="Q72" s="110">
        <v>67926.435536294681</v>
      </c>
      <c r="R72" s="110">
        <v>3334.0375586854452</v>
      </c>
      <c r="S72" s="96">
        <v>0</v>
      </c>
      <c r="T72" s="110">
        <v>102768.95991332609</v>
      </c>
      <c r="U72" s="110">
        <v>0</v>
      </c>
      <c r="V72" s="110">
        <v>1082435.79936078</v>
      </c>
      <c r="W72" s="111">
        <v>814.19</v>
      </c>
      <c r="X72" s="98">
        <f t="shared" si="3"/>
        <v>3446.0899999999997</v>
      </c>
      <c r="Y72" s="99">
        <f t="shared" si="4"/>
        <v>1</v>
      </c>
      <c r="Z72" s="100">
        <f t="shared" si="5"/>
        <v>3446.0899999999997</v>
      </c>
      <c r="AC72" s="101">
        <v>20056.399999999998</v>
      </c>
    </row>
    <row r="73" spans="1:29" s="99" customFormat="1" ht="14.4">
      <c r="A73" s="87"/>
      <c r="B73" s="131" t="s">
        <v>581</v>
      </c>
      <c r="C73" s="137" t="s">
        <v>21</v>
      </c>
      <c r="D73" s="104">
        <v>45176</v>
      </c>
      <c r="E73" s="103" t="s">
        <v>84</v>
      </c>
      <c r="F73" s="150" t="s">
        <v>449</v>
      </c>
      <c r="G73" s="103" t="s">
        <v>85</v>
      </c>
      <c r="H73" s="113">
        <v>3.74</v>
      </c>
      <c r="I73" s="114">
        <v>1605</v>
      </c>
      <c r="J73" s="89" t="s">
        <v>86</v>
      </c>
      <c r="K73" s="89">
        <v>1</v>
      </c>
      <c r="L73" s="109">
        <v>38.766000000000005</v>
      </c>
      <c r="M73" s="96">
        <v>478000</v>
      </c>
      <c r="N73" s="96">
        <v>31752.600000000002</v>
      </c>
      <c r="O73" s="110">
        <v>18697.105711190216</v>
      </c>
      <c r="P73" s="110">
        <v>4823.8146829696116</v>
      </c>
      <c r="Q73" s="110">
        <v>17886.70484445132</v>
      </c>
      <c r="R73" s="110">
        <v>877.93427230046939</v>
      </c>
      <c r="S73" s="96">
        <v>0</v>
      </c>
      <c r="T73" s="110">
        <v>27061.600371459524</v>
      </c>
      <c r="U73" s="110">
        <v>0</v>
      </c>
      <c r="V73" s="110">
        <v>579099.75988237106</v>
      </c>
      <c r="W73" s="111">
        <v>435.59</v>
      </c>
      <c r="X73" s="98">
        <f t="shared" si="3"/>
        <v>3446.0899999999997</v>
      </c>
      <c r="Y73" s="99">
        <f t="shared" si="4"/>
        <v>0</v>
      </c>
      <c r="Z73" s="100">
        <f t="shared" si="5"/>
        <v>0</v>
      </c>
      <c r="AC73" s="101">
        <v>5278</v>
      </c>
    </row>
    <row r="74" spans="1:29" s="99" customFormat="1" ht="14.4">
      <c r="A74" s="87"/>
      <c r="B74" s="138" t="s">
        <v>581</v>
      </c>
      <c r="C74" s="151" t="s">
        <v>21</v>
      </c>
      <c r="D74" s="140">
        <v>45176</v>
      </c>
      <c r="E74" s="139" t="s">
        <v>84</v>
      </c>
      <c r="F74" s="152" t="s">
        <v>450</v>
      </c>
      <c r="G74" s="142" t="s">
        <v>582</v>
      </c>
      <c r="H74" s="148">
        <v>6.4909999999999997</v>
      </c>
      <c r="I74" s="155">
        <v>2270.31</v>
      </c>
      <c r="J74" s="89" t="s">
        <v>96</v>
      </c>
      <c r="K74" s="89">
        <v>0</v>
      </c>
      <c r="L74" s="109">
        <v>38.766000000000005</v>
      </c>
      <c r="M74" s="145">
        <v>0</v>
      </c>
      <c r="N74" s="145">
        <v>0</v>
      </c>
      <c r="O74" s="146">
        <v>0</v>
      </c>
      <c r="P74" s="146">
        <v>0</v>
      </c>
      <c r="Q74" s="146">
        <v>0</v>
      </c>
      <c r="R74" s="146">
        <v>0</v>
      </c>
      <c r="S74" s="145">
        <v>0</v>
      </c>
      <c r="T74" s="146">
        <v>0</v>
      </c>
      <c r="U74" s="146">
        <v>0</v>
      </c>
      <c r="V74" s="146">
        <v>0</v>
      </c>
      <c r="W74" s="147">
        <v>0</v>
      </c>
      <c r="X74" s="98">
        <f t="shared" si="3"/>
        <v>3446.0899999999997</v>
      </c>
      <c r="Y74" s="99">
        <f t="shared" si="4"/>
        <v>0</v>
      </c>
      <c r="Z74" s="100">
        <f t="shared" si="5"/>
        <v>0</v>
      </c>
      <c r="AC74" s="101">
        <v>20160</v>
      </c>
    </row>
    <row r="75" spans="1:29" s="99" customFormat="1" ht="14.4">
      <c r="A75" s="87"/>
      <c r="B75" s="131" t="s">
        <v>581</v>
      </c>
      <c r="C75" s="137" t="s">
        <v>21</v>
      </c>
      <c r="D75" s="104">
        <v>45176</v>
      </c>
      <c r="E75" s="103" t="s">
        <v>84</v>
      </c>
      <c r="F75" s="117" t="s">
        <v>583</v>
      </c>
      <c r="G75" s="103" t="s">
        <v>258</v>
      </c>
      <c r="H75" s="113">
        <v>7.3869999999999996</v>
      </c>
      <c r="I75" s="114">
        <v>8240.01</v>
      </c>
      <c r="J75" s="89" t="s">
        <v>86</v>
      </c>
      <c r="K75" s="89">
        <v>1</v>
      </c>
      <c r="L75" s="109">
        <v>38.766000000000005</v>
      </c>
      <c r="M75" s="96">
        <v>602000</v>
      </c>
      <c r="N75" s="96">
        <v>62715.63</v>
      </c>
      <c r="O75" s="110">
        <v>36929.283392663667</v>
      </c>
      <c r="P75" s="110">
        <v>9527.6788938760747</v>
      </c>
      <c r="Q75" s="110">
        <v>35328.633338492487</v>
      </c>
      <c r="R75" s="110">
        <v>1734.0375586854457</v>
      </c>
      <c r="S75" s="96">
        <v>0</v>
      </c>
      <c r="T75" s="110">
        <v>53450.278594644784</v>
      </c>
      <c r="U75" s="110">
        <v>0</v>
      </c>
      <c r="V75" s="110">
        <v>801685.54177836236</v>
      </c>
      <c r="W75" s="111">
        <v>603.01</v>
      </c>
      <c r="X75" s="98">
        <f t="shared" si="3"/>
        <v>3446.0899999999997</v>
      </c>
      <c r="Y75" s="99">
        <f t="shared" si="4"/>
        <v>0</v>
      </c>
      <c r="Z75" s="100">
        <f t="shared" si="5"/>
        <v>0</v>
      </c>
      <c r="AC75" s="165">
        <v>64504.24</v>
      </c>
    </row>
    <row r="76" spans="1:29" s="99" customFormat="1" ht="14.4">
      <c r="A76" s="87"/>
      <c r="B76" s="131" t="s">
        <v>581</v>
      </c>
      <c r="C76" s="137" t="s">
        <v>21</v>
      </c>
      <c r="D76" s="104">
        <v>45176</v>
      </c>
      <c r="E76" s="103" t="s">
        <v>84</v>
      </c>
      <c r="F76" s="117" t="s">
        <v>584</v>
      </c>
      <c r="G76" s="103" t="s">
        <v>258</v>
      </c>
      <c r="H76" s="163">
        <v>0.94799999999999995</v>
      </c>
      <c r="I76" s="164">
        <v>603.79999999999995</v>
      </c>
      <c r="J76" s="89" t="s">
        <v>86</v>
      </c>
      <c r="K76" s="89">
        <v>1</v>
      </c>
      <c r="L76" s="109">
        <v>38.766000000000005</v>
      </c>
      <c r="M76" s="96">
        <v>289000</v>
      </c>
      <c r="N76" s="96">
        <v>8048.5199999999995</v>
      </c>
      <c r="O76" s="110">
        <v>4739.2663674353807</v>
      </c>
      <c r="P76" s="110">
        <v>1222.7209410308001</v>
      </c>
      <c r="Q76" s="110">
        <v>4533.8492493422063</v>
      </c>
      <c r="R76" s="110">
        <v>222.5352112676056</v>
      </c>
      <c r="S76" s="96">
        <v>0</v>
      </c>
      <c r="T76" s="110">
        <v>6859.4644791827886</v>
      </c>
      <c r="U76" s="110">
        <v>0</v>
      </c>
      <c r="V76" s="110">
        <v>314626.35624825885</v>
      </c>
      <c r="W76" s="111">
        <v>236.66</v>
      </c>
      <c r="X76" s="98">
        <f t="shared" si="3"/>
        <v>3446.0899999999997</v>
      </c>
      <c r="Y76" s="99">
        <f t="shared" si="4"/>
        <v>0</v>
      </c>
      <c r="Z76" s="100">
        <f t="shared" si="5"/>
        <v>0</v>
      </c>
      <c r="AC76" s="166"/>
    </row>
    <row r="77" spans="1:29" s="99" customFormat="1" ht="14.4">
      <c r="A77" s="87"/>
      <c r="B77" s="131" t="s">
        <v>581</v>
      </c>
      <c r="C77" s="137" t="s">
        <v>21</v>
      </c>
      <c r="D77" s="104">
        <v>45176</v>
      </c>
      <c r="E77" s="103" t="s">
        <v>84</v>
      </c>
      <c r="F77" s="117" t="s">
        <v>585</v>
      </c>
      <c r="G77" s="103" t="s">
        <v>375</v>
      </c>
      <c r="H77" s="163">
        <v>2.57</v>
      </c>
      <c r="I77" s="164">
        <v>2454</v>
      </c>
      <c r="J77" s="89" t="s">
        <v>86</v>
      </c>
      <c r="K77" s="89">
        <v>1</v>
      </c>
      <c r="L77" s="109">
        <v>38.766000000000005</v>
      </c>
      <c r="M77" s="96">
        <v>478000</v>
      </c>
      <c r="N77" s="96">
        <v>21819.3</v>
      </c>
      <c r="O77" s="110">
        <v>12848.011143785789</v>
      </c>
      <c r="P77" s="110">
        <v>3314.7603570138776</v>
      </c>
      <c r="Q77" s="110">
        <v>12291.131403807458</v>
      </c>
      <c r="R77" s="110">
        <v>603.28638497652571</v>
      </c>
      <c r="S77" s="96">
        <v>0</v>
      </c>
      <c r="T77" s="110">
        <v>18595.805602847853</v>
      </c>
      <c r="U77" s="110">
        <v>0</v>
      </c>
      <c r="V77" s="110">
        <v>547472.29489243147</v>
      </c>
      <c r="W77" s="111">
        <v>411.8</v>
      </c>
      <c r="X77" s="98">
        <f t="shared" si="3"/>
        <v>3446.0899999999997</v>
      </c>
      <c r="Y77" s="99">
        <f t="shared" si="4"/>
        <v>0</v>
      </c>
      <c r="Z77" s="100">
        <f t="shared" si="5"/>
        <v>0</v>
      </c>
      <c r="AC77" s="166"/>
    </row>
    <row r="78" spans="1:29" s="99" customFormat="1" ht="14.4">
      <c r="A78" s="87"/>
      <c r="B78" s="131" t="s">
        <v>581</v>
      </c>
      <c r="C78" s="137" t="s">
        <v>21</v>
      </c>
      <c r="D78" s="104">
        <v>45176</v>
      </c>
      <c r="E78" s="103" t="s">
        <v>84</v>
      </c>
      <c r="F78" s="117" t="s">
        <v>586</v>
      </c>
      <c r="G78" s="132" t="s">
        <v>587</v>
      </c>
      <c r="H78" s="113">
        <v>1.256</v>
      </c>
      <c r="I78" s="114">
        <v>1239.4000000000001</v>
      </c>
      <c r="J78" s="89" t="s">
        <v>86</v>
      </c>
      <c r="K78" s="89">
        <v>1</v>
      </c>
      <c r="L78" s="109">
        <v>38.766000000000005</v>
      </c>
      <c r="M78" s="96">
        <v>391000</v>
      </c>
      <c r="N78" s="96">
        <v>10663.44</v>
      </c>
      <c r="O78" s="110">
        <v>6279.0280142392803</v>
      </c>
      <c r="P78" s="110">
        <v>1619.9762678635914</v>
      </c>
      <c r="Q78" s="110">
        <v>6006.8720012381973</v>
      </c>
      <c r="R78" s="110">
        <v>294.83568075117364</v>
      </c>
      <c r="S78" s="96">
        <v>0</v>
      </c>
      <c r="T78" s="110">
        <v>9088.0668627147479</v>
      </c>
      <c r="U78" s="110">
        <v>0</v>
      </c>
      <c r="V78" s="110">
        <v>424952.21882680705</v>
      </c>
      <c r="W78" s="111">
        <v>319.64</v>
      </c>
      <c r="X78" s="98">
        <f t="shared" si="3"/>
        <v>3446.0899999999997</v>
      </c>
      <c r="Y78" s="99">
        <f t="shared" si="4"/>
        <v>0</v>
      </c>
      <c r="Z78" s="100">
        <f t="shared" si="5"/>
        <v>0</v>
      </c>
      <c r="AC78" s="166"/>
    </row>
    <row r="79" spans="1:29" s="99" customFormat="1" ht="14.4">
      <c r="A79" s="87"/>
      <c r="B79" s="131" t="s">
        <v>581</v>
      </c>
      <c r="C79" s="137" t="s">
        <v>21</v>
      </c>
      <c r="D79" s="104">
        <v>45176</v>
      </c>
      <c r="E79" s="103" t="s">
        <v>84</v>
      </c>
      <c r="F79" s="117" t="s">
        <v>588</v>
      </c>
      <c r="G79" s="132" t="s">
        <v>589</v>
      </c>
      <c r="H79" s="113">
        <v>0.84</v>
      </c>
      <c r="I79" s="114">
        <v>970</v>
      </c>
      <c r="J79" s="89" t="s">
        <v>86</v>
      </c>
      <c r="K79" s="89">
        <v>1</v>
      </c>
      <c r="L79" s="109">
        <v>38.766000000000005</v>
      </c>
      <c r="M79" s="96">
        <v>288000</v>
      </c>
      <c r="N79" s="96">
        <v>7131.5999999999995</v>
      </c>
      <c r="O79" s="110">
        <v>4199.3499458288179</v>
      </c>
      <c r="P79" s="110">
        <v>1083.423618634886</v>
      </c>
      <c r="Q79" s="110">
        <v>4017.3347778981574</v>
      </c>
      <c r="R79" s="110">
        <v>197.18309859154925</v>
      </c>
      <c r="S79" s="96">
        <v>0</v>
      </c>
      <c r="T79" s="110">
        <v>6078.0065005417109</v>
      </c>
      <c r="U79" s="110">
        <v>0</v>
      </c>
      <c r="V79" s="110">
        <v>310706.89794149512</v>
      </c>
      <c r="W79" s="111">
        <v>233.71</v>
      </c>
      <c r="X79" s="98">
        <f t="shared" si="3"/>
        <v>3446.0899999999997</v>
      </c>
      <c r="Y79" s="99">
        <f t="shared" si="4"/>
        <v>0</v>
      </c>
      <c r="Z79" s="100">
        <f t="shared" si="5"/>
        <v>0</v>
      </c>
      <c r="AC79" s="166"/>
    </row>
    <row r="80" spans="1:29" s="99" customFormat="1" ht="14.4">
      <c r="A80" s="87"/>
      <c r="B80" s="131" t="s">
        <v>581</v>
      </c>
      <c r="C80" s="137" t="s">
        <v>21</v>
      </c>
      <c r="D80" s="104">
        <v>45176</v>
      </c>
      <c r="E80" s="103" t="s">
        <v>84</v>
      </c>
      <c r="F80" s="117" t="s">
        <v>590</v>
      </c>
      <c r="G80" s="103" t="s">
        <v>329</v>
      </c>
      <c r="H80" s="113">
        <v>1.222</v>
      </c>
      <c r="I80" s="114">
        <v>483.5</v>
      </c>
      <c r="J80" s="89" t="s">
        <v>86</v>
      </c>
      <c r="K80" s="89">
        <v>1</v>
      </c>
      <c r="L80" s="109">
        <v>38.766000000000005</v>
      </c>
      <c r="M80" s="96">
        <v>288000</v>
      </c>
      <c r="N80" s="96">
        <v>10374.780000000001</v>
      </c>
      <c r="O80" s="110">
        <v>6109.0543259557335</v>
      </c>
      <c r="P80" s="110">
        <v>1576.1234071093224</v>
      </c>
      <c r="Q80" s="110">
        <v>5844.2655935613675</v>
      </c>
      <c r="R80" s="110">
        <v>286.85446009389671</v>
      </c>
      <c r="S80" s="96">
        <v>0</v>
      </c>
      <c r="T80" s="110">
        <v>8842.0523138832996</v>
      </c>
      <c r="U80" s="110">
        <v>0</v>
      </c>
      <c r="V80" s="110">
        <v>321033.13010060368</v>
      </c>
      <c r="W80" s="111">
        <v>241.47</v>
      </c>
      <c r="X80" s="98">
        <f t="shared" si="3"/>
        <v>3446.0899999999997</v>
      </c>
      <c r="Y80" s="99">
        <f t="shared" si="4"/>
        <v>0</v>
      </c>
      <c r="Z80" s="100">
        <f t="shared" si="5"/>
        <v>0</v>
      </c>
      <c r="AC80" s="166"/>
    </row>
    <row r="81" spans="1:29" s="99" customFormat="1" ht="14.4">
      <c r="A81" s="112"/>
      <c r="B81" s="131" t="s">
        <v>581</v>
      </c>
      <c r="C81" s="137" t="s">
        <v>21</v>
      </c>
      <c r="D81" s="104">
        <v>45176</v>
      </c>
      <c r="E81" s="103" t="s">
        <v>84</v>
      </c>
      <c r="F81" s="117" t="s">
        <v>591</v>
      </c>
      <c r="G81" s="132" t="s">
        <v>592</v>
      </c>
      <c r="H81" s="167">
        <v>0.109</v>
      </c>
      <c r="I81" s="168">
        <v>45</v>
      </c>
      <c r="J81" s="89" t="s">
        <v>86</v>
      </c>
      <c r="K81" s="89">
        <v>1</v>
      </c>
      <c r="L81" s="109">
        <v>38.766000000000005</v>
      </c>
      <c r="M81" s="96">
        <v>196500</v>
      </c>
      <c r="N81" s="96">
        <v>925.41</v>
      </c>
      <c r="O81" s="110">
        <v>544.91564773254902</v>
      </c>
      <c r="P81" s="110">
        <v>140.58711241809831</v>
      </c>
      <c r="Q81" s="110">
        <v>521.29701284630858</v>
      </c>
      <c r="R81" s="110">
        <v>25.586854460093893</v>
      </c>
      <c r="S81" s="96">
        <v>0</v>
      </c>
      <c r="T81" s="110">
        <v>788.69370066553154</v>
      </c>
      <c r="U81" s="110">
        <v>0</v>
      </c>
      <c r="V81" s="110">
        <v>199446.49032812257</v>
      </c>
      <c r="W81" s="111">
        <v>150.02000000000001</v>
      </c>
      <c r="X81" s="98">
        <f t="shared" si="3"/>
        <v>3446.0899999999997</v>
      </c>
      <c r="Y81" s="99">
        <f t="shared" si="4"/>
        <v>0</v>
      </c>
      <c r="Z81" s="100">
        <f t="shared" si="5"/>
        <v>0</v>
      </c>
      <c r="AC81" s="169"/>
    </row>
    <row r="82" spans="1:29" s="99" customFormat="1" ht="16.5" customHeight="1">
      <c r="A82" s="136">
        <v>20</v>
      </c>
      <c r="B82" s="131" t="s">
        <v>593</v>
      </c>
      <c r="C82" s="103" t="s">
        <v>21</v>
      </c>
      <c r="D82" s="104">
        <v>45176</v>
      </c>
      <c r="E82" s="103" t="s">
        <v>84</v>
      </c>
      <c r="F82" s="117" t="s">
        <v>458</v>
      </c>
      <c r="G82" s="132" t="s">
        <v>99</v>
      </c>
      <c r="H82" s="170">
        <v>54.673999999999999</v>
      </c>
      <c r="I82" s="108">
        <v>3815.36</v>
      </c>
      <c r="J82" s="89" t="s">
        <v>86</v>
      </c>
      <c r="K82" s="89">
        <v>1</v>
      </c>
      <c r="L82" s="109">
        <v>54.673999999999999</v>
      </c>
      <c r="M82" s="96">
        <v>1504000</v>
      </c>
      <c r="N82" s="96">
        <v>464182.26</v>
      </c>
      <c r="O82" s="110">
        <v>193800</v>
      </c>
      <c r="P82" s="110">
        <v>50000</v>
      </c>
      <c r="Q82" s="110">
        <v>185400</v>
      </c>
      <c r="R82" s="110">
        <v>9100</v>
      </c>
      <c r="S82" s="96">
        <v>0</v>
      </c>
      <c r="T82" s="110">
        <v>280500</v>
      </c>
      <c r="U82" s="110">
        <v>0</v>
      </c>
      <c r="V82" s="110">
        <v>2686982.26</v>
      </c>
      <c r="W82" s="111">
        <v>2021.09</v>
      </c>
      <c r="X82" s="98">
        <f t="shared" si="3"/>
        <v>2021.09</v>
      </c>
      <c r="Y82" s="99">
        <f t="shared" si="4"/>
        <v>1</v>
      </c>
      <c r="Z82" s="100">
        <f t="shared" si="5"/>
        <v>2021.09</v>
      </c>
      <c r="AC82" s="149">
        <v>16112.64</v>
      </c>
    </row>
    <row r="83" spans="1:29" s="99" customFormat="1" ht="14.4">
      <c r="A83" s="115">
        <v>21</v>
      </c>
      <c r="B83" s="131" t="s">
        <v>594</v>
      </c>
      <c r="C83" s="103" t="s">
        <v>21</v>
      </c>
      <c r="D83" s="104">
        <v>45176</v>
      </c>
      <c r="E83" s="103" t="s">
        <v>84</v>
      </c>
      <c r="F83" s="117" t="s">
        <v>459</v>
      </c>
      <c r="G83" s="171" t="s">
        <v>99</v>
      </c>
      <c r="H83" s="113">
        <v>13.667999999999999</v>
      </c>
      <c r="I83" s="114">
        <v>953.84</v>
      </c>
      <c r="J83" s="89" t="s">
        <v>86</v>
      </c>
      <c r="K83" s="89">
        <v>1</v>
      </c>
      <c r="L83" s="109">
        <v>55.683</v>
      </c>
      <c r="M83" s="96">
        <v>632500</v>
      </c>
      <c r="N83" s="96">
        <v>116041.31999999999</v>
      </c>
      <c r="O83" s="110">
        <v>47570.324874737351</v>
      </c>
      <c r="P83" s="110">
        <v>12273.04563331717</v>
      </c>
      <c r="Q83" s="110">
        <v>45508.45320834007</v>
      </c>
      <c r="R83" s="110">
        <v>2233.6943052637248</v>
      </c>
      <c r="S83" s="96">
        <v>0</v>
      </c>
      <c r="T83" s="110">
        <v>68851.786002909328</v>
      </c>
      <c r="U83" s="110">
        <v>0</v>
      </c>
      <c r="V83" s="110">
        <v>924978.62402456754</v>
      </c>
      <c r="W83" s="111">
        <v>695.75</v>
      </c>
      <c r="X83" s="98">
        <f t="shared" si="3"/>
        <v>2836.8799999999997</v>
      </c>
      <c r="Y83" s="99">
        <f t="shared" si="4"/>
        <v>1</v>
      </c>
      <c r="Z83" s="100">
        <f t="shared" si="5"/>
        <v>2836.8799999999997</v>
      </c>
      <c r="AC83" s="149">
        <v>4028.16</v>
      </c>
    </row>
    <row r="84" spans="1:29" s="99" customFormat="1" ht="14.4">
      <c r="A84" s="87"/>
      <c r="B84" s="131" t="s">
        <v>594</v>
      </c>
      <c r="C84" s="103" t="s">
        <v>21</v>
      </c>
      <c r="D84" s="104">
        <v>45176</v>
      </c>
      <c r="E84" s="103" t="s">
        <v>84</v>
      </c>
      <c r="F84" s="117" t="s">
        <v>460</v>
      </c>
      <c r="G84" s="132" t="s">
        <v>99</v>
      </c>
      <c r="H84" s="170">
        <v>32.055999999999997</v>
      </c>
      <c r="I84" s="108">
        <v>2788.41</v>
      </c>
      <c r="J84" s="89" t="s">
        <v>86</v>
      </c>
      <c r="K84" s="89">
        <v>1</v>
      </c>
      <c r="L84" s="109">
        <v>55.683</v>
      </c>
      <c r="M84" s="96">
        <v>752000</v>
      </c>
      <c r="N84" s="96">
        <v>272155.44</v>
      </c>
      <c r="O84" s="110">
        <v>111568.2129195625</v>
      </c>
      <c r="P84" s="110">
        <v>28784.368658297859</v>
      </c>
      <c r="Q84" s="110">
        <v>106732.43898496847</v>
      </c>
      <c r="R84" s="110">
        <v>5238.7550958102102</v>
      </c>
      <c r="S84" s="96">
        <v>0</v>
      </c>
      <c r="T84" s="110">
        <v>161480.30817305099</v>
      </c>
      <c r="U84" s="110">
        <v>0</v>
      </c>
      <c r="V84" s="110">
        <v>1437959.5238316902</v>
      </c>
      <c r="W84" s="111">
        <v>1081.5999999999999</v>
      </c>
      <c r="X84" s="98">
        <f t="shared" si="3"/>
        <v>2836.8799999999997</v>
      </c>
      <c r="Y84" s="99">
        <f t="shared" si="4"/>
        <v>0</v>
      </c>
      <c r="Z84" s="100">
        <f t="shared" si="5"/>
        <v>0</v>
      </c>
      <c r="AC84" s="149">
        <v>19560</v>
      </c>
    </row>
    <row r="85" spans="1:29" s="99" customFormat="1" ht="14.4">
      <c r="A85" s="87"/>
      <c r="B85" s="131" t="s">
        <v>594</v>
      </c>
      <c r="C85" s="103" t="s">
        <v>21</v>
      </c>
      <c r="D85" s="104">
        <v>45176</v>
      </c>
      <c r="E85" s="103" t="s">
        <v>84</v>
      </c>
      <c r="F85" s="117" t="s">
        <v>461</v>
      </c>
      <c r="G85" s="106" t="s">
        <v>99</v>
      </c>
      <c r="H85" s="167">
        <v>8.9049999999999994</v>
      </c>
      <c r="I85" s="172">
        <v>684.09</v>
      </c>
      <c r="J85" s="89" t="s">
        <v>86</v>
      </c>
      <c r="K85" s="89">
        <v>1</v>
      </c>
      <c r="L85" s="109">
        <v>55.683</v>
      </c>
      <c r="M85" s="96">
        <v>632500</v>
      </c>
      <c r="N85" s="96">
        <v>75603.45</v>
      </c>
      <c r="O85" s="110">
        <v>30993.103819837295</v>
      </c>
      <c r="P85" s="110">
        <v>7996.1568162634912</v>
      </c>
      <c r="Q85" s="110">
        <v>29649.749474705026</v>
      </c>
      <c r="R85" s="110">
        <v>1455.3005405599554</v>
      </c>
      <c r="S85" s="96">
        <v>0</v>
      </c>
      <c r="T85" s="110">
        <v>44858.439739238187</v>
      </c>
      <c r="U85" s="110">
        <v>0</v>
      </c>
      <c r="V85" s="110">
        <v>823056.20039060398</v>
      </c>
      <c r="W85" s="111">
        <v>619.09</v>
      </c>
      <c r="X85" s="98">
        <f t="shared" si="3"/>
        <v>2836.8799999999997</v>
      </c>
      <c r="Y85" s="99">
        <f t="shared" si="4"/>
        <v>0</v>
      </c>
      <c r="Z85" s="100">
        <f t="shared" si="5"/>
        <v>0</v>
      </c>
      <c r="AC85" s="149">
        <v>3648</v>
      </c>
    </row>
    <row r="86" spans="1:29" s="99" customFormat="1" ht="16.5" customHeight="1">
      <c r="A86" s="87"/>
      <c r="B86" s="131" t="s">
        <v>594</v>
      </c>
      <c r="C86" s="103" t="s">
        <v>21</v>
      </c>
      <c r="D86" s="104">
        <v>45176</v>
      </c>
      <c r="E86" s="103" t="s">
        <v>84</v>
      </c>
      <c r="F86" s="117" t="s">
        <v>462</v>
      </c>
      <c r="G86" s="106" t="s">
        <v>595</v>
      </c>
      <c r="H86" s="167">
        <v>0.58199999999999996</v>
      </c>
      <c r="I86" s="172">
        <v>379.8</v>
      </c>
      <c r="J86" s="89" t="s">
        <v>86</v>
      </c>
      <c r="K86" s="89">
        <v>1</v>
      </c>
      <c r="L86" s="109">
        <v>55.683</v>
      </c>
      <c r="M86" s="96">
        <v>275000</v>
      </c>
      <c r="N86" s="96">
        <v>4941.1799999999994</v>
      </c>
      <c r="O86" s="110">
        <v>2025.6020688540486</v>
      </c>
      <c r="P86" s="110">
        <v>522.60115295512094</v>
      </c>
      <c r="Q86" s="110">
        <v>1937.8050751575884</v>
      </c>
      <c r="R86" s="110">
        <v>95.113409837832009</v>
      </c>
      <c r="S86" s="96">
        <v>0</v>
      </c>
      <c r="T86" s="110">
        <v>2931.7924680782285</v>
      </c>
      <c r="U86" s="110">
        <v>0</v>
      </c>
      <c r="V86" s="110">
        <v>287454.0941748828</v>
      </c>
      <c r="W86" s="111">
        <v>216.22</v>
      </c>
      <c r="X86" s="98">
        <f t="shared" si="3"/>
        <v>2836.8799999999997</v>
      </c>
      <c r="Y86" s="99">
        <f t="shared" si="4"/>
        <v>0</v>
      </c>
      <c r="Z86" s="100">
        <f t="shared" si="5"/>
        <v>0</v>
      </c>
      <c r="AC86" s="149">
        <v>2565.6</v>
      </c>
    </row>
    <row r="87" spans="1:29" s="99" customFormat="1" ht="14.4">
      <c r="A87" s="112"/>
      <c r="B87" s="131" t="s">
        <v>594</v>
      </c>
      <c r="C87" s="103" t="s">
        <v>21</v>
      </c>
      <c r="D87" s="104">
        <v>45176</v>
      </c>
      <c r="E87" s="103" t="s">
        <v>84</v>
      </c>
      <c r="F87" s="117" t="s">
        <v>463</v>
      </c>
      <c r="G87" s="103" t="s">
        <v>105</v>
      </c>
      <c r="H87" s="113">
        <v>0.47199999999999998</v>
      </c>
      <c r="I87" s="114">
        <v>31</v>
      </c>
      <c r="J87" s="89" t="s">
        <v>86</v>
      </c>
      <c r="K87" s="89">
        <v>1</v>
      </c>
      <c r="L87" s="109">
        <v>55.683</v>
      </c>
      <c r="M87" s="96">
        <v>288000</v>
      </c>
      <c r="N87" s="96">
        <v>4007.2799999999997</v>
      </c>
      <c r="O87" s="110">
        <v>1642.7563170087819</v>
      </c>
      <c r="P87" s="110">
        <v>423.82773916635239</v>
      </c>
      <c r="Q87" s="110">
        <v>1571.5532568288347</v>
      </c>
      <c r="R87" s="110">
        <v>77.13664852827614</v>
      </c>
      <c r="S87" s="96">
        <v>0</v>
      </c>
      <c r="T87" s="110">
        <v>2377.673616723237</v>
      </c>
      <c r="U87" s="110">
        <v>0</v>
      </c>
      <c r="V87" s="110">
        <v>298100.22757825552</v>
      </c>
      <c r="W87" s="111">
        <v>224.22</v>
      </c>
      <c r="X87" s="98">
        <f t="shared" si="3"/>
        <v>2836.8799999999997</v>
      </c>
      <c r="Y87" s="99">
        <f t="shared" si="4"/>
        <v>0</v>
      </c>
      <c r="Z87" s="100">
        <f t="shared" si="5"/>
        <v>0</v>
      </c>
      <c r="AC87" s="101">
        <v>3481.6000000000004</v>
      </c>
    </row>
    <row r="88" spans="1:29" s="99" customFormat="1" ht="14.4">
      <c r="A88" s="115">
        <v>22</v>
      </c>
      <c r="B88" s="131" t="s">
        <v>596</v>
      </c>
      <c r="C88" s="103" t="s">
        <v>21</v>
      </c>
      <c r="D88" s="104">
        <v>45176</v>
      </c>
      <c r="E88" s="103" t="s">
        <v>84</v>
      </c>
      <c r="F88" s="117" t="s">
        <v>464</v>
      </c>
      <c r="G88" s="103" t="s">
        <v>597</v>
      </c>
      <c r="H88" s="113">
        <v>23.359000000000002</v>
      </c>
      <c r="I88" s="114">
        <v>4979</v>
      </c>
      <c r="J88" s="89" t="s">
        <v>86</v>
      </c>
      <c r="K88" s="89">
        <v>1</v>
      </c>
      <c r="L88" s="109">
        <v>62.559000000000005</v>
      </c>
      <c r="M88" s="96">
        <v>635000</v>
      </c>
      <c r="N88" s="96">
        <v>198317.91</v>
      </c>
      <c r="O88" s="110">
        <v>72363.276267203764</v>
      </c>
      <c r="P88" s="110">
        <v>18669.575920331208</v>
      </c>
      <c r="Q88" s="110">
        <v>69226.787512588126</v>
      </c>
      <c r="R88" s="110">
        <v>3397.86281750028</v>
      </c>
      <c r="S88" s="96">
        <v>0</v>
      </c>
      <c r="T88" s="110">
        <v>104736.32091305808</v>
      </c>
      <c r="U88" s="110">
        <v>0</v>
      </c>
      <c r="V88" s="110">
        <v>1101711.7334306813</v>
      </c>
      <c r="W88" s="111">
        <v>828.68</v>
      </c>
      <c r="X88" s="98">
        <f t="shared" si="3"/>
        <v>828.68</v>
      </c>
      <c r="Y88" s="99">
        <f t="shared" si="4"/>
        <v>1</v>
      </c>
      <c r="Z88" s="100">
        <f t="shared" si="5"/>
        <v>828.68</v>
      </c>
      <c r="AC88" s="101">
        <v>23184</v>
      </c>
    </row>
    <row r="89" spans="1:29" s="99" customFormat="1" ht="16.5" customHeight="1">
      <c r="A89" s="112"/>
      <c r="B89" s="138" t="s">
        <v>596</v>
      </c>
      <c r="C89" s="139" t="s">
        <v>21</v>
      </c>
      <c r="D89" s="140">
        <v>45176</v>
      </c>
      <c r="E89" s="139" t="s">
        <v>84</v>
      </c>
      <c r="F89" s="141" t="s">
        <v>465</v>
      </c>
      <c r="G89" s="139" t="s">
        <v>377</v>
      </c>
      <c r="H89" s="173">
        <v>39.200000000000003</v>
      </c>
      <c r="I89" s="174">
        <v>1970.3999999999999</v>
      </c>
      <c r="J89" s="89" t="s">
        <v>96</v>
      </c>
      <c r="K89" s="89">
        <v>0</v>
      </c>
      <c r="L89" s="109">
        <v>62.559000000000005</v>
      </c>
      <c r="M89" s="145">
        <v>0</v>
      </c>
      <c r="N89" s="145">
        <v>0</v>
      </c>
      <c r="O89" s="146">
        <v>0</v>
      </c>
      <c r="P89" s="146">
        <v>0</v>
      </c>
      <c r="Q89" s="146">
        <v>0</v>
      </c>
      <c r="R89" s="146">
        <v>0</v>
      </c>
      <c r="S89" s="145">
        <v>0</v>
      </c>
      <c r="T89" s="146">
        <v>0</v>
      </c>
      <c r="U89" s="146">
        <v>0</v>
      </c>
      <c r="V89" s="146">
        <v>0</v>
      </c>
      <c r="W89" s="147">
        <v>0</v>
      </c>
      <c r="X89" s="98">
        <f t="shared" si="3"/>
        <v>828.68</v>
      </c>
      <c r="Y89" s="99">
        <f t="shared" si="4"/>
        <v>0</v>
      </c>
      <c r="Z89" s="100">
        <f t="shared" si="5"/>
        <v>0</v>
      </c>
      <c r="AC89" s="101">
        <v>67910.399999999994</v>
      </c>
    </row>
    <row r="90" spans="1:29" s="99" customFormat="1" ht="14.4">
      <c r="A90" s="115">
        <v>23</v>
      </c>
      <c r="B90" s="102" t="s">
        <v>598</v>
      </c>
      <c r="C90" s="103" t="s">
        <v>21</v>
      </c>
      <c r="D90" s="104">
        <v>45180</v>
      </c>
      <c r="E90" s="103" t="s">
        <v>84</v>
      </c>
      <c r="F90" s="117" t="s">
        <v>466</v>
      </c>
      <c r="G90" s="106" t="s">
        <v>599</v>
      </c>
      <c r="H90" s="107">
        <v>15.984</v>
      </c>
      <c r="I90" s="114">
        <v>5257.6</v>
      </c>
      <c r="J90" s="89" t="s">
        <v>86</v>
      </c>
      <c r="K90" s="89">
        <v>1</v>
      </c>
      <c r="L90" s="109">
        <v>57.330000000000005</v>
      </c>
      <c r="M90" s="96">
        <v>532000</v>
      </c>
      <c r="N90" s="96">
        <v>135704.16</v>
      </c>
      <c r="O90" s="110">
        <v>54032.7786499215</v>
      </c>
      <c r="P90" s="110">
        <v>13940.345368916796</v>
      </c>
      <c r="Q90" s="110">
        <v>51690.800627943478</v>
      </c>
      <c r="R90" s="110">
        <v>2537.1428571428569</v>
      </c>
      <c r="S90" s="96">
        <v>0</v>
      </c>
      <c r="T90" s="110">
        <v>78205.337519623223</v>
      </c>
      <c r="U90" s="110">
        <v>0</v>
      </c>
      <c r="V90" s="110">
        <v>868110.56502354785</v>
      </c>
      <c r="W90" s="111">
        <v>652.97</v>
      </c>
      <c r="X90" s="98">
        <f t="shared" si="3"/>
        <v>2168.17</v>
      </c>
      <c r="Y90" s="99">
        <f t="shared" si="4"/>
        <v>1</v>
      </c>
      <c r="Z90" s="100">
        <f t="shared" si="5"/>
        <v>2168.17</v>
      </c>
      <c r="AC90" s="116">
        <v>74056</v>
      </c>
    </row>
    <row r="91" spans="1:29" s="99" customFormat="1" ht="16.5" customHeight="1">
      <c r="A91" s="87"/>
      <c r="B91" s="102" t="s">
        <v>598</v>
      </c>
      <c r="C91" s="103" t="s">
        <v>21</v>
      </c>
      <c r="D91" s="104">
        <v>45180</v>
      </c>
      <c r="E91" s="103" t="s">
        <v>84</v>
      </c>
      <c r="F91" s="117" t="s">
        <v>467</v>
      </c>
      <c r="G91" s="106" t="s">
        <v>599</v>
      </c>
      <c r="H91" s="113">
        <v>17.414000000000001</v>
      </c>
      <c r="I91" s="114">
        <v>5608</v>
      </c>
      <c r="J91" s="89" t="s">
        <v>86</v>
      </c>
      <c r="K91" s="89">
        <v>1</v>
      </c>
      <c r="L91" s="109">
        <v>57.330000000000005</v>
      </c>
      <c r="M91" s="96">
        <v>532000</v>
      </c>
      <c r="N91" s="96">
        <v>147844.86000000002</v>
      </c>
      <c r="O91" s="110">
        <v>58866.792255363682</v>
      </c>
      <c r="P91" s="110">
        <v>15187.510901796617</v>
      </c>
      <c r="Q91" s="110">
        <v>56315.29042386185</v>
      </c>
      <c r="R91" s="110">
        <v>2764.1269841269841</v>
      </c>
      <c r="S91" s="96">
        <v>0</v>
      </c>
      <c r="T91" s="110">
        <v>85201.936159079021</v>
      </c>
      <c r="U91" s="110">
        <v>0</v>
      </c>
      <c r="V91" s="110">
        <v>898180.51672422816</v>
      </c>
      <c r="W91" s="111">
        <v>675.59</v>
      </c>
      <c r="X91" s="98">
        <f t="shared" si="3"/>
        <v>2168.17</v>
      </c>
      <c r="Y91" s="99">
        <f t="shared" si="4"/>
        <v>0</v>
      </c>
      <c r="Z91" s="100">
        <f t="shared" si="5"/>
        <v>0</v>
      </c>
      <c r="AC91" s="122">
        <v>78688.800000000003</v>
      </c>
    </row>
    <row r="92" spans="1:29" s="99" customFormat="1" ht="17.25" customHeight="1">
      <c r="A92" s="87"/>
      <c r="B92" s="102" t="s">
        <v>598</v>
      </c>
      <c r="C92" s="103" t="s">
        <v>21</v>
      </c>
      <c r="D92" s="104">
        <v>45180</v>
      </c>
      <c r="E92" s="103" t="s">
        <v>84</v>
      </c>
      <c r="F92" s="117" t="s">
        <v>468</v>
      </c>
      <c r="G92" s="106" t="s">
        <v>580</v>
      </c>
      <c r="H92" s="118">
        <v>21.25</v>
      </c>
      <c r="I92" s="123">
        <v>2448</v>
      </c>
      <c r="J92" s="89" t="s">
        <v>86</v>
      </c>
      <c r="K92" s="89">
        <v>1</v>
      </c>
      <c r="L92" s="109">
        <v>57.330000000000005</v>
      </c>
      <c r="M92" s="96">
        <v>392000</v>
      </c>
      <c r="N92" s="96">
        <v>180412.5</v>
      </c>
      <c r="O92" s="110">
        <v>71834.118262689692</v>
      </c>
      <c r="P92" s="110">
        <v>18533.054247339962</v>
      </c>
      <c r="Q92" s="110">
        <v>68720.565149136572</v>
      </c>
      <c r="R92" s="110">
        <v>3373.0158730158728</v>
      </c>
      <c r="S92" s="96">
        <v>0</v>
      </c>
      <c r="T92" s="110">
        <v>103970.43432757718</v>
      </c>
      <c r="U92" s="110">
        <v>0</v>
      </c>
      <c r="V92" s="110">
        <v>838843.6878597592</v>
      </c>
      <c r="W92" s="111">
        <v>630.96</v>
      </c>
      <c r="X92" s="98">
        <f t="shared" si="3"/>
        <v>2168.17</v>
      </c>
      <c r="Y92" s="99">
        <f t="shared" si="4"/>
        <v>0</v>
      </c>
      <c r="Z92" s="100">
        <f t="shared" si="5"/>
        <v>0</v>
      </c>
      <c r="AC92" s="122">
        <v>16768.800000000003</v>
      </c>
    </row>
    <row r="93" spans="1:29" s="99" customFormat="1" ht="14.4">
      <c r="A93" s="112"/>
      <c r="B93" s="102" t="s">
        <v>598</v>
      </c>
      <c r="C93" s="103" t="s">
        <v>21</v>
      </c>
      <c r="D93" s="104">
        <v>45180</v>
      </c>
      <c r="E93" s="103" t="s">
        <v>84</v>
      </c>
      <c r="F93" s="117" t="s">
        <v>469</v>
      </c>
      <c r="G93" s="106" t="s">
        <v>92</v>
      </c>
      <c r="H93" s="118">
        <v>2.6819999999999999</v>
      </c>
      <c r="I93" s="123">
        <v>1632</v>
      </c>
      <c r="J93" s="89" t="s">
        <v>86</v>
      </c>
      <c r="K93" s="89">
        <v>1</v>
      </c>
      <c r="L93" s="109">
        <v>57.330000000000005</v>
      </c>
      <c r="M93" s="96">
        <v>221000</v>
      </c>
      <c r="N93" s="96">
        <v>22770.18</v>
      </c>
      <c r="O93" s="110">
        <v>9066.3108320251158</v>
      </c>
      <c r="P93" s="110">
        <v>2339.0894819466243</v>
      </c>
      <c r="Q93" s="110">
        <v>8673.3437990580824</v>
      </c>
      <c r="R93" s="110">
        <v>425.71428571428561</v>
      </c>
      <c r="S93" s="96">
        <v>0</v>
      </c>
      <c r="T93" s="110">
        <v>13122.291993720562</v>
      </c>
      <c r="U93" s="110">
        <v>0</v>
      </c>
      <c r="V93" s="110">
        <v>277396.93039246462</v>
      </c>
      <c r="W93" s="111">
        <v>208.65</v>
      </c>
      <c r="X93" s="98">
        <f t="shared" si="3"/>
        <v>2168.17</v>
      </c>
      <c r="Y93" s="99">
        <f t="shared" si="4"/>
        <v>0</v>
      </c>
      <c r="Z93" s="100">
        <f t="shared" si="5"/>
        <v>0</v>
      </c>
      <c r="AC93" s="116">
        <v>8100</v>
      </c>
    </row>
    <row r="94" spans="1:29" s="175" customFormat="1" ht="16.5" customHeight="1">
      <c r="A94" s="115">
        <v>24</v>
      </c>
      <c r="B94" s="102" t="s">
        <v>600</v>
      </c>
      <c r="C94" s="103" t="s">
        <v>21</v>
      </c>
      <c r="D94" s="104">
        <v>45179</v>
      </c>
      <c r="E94" s="103" t="s">
        <v>84</v>
      </c>
      <c r="F94" s="117" t="s">
        <v>470</v>
      </c>
      <c r="G94" s="106" t="s">
        <v>547</v>
      </c>
      <c r="H94" s="124">
        <v>28.047999999999998</v>
      </c>
      <c r="I94" s="125">
        <v>18616</v>
      </c>
      <c r="J94" s="89" t="s">
        <v>86</v>
      </c>
      <c r="K94" s="89">
        <v>1</v>
      </c>
      <c r="L94" s="109">
        <v>56.097999999999992</v>
      </c>
      <c r="M94" s="96">
        <v>768000</v>
      </c>
      <c r="N94" s="96">
        <v>238127.52</v>
      </c>
      <c r="O94" s="110">
        <v>96896.545331384361</v>
      </c>
      <c r="P94" s="110">
        <v>24999.108702627545</v>
      </c>
      <c r="Q94" s="110">
        <v>92696.695069342939</v>
      </c>
      <c r="R94" s="110">
        <v>4549.8377838782135</v>
      </c>
      <c r="S94" s="96">
        <v>0</v>
      </c>
      <c r="T94" s="110">
        <v>140244.99982174052</v>
      </c>
      <c r="U94" s="110">
        <v>0</v>
      </c>
      <c r="V94" s="110">
        <v>1365514.7067089733</v>
      </c>
      <c r="W94" s="111">
        <v>1027.1099999999999</v>
      </c>
      <c r="X94" s="98">
        <f t="shared" si="3"/>
        <v>1990.3999999999999</v>
      </c>
      <c r="Y94" s="99">
        <f t="shared" si="4"/>
        <v>1</v>
      </c>
      <c r="Z94" s="100">
        <f t="shared" si="5"/>
        <v>1990.3999999999999</v>
      </c>
      <c r="AA94" s="99"/>
      <c r="AB94" s="99"/>
      <c r="AC94" s="126">
        <v>41849.599999999999</v>
      </c>
    </row>
    <row r="95" spans="1:29" s="175" customFormat="1" ht="14.4">
      <c r="A95" s="87"/>
      <c r="B95" s="102" t="s">
        <v>600</v>
      </c>
      <c r="C95" s="103" t="s">
        <v>21</v>
      </c>
      <c r="D95" s="104">
        <v>45179</v>
      </c>
      <c r="E95" s="103" t="s">
        <v>84</v>
      </c>
      <c r="F95" s="117" t="s">
        <v>471</v>
      </c>
      <c r="G95" s="106" t="s">
        <v>547</v>
      </c>
      <c r="H95" s="107">
        <v>22.65</v>
      </c>
      <c r="I95" s="114">
        <v>3330.18</v>
      </c>
      <c r="J95" s="89" t="s">
        <v>86</v>
      </c>
      <c r="K95" s="89">
        <v>1</v>
      </c>
      <c r="L95" s="109">
        <v>56.097999999999992</v>
      </c>
      <c r="M95" s="96">
        <v>392000</v>
      </c>
      <c r="N95" s="96">
        <v>192298.5</v>
      </c>
      <c r="O95" s="110">
        <v>78248.244144176264</v>
      </c>
      <c r="P95" s="110">
        <v>20187.885486113588</v>
      </c>
      <c r="Q95" s="110">
        <v>74856.679382509188</v>
      </c>
      <c r="R95" s="110">
        <v>3674.195158472673</v>
      </c>
      <c r="S95" s="96">
        <v>0</v>
      </c>
      <c r="T95" s="110">
        <v>113254.03757709723</v>
      </c>
      <c r="U95" s="110">
        <v>0</v>
      </c>
      <c r="V95" s="110">
        <v>874519.54174836888</v>
      </c>
      <c r="W95" s="111">
        <v>657.8</v>
      </c>
      <c r="X95" s="98">
        <f t="shared" si="3"/>
        <v>1990.3999999999999</v>
      </c>
      <c r="Y95" s="99">
        <f t="shared" si="4"/>
        <v>0</v>
      </c>
      <c r="Z95" s="100">
        <f t="shared" si="5"/>
        <v>0</v>
      </c>
      <c r="AA95" s="99"/>
      <c r="AB95" s="99"/>
      <c r="AC95" s="116">
        <v>34265.699999999997</v>
      </c>
    </row>
    <row r="96" spans="1:29" s="176" customFormat="1" ht="14.4">
      <c r="A96" s="112"/>
      <c r="B96" s="102" t="s">
        <v>600</v>
      </c>
      <c r="C96" s="103" t="s">
        <v>21</v>
      </c>
      <c r="D96" s="104">
        <v>45179</v>
      </c>
      <c r="E96" s="103" t="s">
        <v>84</v>
      </c>
      <c r="F96" s="117" t="s">
        <v>472</v>
      </c>
      <c r="G96" s="106" t="s">
        <v>547</v>
      </c>
      <c r="H96" s="113">
        <v>5.4</v>
      </c>
      <c r="I96" s="114">
        <v>424.4</v>
      </c>
      <c r="J96" s="89" t="s">
        <v>86</v>
      </c>
      <c r="K96" s="89">
        <v>1</v>
      </c>
      <c r="L96" s="109">
        <v>56.097999999999992</v>
      </c>
      <c r="M96" s="96">
        <v>291100</v>
      </c>
      <c r="N96" s="96">
        <v>45846</v>
      </c>
      <c r="O96" s="110">
        <v>18655.210524439375</v>
      </c>
      <c r="P96" s="110">
        <v>4813.0058112588695</v>
      </c>
      <c r="Q96" s="110">
        <v>17846.625548147887</v>
      </c>
      <c r="R96" s="110">
        <v>875.96705764911417</v>
      </c>
      <c r="S96" s="96">
        <v>0</v>
      </c>
      <c r="T96" s="110">
        <v>27000.962601162257</v>
      </c>
      <c r="U96" s="110">
        <v>0</v>
      </c>
      <c r="V96" s="110">
        <v>406137.77154265746</v>
      </c>
      <c r="W96" s="111">
        <v>305.49</v>
      </c>
      <c r="X96" s="98">
        <f t="shared" si="3"/>
        <v>1990.3999999999999</v>
      </c>
      <c r="Y96" s="99">
        <f t="shared" si="4"/>
        <v>0</v>
      </c>
      <c r="Z96" s="100">
        <f t="shared" si="5"/>
        <v>0</v>
      </c>
      <c r="AA96" s="99"/>
      <c r="AB96" s="99"/>
      <c r="AC96" s="116">
        <v>5938.7999999999993</v>
      </c>
    </row>
    <row r="97" spans="1:29" s="176" customFormat="1" ht="14.4">
      <c r="A97" s="115">
        <v>25</v>
      </c>
      <c r="B97" s="102" t="s">
        <v>601</v>
      </c>
      <c r="C97" s="103" t="s">
        <v>21</v>
      </c>
      <c r="D97" s="104">
        <v>45179</v>
      </c>
      <c r="E97" s="103" t="s">
        <v>84</v>
      </c>
      <c r="F97" s="117" t="s">
        <v>473</v>
      </c>
      <c r="G97" s="106" t="s">
        <v>547</v>
      </c>
      <c r="H97" s="113">
        <v>33.19</v>
      </c>
      <c r="I97" s="114">
        <v>4291.99</v>
      </c>
      <c r="J97" s="89" t="s">
        <v>86</v>
      </c>
      <c r="K97" s="89">
        <v>1</v>
      </c>
      <c r="L97" s="109">
        <v>60.160000000000004</v>
      </c>
      <c r="M97" s="96">
        <v>624000</v>
      </c>
      <c r="N97" s="96">
        <v>281783.09999999998</v>
      </c>
      <c r="O97" s="110">
        <v>106918.58377659573</v>
      </c>
      <c r="P97" s="110">
        <v>27584.773936170208</v>
      </c>
      <c r="Q97" s="110">
        <v>102284.34175531914</v>
      </c>
      <c r="R97" s="110">
        <v>5020.4288563829778</v>
      </c>
      <c r="S97" s="96">
        <v>0</v>
      </c>
      <c r="T97" s="110">
        <v>154750.58178191487</v>
      </c>
      <c r="U97" s="110">
        <v>0</v>
      </c>
      <c r="V97" s="110">
        <v>1302341.8101063829</v>
      </c>
      <c r="W97" s="111">
        <v>979.59</v>
      </c>
      <c r="X97" s="98">
        <f t="shared" si="3"/>
        <v>2188.5</v>
      </c>
      <c r="Y97" s="99">
        <f t="shared" si="4"/>
        <v>1</v>
      </c>
      <c r="Z97" s="100">
        <f t="shared" si="5"/>
        <v>2188.5</v>
      </c>
      <c r="AA97" s="99"/>
      <c r="AB97" s="99"/>
      <c r="AC97" s="116">
        <v>35857.919999999991</v>
      </c>
    </row>
    <row r="98" spans="1:29" s="176" customFormat="1" ht="16.5" customHeight="1">
      <c r="A98" s="87"/>
      <c r="B98" s="102" t="s">
        <v>601</v>
      </c>
      <c r="C98" s="103" t="s">
        <v>21</v>
      </c>
      <c r="D98" s="104">
        <v>45179</v>
      </c>
      <c r="E98" s="103" t="s">
        <v>84</v>
      </c>
      <c r="F98" s="117" t="s">
        <v>474</v>
      </c>
      <c r="G98" s="106" t="s">
        <v>547</v>
      </c>
      <c r="H98" s="107">
        <v>18.34</v>
      </c>
      <c r="I98" s="108">
        <v>15718.2</v>
      </c>
      <c r="J98" s="89" t="s">
        <v>86</v>
      </c>
      <c r="K98" s="89">
        <v>1</v>
      </c>
      <c r="L98" s="109">
        <v>60.160000000000004</v>
      </c>
      <c r="M98" s="96">
        <v>724000</v>
      </c>
      <c r="N98" s="96">
        <v>155706.6</v>
      </c>
      <c r="O98" s="110">
        <v>59080.651595744683</v>
      </c>
      <c r="P98" s="110">
        <v>15242.686170212766</v>
      </c>
      <c r="Q98" s="110">
        <v>56519.880319148935</v>
      </c>
      <c r="R98" s="110">
        <v>2774.1688829787236</v>
      </c>
      <c r="S98" s="96">
        <v>0</v>
      </c>
      <c r="T98" s="110">
        <v>85511.469414893611</v>
      </c>
      <c r="U98" s="110">
        <v>0</v>
      </c>
      <c r="V98" s="110">
        <v>1098835.4563829787</v>
      </c>
      <c r="W98" s="111">
        <v>826.52</v>
      </c>
      <c r="X98" s="98">
        <f t="shared" si="3"/>
        <v>2188.5</v>
      </c>
      <c r="Y98" s="99">
        <f t="shared" si="4"/>
        <v>0</v>
      </c>
      <c r="Z98" s="100">
        <f t="shared" si="5"/>
        <v>0</v>
      </c>
      <c r="AA98" s="99"/>
      <c r="AB98" s="99"/>
      <c r="AC98" s="116">
        <v>69400.800000000003</v>
      </c>
    </row>
    <row r="99" spans="1:29" s="176" customFormat="1" ht="14.4">
      <c r="A99" s="112"/>
      <c r="B99" s="102" t="s">
        <v>601</v>
      </c>
      <c r="C99" s="103" t="s">
        <v>21</v>
      </c>
      <c r="D99" s="104">
        <v>45179</v>
      </c>
      <c r="E99" s="103" t="s">
        <v>84</v>
      </c>
      <c r="F99" s="117" t="s">
        <v>475</v>
      </c>
      <c r="G99" s="106" t="s">
        <v>547</v>
      </c>
      <c r="H99" s="107">
        <v>8.6300000000000008</v>
      </c>
      <c r="I99" s="114">
        <v>1074.72</v>
      </c>
      <c r="J99" s="89" t="s">
        <v>86</v>
      </c>
      <c r="K99" s="89">
        <v>1</v>
      </c>
      <c r="L99" s="109">
        <v>60.160000000000004</v>
      </c>
      <c r="M99" s="96">
        <v>332000</v>
      </c>
      <c r="N99" s="96">
        <v>73268.700000000012</v>
      </c>
      <c r="O99" s="110">
        <v>27800.764627659577</v>
      </c>
      <c r="P99" s="110">
        <v>7172.5398936170222</v>
      </c>
      <c r="Q99" s="110">
        <v>26595.777925531918</v>
      </c>
      <c r="R99" s="110">
        <v>1305.402260638298</v>
      </c>
      <c r="S99" s="96">
        <v>0</v>
      </c>
      <c r="T99" s="110">
        <v>40237.948803191495</v>
      </c>
      <c r="U99" s="110">
        <v>0</v>
      </c>
      <c r="V99" s="110">
        <v>508381.13351063832</v>
      </c>
      <c r="W99" s="111">
        <v>382.39</v>
      </c>
      <c r="X99" s="98">
        <f t="shared" si="3"/>
        <v>2188.5</v>
      </c>
      <c r="Y99" s="99">
        <f t="shared" si="4"/>
        <v>0</v>
      </c>
      <c r="Z99" s="100">
        <f t="shared" si="5"/>
        <v>0</v>
      </c>
      <c r="AA99" s="99"/>
      <c r="AB99" s="99"/>
      <c r="AC99" s="116">
        <v>8971.2000000000007</v>
      </c>
    </row>
    <row r="100" spans="1:29" s="176" customFormat="1" ht="14.4">
      <c r="A100" s="115">
        <v>26</v>
      </c>
      <c r="B100" s="102" t="s">
        <v>602</v>
      </c>
      <c r="C100" s="103" t="s">
        <v>21</v>
      </c>
      <c r="D100" s="104">
        <v>45179</v>
      </c>
      <c r="E100" s="103" t="s">
        <v>84</v>
      </c>
      <c r="F100" s="105" t="s">
        <v>476</v>
      </c>
      <c r="G100" s="106" t="s">
        <v>547</v>
      </c>
      <c r="H100" s="113">
        <v>27.42</v>
      </c>
      <c r="I100" s="114">
        <v>3545.55</v>
      </c>
      <c r="J100" s="89" t="s">
        <v>86</v>
      </c>
      <c r="K100" s="89">
        <v>1</v>
      </c>
      <c r="L100" s="109">
        <v>60.860000000000007</v>
      </c>
      <c r="M100" s="96">
        <v>392000</v>
      </c>
      <c r="N100" s="96">
        <v>232795.80000000002</v>
      </c>
      <c r="O100" s="110">
        <v>87315.083798882668</v>
      </c>
      <c r="P100" s="110">
        <v>22527.111403220504</v>
      </c>
      <c r="Q100" s="110">
        <v>83530.529083141635</v>
      </c>
      <c r="R100" s="110">
        <v>4099.934275386132</v>
      </c>
      <c r="S100" s="96">
        <v>0</v>
      </c>
      <c r="T100" s="110">
        <v>126377.09497206703</v>
      </c>
      <c r="U100" s="110">
        <v>0</v>
      </c>
      <c r="V100" s="110">
        <v>948645.55353269796</v>
      </c>
      <c r="W100" s="111">
        <v>713.55</v>
      </c>
      <c r="X100" s="98">
        <f t="shared" si="3"/>
        <v>2018.4799999999998</v>
      </c>
      <c r="Y100" s="99">
        <f t="shared" si="4"/>
        <v>1</v>
      </c>
      <c r="Z100" s="100">
        <f t="shared" si="5"/>
        <v>2018.4799999999998</v>
      </c>
      <c r="AA100" s="99"/>
      <c r="AB100" s="99"/>
      <c r="AC100" s="116">
        <v>29621.759999999995</v>
      </c>
    </row>
    <row r="101" spans="1:29" s="176" customFormat="1" ht="14.4">
      <c r="A101" s="87"/>
      <c r="B101" s="102" t="s">
        <v>602</v>
      </c>
      <c r="C101" s="103" t="s">
        <v>21</v>
      </c>
      <c r="D101" s="104">
        <v>45179</v>
      </c>
      <c r="E101" s="103" t="s">
        <v>84</v>
      </c>
      <c r="F101" s="105" t="s">
        <v>477</v>
      </c>
      <c r="G101" s="132" t="s">
        <v>547</v>
      </c>
      <c r="H101" s="118">
        <v>18.34</v>
      </c>
      <c r="I101" s="114">
        <v>15718.2</v>
      </c>
      <c r="J101" s="89" t="s">
        <v>86</v>
      </c>
      <c r="K101" s="89">
        <v>1</v>
      </c>
      <c r="L101" s="109">
        <v>60.860000000000007</v>
      </c>
      <c r="M101" s="96">
        <v>724000</v>
      </c>
      <c r="N101" s="96">
        <v>155706.6</v>
      </c>
      <c r="O101" s="110">
        <v>58401.117318435747</v>
      </c>
      <c r="P101" s="110">
        <v>15067.367729214589</v>
      </c>
      <c r="Q101" s="110">
        <v>55869.799539927699</v>
      </c>
      <c r="R101" s="110">
        <v>2742.2609267170551</v>
      </c>
      <c r="S101" s="96">
        <v>0</v>
      </c>
      <c r="T101" s="110">
        <v>84527.932960893842</v>
      </c>
      <c r="U101" s="110">
        <v>0</v>
      </c>
      <c r="V101" s="110">
        <v>1096315.0784751889</v>
      </c>
      <c r="W101" s="111">
        <v>824.63</v>
      </c>
      <c r="X101" s="98">
        <f t="shared" si="3"/>
        <v>2018.4799999999998</v>
      </c>
      <c r="Y101" s="99">
        <f t="shared" si="4"/>
        <v>0</v>
      </c>
      <c r="Z101" s="100">
        <f t="shared" si="5"/>
        <v>0</v>
      </c>
      <c r="AA101" s="99"/>
      <c r="AB101" s="99"/>
      <c r="AC101" s="101">
        <v>69400.800000000003</v>
      </c>
    </row>
    <row r="102" spans="1:29" s="99" customFormat="1" ht="14.4">
      <c r="A102" s="112"/>
      <c r="B102" s="102" t="s">
        <v>602</v>
      </c>
      <c r="C102" s="103" t="s">
        <v>21</v>
      </c>
      <c r="D102" s="104">
        <v>45179</v>
      </c>
      <c r="E102" s="103" t="s">
        <v>84</v>
      </c>
      <c r="F102" s="105" t="s">
        <v>478</v>
      </c>
      <c r="G102" s="132" t="s">
        <v>547</v>
      </c>
      <c r="H102" s="107">
        <v>15.1</v>
      </c>
      <c r="I102" s="114">
        <v>1880.76</v>
      </c>
      <c r="J102" s="89" t="s">
        <v>86</v>
      </c>
      <c r="K102" s="89">
        <v>1</v>
      </c>
      <c r="L102" s="109">
        <v>60.860000000000007</v>
      </c>
      <c r="M102" s="96">
        <v>332000</v>
      </c>
      <c r="N102" s="96">
        <v>128199</v>
      </c>
      <c r="O102" s="110">
        <v>48083.798882681556</v>
      </c>
      <c r="P102" s="110">
        <v>12405.520867564901</v>
      </c>
      <c r="Q102" s="110">
        <v>45999.671376930652</v>
      </c>
      <c r="R102" s="110">
        <v>2257.804797896812</v>
      </c>
      <c r="S102" s="96">
        <v>0</v>
      </c>
      <c r="T102" s="110">
        <v>69594.972067039096</v>
      </c>
      <c r="U102" s="110">
        <v>0</v>
      </c>
      <c r="V102" s="110">
        <v>638540.7679921129</v>
      </c>
      <c r="W102" s="111">
        <v>480.3</v>
      </c>
      <c r="X102" s="98">
        <f t="shared" si="3"/>
        <v>2018.4799999999998</v>
      </c>
      <c r="Y102" s="99">
        <f t="shared" si="4"/>
        <v>0</v>
      </c>
      <c r="Z102" s="100">
        <f t="shared" si="5"/>
        <v>0</v>
      </c>
      <c r="AC102" s="101">
        <v>15699.600000000002</v>
      </c>
    </row>
    <row r="103" spans="1:29" s="99" customFormat="1" ht="14.4">
      <c r="A103" s="115">
        <v>27</v>
      </c>
      <c r="B103" s="131" t="s">
        <v>603</v>
      </c>
      <c r="C103" s="103" t="s">
        <v>21</v>
      </c>
      <c r="D103" s="104">
        <v>45179</v>
      </c>
      <c r="E103" s="103" t="s">
        <v>84</v>
      </c>
      <c r="F103" s="105" t="s">
        <v>479</v>
      </c>
      <c r="G103" s="132" t="s">
        <v>547</v>
      </c>
      <c r="H103" s="133">
        <v>40.99</v>
      </c>
      <c r="I103" s="134">
        <v>5104.92</v>
      </c>
      <c r="J103" s="89" t="s">
        <v>86</v>
      </c>
      <c r="K103" s="89">
        <v>1</v>
      </c>
      <c r="L103" s="109">
        <v>62.57</v>
      </c>
      <c r="M103" s="96">
        <v>724000</v>
      </c>
      <c r="N103" s="96">
        <v>348005.10000000003</v>
      </c>
      <c r="O103" s="110">
        <v>126959.5972510788</v>
      </c>
      <c r="P103" s="110">
        <v>32755.314048265944</v>
      </c>
      <c r="Q103" s="110">
        <v>121456.70449097012</v>
      </c>
      <c r="R103" s="110">
        <v>5961.4671567844016</v>
      </c>
      <c r="S103" s="96">
        <v>0</v>
      </c>
      <c r="T103" s="110">
        <v>183757.31181077193</v>
      </c>
      <c r="U103" s="110">
        <v>0</v>
      </c>
      <c r="V103" s="110">
        <v>1542895.4947578714</v>
      </c>
      <c r="W103" s="111">
        <v>1160.53</v>
      </c>
      <c r="X103" s="98">
        <f t="shared" si="3"/>
        <v>2074.5299999999997</v>
      </c>
      <c r="Y103" s="99">
        <f t="shared" si="4"/>
        <v>1</v>
      </c>
      <c r="Z103" s="100">
        <f t="shared" si="5"/>
        <v>2074.5299999999997</v>
      </c>
      <c r="AC103" s="101">
        <v>42613.200000000004</v>
      </c>
    </row>
    <row r="104" spans="1:29" s="99" customFormat="1" ht="14.4">
      <c r="A104" s="87"/>
      <c r="B104" s="131" t="s">
        <v>603</v>
      </c>
      <c r="C104" s="103" t="s">
        <v>21</v>
      </c>
      <c r="D104" s="104">
        <v>45179</v>
      </c>
      <c r="E104" s="103" t="s">
        <v>84</v>
      </c>
      <c r="F104" s="117" t="s">
        <v>480</v>
      </c>
      <c r="G104" s="132" t="s">
        <v>547</v>
      </c>
      <c r="H104" s="133">
        <v>10.79</v>
      </c>
      <c r="I104" s="134">
        <v>8614</v>
      </c>
      <c r="J104" s="89" t="s">
        <v>86</v>
      </c>
      <c r="K104" s="89">
        <v>1</v>
      </c>
      <c r="L104" s="109">
        <v>62.57</v>
      </c>
      <c r="M104" s="96">
        <v>392000</v>
      </c>
      <c r="N104" s="96">
        <v>91607.099999999991</v>
      </c>
      <c r="O104" s="110">
        <v>33420.201374460601</v>
      </c>
      <c r="P104" s="110">
        <v>8622.3429758670281</v>
      </c>
      <c r="Q104" s="110">
        <v>31971.647754514943</v>
      </c>
      <c r="R104" s="110">
        <v>1569.2664216077992</v>
      </c>
      <c r="S104" s="96">
        <v>0</v>
      </c>
      <c r="T104" s="110">
        <v>48371.344094614033</v>
      </c>
      <c r="U104" s="110">
        <v>0</v>
      </c>
      <c r="V104" s="110">
        <v>607561.90262106434</v>
      </c>
      <c r="W104" s="111">
        <v>457</v>
      </c>
      <c r="X104" s="98">
        <f t="shared" si="3"/>
        <v>2074.5299999999997</v>
      </c>
      <c r="Y104" s="99">
        <f t="shared" si="4"/>
        <v>0</v>
      </c>
      <c r="Z104" s="100">
        <f t="shared" si="5"/>
        <v>0</v>
      </c>
      <c r="AC104" s="101">
        <v>43254</v>
      </c>
    </row>
    <row r="105" spans="1:29" s="99" customFormat="1" ht="16.5" customHeight="1">
      <c r="A105" s="112"/>
      <c r="B105" s="131" t="s">
        <v>603</v>
      </c>
      <c r="C105" s="103" t="s">
        <v>21</v>
      </c>
      <c r="D105" s="104">
        <v>45179</v>
      </c>
      <c r="E105" s="103" t="s">
        <v>84</v>
      </c>
      <c r="F105" s="117" t="s">
        <v>481</v>
      </c>
      <c r="G105" s="132" t="s">
        <v>547</v>
      </c>
      <c r="H105" s="135">
        <v>10.79</v>
      </c>
      <c r="I105" s="123">
        <v>8614</v>
      </c>
      <c r="J105" s="89" t="s">
        <v>86</v>
      </c>
      <c r="K105" s="89">
        <v>1</v>
      </c>
      <c r="L105" s="109">
        <v>62.57</v>
      </c>
      <c r="M105" s="96">
        <v>392000</v>
      </c>
      <c r="N105" s="96">
        <v>91607.099999999991</v>
      </c>
      <c r="O105" s="110">
        <v>33420.201374460601</v>
      </c>
      <c r="P105" s="110">
        <v>8622.3429758670281</v>
      </c>
      <c r="Q105" s="110">
        <v>31971.647754514943</v>
      </c>
      <c r="R105" s="110">
        <v>1569.2664216077992</v>
      </c>
      <c r="S105" s="96">
        <v>0</v>
      </c>
      <c r="T105" s="110">
        <v>48371.344094614033</v>
      </c>
      <c r="U105" s="110">
        <v>0</v>
      </c>
      <c r="V105" s="110">
        <v>607561.90262106434</v>
      </c>
      <c r="W105" s="111">
        <v>457</v>
      </c>
      <c r="X105" s="98">
        <f t="shared" si="3"/>
        <v>2074.5299999999997</v>
      </c>
      <c r="Y105" s="99">
        <f t="shared" si="4"/>
        <v>0</v>
      </c>
      <c r="Z105" s="100">
        <f t="shared" si="5"/>
        <v>0</v>
      </c>
      <c r="AC105" s="101">
        <v>43254</v>
      </c>
    </row>
    <row r="106" spans="1:29" s="99" customFormat="1" ht="14.4">
      <c r="A106" s="115">
        <v>28</v>
      </c>
      <c r="B106" s="131" t="s">
        <v>604</v>
      </c>
      <c r="C106" s="103" t="s">
        <v>21</v>
      </c>
      <c r="D106" s="104">
        <v>45179</v>
      </c>
      <c r="E106" s="103" t="s">
        <v>84</v>
      </c>
      <c r="F106" s="117" t="s">
        <v>482</v>
      </c>
      <c r="G106" s="132" t="s">
        <v>547</v>
      </c>
      <c r="H106" s="118">
        <v>7.55</v>
      </c>
      <c r="I106" s="114">
        <v>4228</v>
      </c>
      <c r="J106" s="89" t="s">
        <v>86</v>
      </c>
      <c r="K106" s="89">
        <v>1</v>
      </c>
      <c r="L106" s="109">
        <v>62.129999999999995</v>
      </c>
      <c r="M106" s="96">
        <v>332000</v>
      </c>
      <c r="N106" s="96">
        <v>64099.5</v>
      </c>
      <c r="O106" s="110">
        <v>23550.458715596331</v>
      </c>
      <c r="P106" s="110">
        <v>6075.9697408659267</v>
      </c>
      <c r="Q106" s="110">
        <v>22529.695799130855</v>
      </c>
      <c r="R106" s="110">
        <v>1105.8264928375986</v>
      </c>
      <c r="S106" s="96">
        <v>0</v>
      </c>
      <c r="T106" s="110">
        <v>34086.190246257851</v>
      </c>
      <c r="U106" s="110">
        <v>0</v>
      </c>
      <c r="V106" s="110">
        <v>483447.64099468855</v>
      </c>
      <c r="W106" s="111">
        <v>363.64</v>
      </c>
      <c r="X106" s="98">
        <f t="shared" si="3"/>
        <v>1951.3600000000001</v>
      </c>
      <c r="Y106" s="99">
        <f t="shared" si="4"/>
        <v>1</v>
      </c>
      <c r="Z106" s="100">
        <f t="shared" si="5"/>
        <v>1951.3600000000001</v>
      </c>
      <c r="AC106" s="101">
        <v>28366.1</v>
      </c>
    </row>
    <row r="107" spans="1:29" s="99" customFormat="1" ht="14.4">
      <c r="A107" s="87"/>
      <c r="B107" s="131" t="s">
        <v>604</v>
      </c>
      <c r="C107" s="103" t="s">
        <v>21</v>
      </c>
      <c r="D107" s="104">
        <v>45179</v>
      </c>
      <c r="E107" s="103" t="s">
        <v>84</v>
      </c>
      <c r="F107" s="117" t="s">
        <v>483</v>
      </c>
      <c r="G107" s="132" t="s">
        <v>547</v>
      </c>
      <c r="H107" s="113">
        <v>0.63</v>
      </c>
      <c r="I107" s="114">
        <v>46.5</v>
      </c>
      <c r="J107" s="89" t="s">
        <v>86</v>
      </c>
      <c r="K107" s="89">
        <v>1</v>
      </c>
      <c r="L107" s="109">
        <v>62.129999999999995</v>
      </c>
      <c r="M107" s="96">
        <v>232000</v>
      </c>
      <c r="N107" s="96">
        <v>5348.7</v>
      </c>
      <c r="O107" s="110">
        <v>1965.1376146788991</v>
      </c>
      <c r="P107" s="110">
        <v>507.00144857556739</v>
      </c>
      <c r="Q107" s="110">
        <v>1879.9613713182039</v>
      </c>
      <c r="R107" s="110">
        <v>92.274263640753261</v>
      </c>
      <c r="S107" s="96">
        <v>0</v>
      </c>
      <c r="T107" s="110">
        <v>2844.2781265089329</v>
      </c>
      <c r="U107" s="110">
        <v>0</v>
      </c>
      <c r="V107" s="110">
        <v>244637.35282472239</v>
      </c>
      <c r="W107" s="111">
        <v>184.01</v>
      </c>
      <c r="X107" s="98">
        <f t="shared" si="3"/>
        <v>1951.3600000000001</v>
      </c>
      <c r="Y107" s="99">
        <f t="shared" si="4"/>
        <v>0</v>
      </c>
      <c r="Z107" s="100">
        <f t="shared" si="5"/>
        <v>0</v>
      </c>
      <c r="AC107" s="116">
        <v>960</v>
      </c>
    </row>
    <row r="108" spans="1:29" s="99" customFormat="1" ht="14.4">
      <c r="A108" s="87"/>
      <c r="B108" s="131" t="s">
        <v>604</v>
      </c>
      <c r="C108" s="103" t="s">
        <v>21</v>
      </c>
      <c r="D108" s="104">
        <v>45179</v>
      </c>
      <c r="E108" s="103" t="s">
        <v>84</v>
      </c>
      <c r="F108" s="105" t="s">
        <v>484</v>
      </c>
      <c r="G108" s="132" t="s">
        <v>547</v>
      </c>
      <c r="H108" s="113">
        <v>31.29</v>
      </c>
      <c r="I108" s="114">
        <v>5278</v>
      </c>
      <c r="J108" s="89" t="s">
        <v>86</v>
      </c>
      <c r="K108" s="89">
        <v>1</v>
      </c>
      <c r="L108" s="109">
        <v>62.129999999999995</v>
      </c>
      <c r="M108" s="96">
        <v>392000</v>
      </c>
      <c r="N108" s="96">
        <v>265652.09999999998</v>
      </c>
      <c r="O108" s="110">
        <v>97601.834862385324</v>
      </c>
      <c r="P108" s="110">
        <v>25181.071945919848</v>
      </c>
      <c r="Q108" s="110">
        <v>93371.414775470796</v>
      </c>
      <c r="R108" s="110">
        <v>4582.9550941574125</v>
      </c>
      <c r="S108" s="96">
        <v>0</v>
      </c>
      <c r="T108" s="110">
        <v>141265.81361661034</v>
      </c>
      <c r="U108" s="110">
        <v>0</v>
      </c>
      <c r="V108" s="110">
        <v>1019655.1902945436</v>
      </c>
      <c r="W108" s="111">
        <v>766.96</v>
      </c>
      <c r="X108" s="98">
        <f t="shared" si="3"/>
        <v>1951.3600000000001</v>
      </c>
      <c r="Y108" s="99">
        <f t="shared" si="4"/>
        <v>0</v>
      </c>
      <c r="Z108" s="100">
        <f t="shared" si="5"/>
        <v>0</v>
      </c>
      <c r="AC108" s="101">
        <v>21942.27</v>
      </c>
    </row>
    <row r="109" spans="1:29" s="99" customFormat="1" ht="14.4">
      <c r="A109" s="112"/>
      <c r="B109" s="131" t="s">
        <v>604</v>
      </c>
      <c r="C109" s="103" t="s">
        <v>21</v>
      </c>
      <c r="D109" s="104">
        <v>45179</v>
      </c>
      <c r="E109" s="103" t="s">
        <v>84</v>
      </c>
      <c r="F109" s="105" t="s">
        <v>485</v>
      </c>
      <c r="G109" s="132" t="s">
        <v>547</v>
      </c>
      <c r="H109" s="107">
        <v>22.66</v>
      </c>
      <c r="I109" s="114">
        <v>6741</v>
      </c>
      <c r="J109" s="89" t="s">
        <v>86</v>
      </c>
      <c r="K109" s="89">
        <v>1</v>
      </c>
      <c r="L109" s="109">
        <v>62.129999999999995</v>
      </c>
      <c r="M109" s="96">
        <v>392000</v>
      </c>
      <c r="N109" s="96">
        <v>192383.4</v>
      </c>
      <c r="O109" s="110">
        <v>70682.568807339456</v>
      </c>
      <c r="P109" s="110">
        <v>18235.956864638662</v>
      </c>
      <c r="Q109" s="110">
        <v>67618.928054080156</v>
      </c>
      <c r="R109" s="110">
        <v>3318.9441493642362</v>
      </c>
      <c r="S109" s="96">
        <v>0</v>
      </c>
      <c r="T109" s="110">
        <v>102303.71801062289</v>
      </c>
      <c r="U109" s="110">
        <v>0</v>
      </c>
      <c r="V109" s="110">
        <v>846543.51588604541</v>
      </c>
      <c r="W109" s="111">
        <v>636.75</v>
      </c>
      <c r="X109" s="98">
        <f t="shared" si="3"/>
        <v>1951.3600000000001</v>
      </c>
      <c r="Y109" s="99">
        <f t="shared" si="4"/>
        <v>0</v>
      </c>
      <c r="Z109" s="100">
        <f t="shared" si="5"/>
        <v>0</v>
      </c>
      <c r="AC109" s="101">
        <v>36526.559999999998</v>
      </c>
    </row>
    <row r="110" spans="1:29" s="99" customFormat="1" ht="14.4">
      <c r="A110" s="115">
        <v>29</v>
      </c>
      <c r="B110" s="131" t="s">
        <v>605</v>
      </c>
      <c r="C110" s="103" t="s">
        <v>21</v>
      </c>
      <c r="D110" s="104">
        <v>45179</v>
      </c>
      <c r="E110" s="103" t="s">
        <v>84</v>
      </c>
      <c r="F110" s="105" t="s">
        <v>486</v>
      </c>
      <c r="G110" s="132" t="s">
        <v>547</v>
      </c>
      <c r="H110" s="107">
        <v>8.6449999999999996</v>
      </c>
      <c r="I110" s="108">
        <v>4832</v>
      </c>
      <c r="J110" s="89" t="s">
        <v>86</v>
      </c>
      <c r="K110" s="89">
        <v>1</v>
      </c>
      <c r="L110" s="109">
        <v>62.594999999999999</v>
      </c>
      <c r="M110" s="96">
        <v>332000</v>
      </c>
      <c r="N110" s="96">
        <v>73396.05</v>
      </c>
      <c r="O110" s="110">
        <v>26765.732087227414</v>
      </c>
      <c r="P110" s="110">
        <v>6905.5036344755972</v>
      </c>
      <c r="Q110" s="110">
        <v>25605.607476635516</v>
      </c>
      <c r="R110" s="110">
        <v>1256.8016614745586</v>
      </c>
      <c r="S110" s="96">
        <v>0</v>
      </c>
      <c r="T110" s="110">
        <v>38739.875389408102</v>
      </c>
      <c r="U110" s="110">
        <v>0</v>
      </c>
      <c r="V110" s="110">
        <v>504669.57024922111</v>
      </c>
      <c r="W110" s="111">
        <v>379.6</v>
      </c>
      <c r="X110" s="98">
        <f t="shared" si="3"/>
        <v>1779.83</v>
      </c>
      <c r="Y110" s="99">
        <f t="shared" si="4"/>
        <v>1</v>
      </c>
      <c r="Z110" s="100">
        <f t="shared" si="5"/>
        <v>1779.83</v>
      </c>
      <c r="AC110" s="101">
        <v>32418.399999999998</v>
      </c>
    </row>
    <row r="111" spans="1:29" s="99" customFormat="1" ht="14.4" outlineLevel="1">
      <c r="A111" s="87"/>
      <c r="B111" s="131" t="s">
        <v>605</v>
      </c>
      <c r="C111" s="103" t="s">
        <v>21</v>
      </c>
      <c r="D111" s="104">
        <v>45179</v>
      </c>
      <c r="E111" s="103" t="s">
        <v>84</v>
      </c>
      <c r="F111" s="105" t="s">
        <v>487</v>
      </c>
      <c r="G111" s="106" t="s">
        <v>547</v>
      </c>
      <c r="H111" s="107">
        <v>31.29</v>
      </c>
      <c r="I111" s="108">
        <v>5278</v>
      </c>
      <c r="J111" s="89" t="s">
        <v>86</v>
      </c>
      <c r="K111" s="89">
        <v>1</v>
      </c>
      <c r="L111" s="109">
        <v>62.594999999999999</v>
      </c>
      <c r="M111" s="96">
        <v>392000</v>
      </c>
      <c r="N111" s="96">
        <v>265652.09999999998</v>
      </c>
      <c r="O111" s="110">
        <v>96876.779295470886</v>
      </c>
      <c r="P111" s="110">
        <v>24994.009106158639</v>
      </c>
      <c r="Q111" s="110">
        <v>92677.785765636232</v>
      </c>
      <c r="R111" s="110">
        <v>4548.9096573208717</v>
      </c>
      <c r="S111" s="96">
        <v>0</v>
      </c>
      <c r="T111" s="110">
        <v>140216.39108554996</v>
      </c>
      <c r="U111" s="110">
        <v>0</v>
      </c>
      <c r="V111" s="110">
        <v>1016965.9749101365</v>
      </c>
      <c r="W111" s="111">
        <v>764.94</v>
      </c>
      <c r="X111" s="98">
        <f t="shared" si="3"/>
        <v>1779.83</v>
      </c>
      <c r="Y111" s="99">
        <f t="shared" si="4"/>
        <v>0</v>
      </c>
      <c r="Z111" s="100">
        <f t="shared" si="5"/>
        <v>0</v>
      </c>
      <c r="AC111" s="101">
        <v>21942.27</v>
      </c>
    </row>
    <row r="112" spans="1:29" s="99" customFormat="1" ht="14.4" outlineLevel="1">
      <c r="A112" s="112"/>
      <c r="B112" s="131" t="s">
        <v>605</v>
      </c>
      <c r="C112" s="103" t="s">
        <v>21</v>
      </c>
      <c r="D112" s="104">
        <v>45179</v>
      </c>
      <c r="E112" s="103" t="s">
        <v>84</v>
      </c>
      <c r="F112" s="105" t="s">
        <v>488</v>
      </c>
      <c r="G112" s="106" t="s">
        <v>547</v>
      </c>
      <c r="H112" s="107">
        <v>22.66</v>
      </c>
      <c r="I112" s="108">
        <v>6741</v>
      </c>
      <c r="J112" s="89" t="s">
        <v>86</v>
      </c>
      <c r="K112" s="89">
        <v>1</v>
      </c>
      <c r="L112" s="109">
        <v>62.594999999999999</v>
      </c>
      <c r="M112" s="96">
        <v>392000</v>
      </c>
      <c r="N112" s="96">
        <v>192383.4</v>
      </c>
      <c r="O112" s="110">
        <v>70157.4886173017</v>
      </c>
      <c r="P112" s="110">
        <v>18100.487259365764</v>
      </c>
      <c r="Q112" s="110">
        <v>67116.606757728252</v>
      </c>
      <c r="R112" s="110">
        <v>3294.288681204569</v>
      </c>
      <c r="S112" s="96">
        <v>0</v>
      </c>
      <c r="T112" s="110">
        <v>101543.73352504193</v>
      </c>
      <c r="U112" s="110">
        <v>0</v>
      </c>
      <c r="V112" s="110">
        <v>844596.00484064221</v>
      </c>
      <c r="W112" s="111">
        <v>635.29</v>
      </c>
      <c r="X112" s="98">
        <f t="shared" si="3"/>
        <v>1779.83</v>
      </c>
      <c r="Y112" s="99">
        <f t="shared" si="4"/>
        <v>0</v>
      </c>
      <c r="Z112" s="100">
        <f t="shared" si="5"/>
        <v>0</v>
      </c>
      <c r="AC112" s="101">
        <v>36526.559999999998</v>
      </c>
    </row>
    <row r="113" spans="1:29" s="99" customFormat="1" ht="14.4" outlineLevel="1">
      <c r="A113" s="115">
        <v>30</v>
      </c>
      <c r="B113" s="131" t="s">
        <v>606</v>
      </c>
      <c r="C113" s="103" t="s">
        <v>21</v>
      </c>
      <c r="D113" s="104">
        <v>45179</v>
      </c>
      <c r="E113" s="103" t="s">
        <v>84</v>
      </c>
      <c r="F113" s="117" t="s">
        <v>489</v>
      </c>
      <c r="G113" s="106" t="s">
        <v>547</v>
      </c>
      <c r="H113" s="107">
        <v>22.78</v>
      </c>
      <c r="I113" s="114">
        <v>3795.2</v>
      </c>
      <c r="J113" s="89" t="s">
        <v>86</v>
      </c>
      <c r="K113" s="89">
        <v>1</v>
      </c>
      <c r="L113" s="109">
        <v>67.87</v>
      </c>
      <c r="M113" s="96">
        <v>392000</v>
      </c>
      <c r="N113" s="96">
        <v>193402.2</v>
      </c>
      <c r="O113" s="110">
        <v>65047.355237954907</v>
      </c>
      <c r="P113" s="110">
        <v>16782.083394725207</v>
      </c>
      <c r="Q113" s="110">
        <v>62227.965227641071</v>
      </c>
      <c r="R113" s="110">
        <v>3054.3391778399878</v>
      </c>
      <c r="S113" s="96">
        <v>0</v>
      </c>
      <c r="T113" s="110">
        <v>94147.487844408417</v>
      </c>
      <c r="U113" s="110">
        <v>0</v>
      </c>
      <c r="V113" s="110">
        <v>826661.43088256952</v>
      </c>
      <c r="W113" s="111">
        <v>621.79999999999995</v>
      </c>
      <c r="X113" s="98">
        <f t="shared" si="3"/>
        <v>1846.6100000000001</v>
      </c>
      <c r="Y113" s="99">
        <f t="shared" si="4"/>
        <v>1</v>
      </c>
      <c r="Z113" s="100">
        <f t="shared" si="5"/>
        <v>1846.6100000000001</v>
      </c>
      <c r="AC113" s="116">
        <v>24345.599999999999</v>
      </c>
    </row>
    <row r="114" spans="1:29" s="121" customFormat="1" ht="14.4" outlineLevel="1">
      <c r="A114" s="87"/>
      <c r="B114" s="131" t="s">
        <v>606</v>
      </c>
      <c r="C114" s="103" t="s">
        <v>21</v>
      </c>
      <c r="D114" s="104">
        <v>45179</v>
      </c>
      <c r="E114" s="103" t="s">
        <v>84</v>
      </c>
      <c r="F114" s="117" t="s">
        <v>490</v>
      </c>
      <c r="G114" s="106" t="s">
        <v>547</v>
      </c>
      <c r="H114" s="113">
        <v>28.48</v>
      </c>
      <c r="I114" s="114">
        <v>4338.88</v>
      </c>
      <c r="J114" s="89" t="s">
        <v>86</v>
      </c>
      <c r="K114" s="89">
        <v>1</v>
      </c>
      <c r="L114" s="109">
        <v>67.87</v>
      </c>
      <c r="M114" s="96">
        <v>392000</v>
      </c>
      <c r="N114" s="96">
        <v>241795.20000000001</v>
      </c>
      <c r="O114" s="110">
        <v>81323.47134227198</v>
      </c>
      <c r="P114" s="110">
        <v>20981.287756004123</v>
      </c>
      <c r="Q114" s="110">
        <v>77798.6149992633</v>
      </c>
      <c r="R114" s="110">
        <v>3818.5943715927506</v>
      </c>
      <c r="S114" s="96">
        <v>0</v>
      </c>
      <c r="T114" s="110">
        <v>117705.02431118314</v>
      </c>
      <c r="U114" s="110">
        <v>0</v>
      </c>
      <c r="V114" s="110">
        <v>935422.19278031529</v>
      </c>
      <c r="W114" s="111">
        <v>703.6</v>
      </c>
      <c r="X114" s="98">
        <f t="shared" si="3"/>
        <v>1846.6100000000001</v>
      </c>
      <c r="Y114" s="99">
        <f t="shared" si="4"/>
        <v>0</v>
      </c>
      <c r="Z114" s="100">
        <f t="shared" si="5"/>
        <v>0</v>
      </c>
      <c r="AC114" s="116">
        <v>54076.799999999996</v>
      </c>
    </row>
    <row r="115" spans="1:29" s="99" customFormat="1" ht="16.5" customHeight="1" outlineLevel="1">
      <c r="A115" s="112"/>
      <c r="B115" s="131" t="s">
        <v>606</v>
      </c>
      <c r="C115" s="103" t="s">
        <v>21</v>
      </c>
      <c r="D115" s="104">
        <v>45179</v>
      </c>
      <c r="E115" s="103" t="s">
        <v>84</v>
      </c>
      <c r="F115" s="117" t="s">
        <v>491</v>
      </c>
      <c r="G115" s="106" t="s">
        <v>547</v>
      </c>
      <c r="H115" s="107">
        <v>16.61</v>
      </c>
      <c r="I115" s="108">
        <v>2838</v>
      </c>
      <c r="J115" s="89" t="s">
        <v>86</v>
      </c>
      <c r="K115" s="89">
        <v>1</v>
      </c>
      <c r="L115" s="109">
        <v>67.87</v>
      </c>
      <c r="M115" s="96">
        <v>376000</v>
      </c>
      <c r="N115" s="96">
        <v>141018.9</v>
      </c>
      <c r="O115" s="110">
        <v>47429.173419773091</v>
      </c>
      <c r="P115" s="110">
        <v>12236.628849270663</v>
      </c>
      <c r="Q115" s="110">
        <v>45373.419773095615</v>
      </c>
      <c r="R115" s="110">
        <v>2227.0664505672607</v>
      </c>
      <c r="S115" s="96">
        <v>0</v>
      </c>
      <c r="T115" s="110">
        <v>68647.487844408417</v>
      </c>
      <c r="U115" s="110">
        <v>0</v>
      </c>
      <c r="V115" s="110">
        <v>692932.676337115</v>
      </c>
      <c r="W115" s="111">
        <v>521.21</v>
      </c>
      <c r="X115" s="98">
        <f t="shared" si="3"/>
        <v>1846.6100000000001</v>
      </c>
      <c r="Y115" s="99">
        <f t="shared" si="4"/>
        <v>0</v>
      </c>
      <c r="Z115" s="100">
        <f t="shared" si="5"/>
        <v>0</v>
      </c>
      <c r="AC115" s="116">
        <v>29292.839999999997</v>
      </c>
    </row>
    <row r="116" spans="1:29" s="99" customFormat="1" ht="14.4" outlineLevel="1">
      <c r="A116" s="136">
        <v>31</v>
      </c>
      <c r="B116" s="131" t="s">
        <v>607</v>
      </c>
      <c r="C116" s="103" t="s">
        <v>21</v>
      </c>
      <c r="D116" s="104">
        <v>45179</v>
      </c>
      <c r="E116" s="103" t="s">
        <v>84</v>
      </c>
      <c r="F116" s="117" t="s">
        <v>492</v>
      </c>
      <c r="G116" s="106" t="s">
        <v>547</v>
      </c>
      <c r="H116" s="107">
        <v>66.430000000000007</v>
      </c>
      <c r="I116" s="108">
        <v>11352</v>
      </c>
      <c r="J116" s="89" t="s">
        <v>86</v>
      </c>
      <c r="K116" s="89">
        <v>1</v>
      </c>
      <c r="L116" s="109">
        <v>66.430000000000007</v>
      </c>
      <c r="M116" s="96">
        <v>1016000</v>
      </c>
      <c r="N116" s="96">
        <v>563990.70000000007</v>
      </c>
      <c r="O116" s="110">
        <v>193800</v>
      </c>
      <c r="P116" s="110">
        <v>50000</v>
      </c>
      <c r="Q116" s="110">
        <v>185400</v>
      </c>
      <c r="R116" s="110">
        <v>9100</v>
      </c>
      <c r="S116" s="96">
        <v>0</v>
      </c>
      <c r="T116" s="110">
        <v>280500</v>
      </c>
      <c r="U116" s="110">
        <v>0</v>
      </c>
      <c r="V116" s="110">
        <v>2298790.7000000002</v>
      </c>
      <c r="W116" s="111">
        <v>1729.1</v>
      </c>
      <c r="X116" s="98">
        <f t="shared" si="3"/>
        <v>1729.1</v>
      </c>
      <c r="Y116" s="99">
        <f t="shared" si="4"/>
        <v>1</v>
      </c>
      <c r="Z116" s="100">
        <f t="shared" si="5"/>
        <v>1729.1</v>
      </c>
      <c r="AC116" s="116">
        <v>117171.35999999999</v>
      </c>
    </row>
    <row r="117" spans="1:29" s="99" customFormat="1" ht="14.4" outlineLevel="1">
      <c r="A117" s="115">
        <v>32</v>
      </c>
      <c r="B117" s="131" t="s">
        <v>608</v>
      </c>
      <c r="C117" s="103" t="s">
        <v>21</v>
      </c>
      <c r="D117" s="104">
        <v>45179</v>
      </c>
      <c r="E117" s="103" t="s">
        <v>84</v>
      </c>
      <c r="F117" s="117" t="s">
        <v>493</v>
      </c>
      <c r="G117" s="106" t="s">
        <v>547</v>
      </c>
      <c r="H117" s="107">
        <v>29.06</v>
      </c>
      <c r="I117" s="108">
        <v>4966.5</v>
      </c>
      <c r="J117" s="89" t="s">
        <v>86</v>
      </c>
      <c r="K117" s="89">
        <v>1</v>
      </c>
      <c r="L117" s="109">
        <v>61.587000000000003</v>
      </c>
      <c r="M117" s="96">
        <v>392000</v>
      </c>
      <c r="N117" s="96">
        <v>246719.4</v>
      </c>
      <c r="O117" s="110">
        <v>91445.077694968088</v>
      </c>
      <c r="P117" s="110">
        <v>23592.641304171331</v>
      </c>
      <c r="Q117" s="110">
        <v>87481.513955867296</v>
      </c>
      <c r="R117" s="110">
        <v>4293.8607173591827</v>
      </c>
      <c r="S117" s="96">
        <v>0</v>
      </c>
      <c r="T117" s="110">
        <v>132354.71771640118</v>
      </c>
      <c r="U117" s="110">
        <v>0</v>
      </c>
      <c r="V117" s="110">
        <v>977887.21138876711</v>
      </c>
      <c r="W117" s="111">
        <v>735.55</v>
      </c>
      <c r="X117" s="98">
        <f t="shared" si="3"/>
        <v>1412.04</v>
      </c>
      <c r="Y117" s="99">
        <f t="shared" si="4"/>
        <v>1</v>
      </c>
      <c r="Z117" s="100">
        <f t="shared" si="5"/>
        <v>1412.04</v>
      </c>
      <c r="AC117" s="101">
        <v>51262.469999999994</v>
      </c>
    </row>
    <row r="118" spans="1:29" s="99" customFormat="1" ht="14.4" outlineLevel="1">
      <c r="A118" s="87"/>
      <c r="B118" s="131" t="s">
        <v>608</v>
      </c>
      <c r="C118" s="103" t="s">
        <v>21</v>
      </c>
      <c r="D118" s="104">
        <v>45179</v>
      </c>
      <c r="E118" s="103" t="s">
        <v>84</v>
      </c>
      <c r="F118" s="117" t="s">
        <v>494</v>
      </c>
      <c r="G118" s="132" t="s">
        <v>323</v>
      </c>
      <c r="H118" s="107">
        <v>26.257000000000001</v>
      </c>
      <c r="I118" s="108">
        <v>3570</v>
      </c>
      <c r="J118" s="177" t="s">
        <v>86</v>
      </c>
      <c r="K118" s="89">
        <v>1</v>
      </c>
      <c r="L118" s="109">
        <v>61.587000000000003</v>
      </c>
      <c r="M118" s="96">
        <v>370000</v>
      </c>
      <c r="N118" s="96">
        <v>222921.93000000002</v>
      </c>
      <c r="O118" s="110">
        <v>82624.687028106579</v>
      </c>
      <c r="P118" s="110">
        <v>21316.998717261758</v>
      </c>
      <c r="Q118" s="110">
        <v>79043.43124360661</v>
      </c>
      <c r="R118" s="110">
        <v>3879.6937665416403</v>
      </c>
      <c r="S118" s="96">
        <v>0</v>
      </c>
      <c r="T118" s="110">
        <v>119588.36280383846</v>
      </c>
      <c r="U118" s="110">
        <v>0</v>
      </c>
      <c r="V118" s="110">
        <v>899375.10355935502</v>
      </c>
      <c r="W118" s="111">
        <v>676.49</v>
      </c>
      <c r="X118" s="98">
        <f t="shared" si="3"/>
        <v>1412.04</v>
      </c>
      <c r="Y118" s="178">
        <f t="shared" si="4"/>
        <v>0</v>
      </c>
      <c r="Z118" s="179">
        <f t="shared" si="5"/>
        <v>0</v>
      </c>
      <c r="AC118" s="101">
        <v>17539.2</v>
      </c>
    </row>
    <row r="119" spans="1:29" s="99" customFormat="1" ht="14.4" outlineLevel="1">
      <c r="A119" s="112"/>
      <c r="B119" s="138" t="s">
        <v>608</v>
      </c>
      <c r="C119" s="139" t="s">
        <v>21</v>
      </c>
      <c r="D119" s="140">
        <v>45179</v>
      </c>
      <c r="E119" s="139" t="s">
        <v>84</v>
      </c>
      <c r="F119" s="141" t="s">
        <v>495</v>
      </c>
      <c r="G119" s="141" t="s">
        <v>609</v>
      </c>
      <c r="H119" s="143">
        <v>6.27</v>
      </c>
      <c r="I119" s="144">
        <v>1251</v>
      </c>
      <c r="J119" s="177" t="s">
        <v>96</v>
      </c>
      <c r="K119" s="89">
        <v>0</v>
      </c>
      <c r="L119" s="109">
        <v>61.587000000000003</v>
      </c>
      <c r="M119" s="145">
        <v>0</v>
      </c>
      <c r="N119" s="145">
        <v>0</v>
      </c>
      <c r="O119" s="146">
        <v>0</v>
      </c>
      <c r="P119" s="146">
        <v>0</v>
      </c>
      <c r="Q119" s="146">
        <v>0</v>
      </c>
      <c r="R119" s="146">
        <v>0</v>
      </c>
      <c r="S119" s="145">
        <v>0</v>
      </c>
      <c r="T119" s="146">
        <v>0</v>
      </c>
      <c r="U119" s="146">
        <v>0</v>
      </c>
      <c r="V119" s="146">
        <v>0</v>
      </c>
      <c r="W119" s="147">
        <v>0</v>
      </c>
      <c r="X119" s="98">
        <f t="shared" si="3"/>
        <v>1412.04</v>
      </c>
      <c r="Y119" s="178">
        <f t="shared" si="4"/>
        <v>0</v>
      </c>
      <c r="Z119" s="179">
        <f t="shared" si="5"/>
        <v>0</v>
      </c>
      <c r="AC119" s="116">
        <v>68110</v>
      </c>
    </row>
    <row r="120" spans="1:29" s="99" customFormat="1" ht="14.4" outlineLevel="1">
      <c r="A120" s="115">
        <v>33</v>
      </c>
      <c r="B120" s="131" t="s">
        <v>610</v>
      </c>
      <c r="C120" s="103" t="s">
        <v>21</v>
      </c>
      <c r="D120" s="104">
        <v>45179</v>
      </c>
      <c r="E120" s="103" t="s">
        <v>84</v>
      </c>
      <c r="F120" s="117" t="s">
        <v>496</v>
      </c>
      <c r="G120" s="132" t="s">
        <v>547</v>
      </c>
      <c r="H120" s="107">
        <v>11.064</v>
      </c>
      <c r="I120" s="108">
        <v>1892</v>
      </c>
      <c r="J120" s="177" t="s">
        <v>86</v>
      </c>
      <c r="K120" s="89">
        <v>1</v>
      </c>
      <c r="L120" s="109">
        <v>59.677000000000007</v>
      </c>
      <c r="M120" s="96">
        <v>332000</v>
      </c>
      <c r="N120" s="96">
        <v>93933.36</v>
      </c>
      <c r="O120" s="110">
        <v>35930.143941552022</v>
      </c>
      <c r="P120" s="110">
        <v>9269.9029776965999</v>
      </c>
      <c r="Q120" s="110">
        <v>34372.800241298988</v>
      </c>
      <c r="R120" s="110">
        <v>1687.1223419407811</v>
      </c>
      <c r="S120" s="96">
        <v>0</v>
      </c>
      <c r="T120" s="110">
        <v>52004.155704877921</v>
      </c>
      <c r="U120" s="110">
        <v>0</v>
      </c>
      <c r="V120" s="110">
        <v>559197.48520736629</v>
      </c>
      <c r="W120" s="111">
        <v>420.62</v>
      </c>
      <c r="X120" s="98">
        <f t="shared" si="3"/>
        <v>1988.58</v>
      </c>
      <c r="Y120" s="178">
        <f t="shared" si="4"/>
        <v>1</v>
      </c>
      <c r="Z120" s="179">
        <f t="shared" si="5"/>
        <v>1988.58</v>
      </c>
      <c r="AC120" s="116">
        <v>19528.559999999998</v>
      </c>
    </row>
    <row r="121" spans="1:29" s="99" customFormat="1" ht="14.4" outlineLevel="1">
      <c r="A121" s="87"/>
      <c r="B121" s="131" t="s">
        <v>610</v>
      </c>
      <c r="C121" s="103" t="s">
        <v>21</v>
      </c>
      <c r="D121" s="104">
        <v>45179</v>
      </c>
      <c r="E121" s="103" t="s">
        <v>84</v>
      </c>
      <c r="F121" s="117" t="s">
        <v>497</v>
      </c>
      <c r="G121" s="132" t="s">
        <v>611</v>
      </c>
      <c r="H121" s="107">
        <v>18.335999999999999</v>
      </c>
      <c r="I121" s="108">
        <v>8612</v>
      </c>
      <c r="J121" s="177" t="s">
        <v>86</v>
      </c>
      <c r="K121" s="89">
        <v>1</v>
      </c>
      <c r="L121" s="109">
        <v>59.677000000000007</v>
      </c>
      <c r="M121" s="96">
        <v>551000</v>
      </c>
      <c r="N121" s="96">
        <v>155672.63999999998</v>
      </c>
      <c r="O121" s="110">
        <v>59545.83507884109</v>
      </c>
      <c r="P121" s="110">
        <v>15362.70254872061</v>
      </c>
      <c r="Q121" s="110">
        <v>56964.901050656023</v>
      </c>
      <c r="R121" s="110">
        <v>2796.0118638671511</v>
      </c>
      <c r="S121" s="96">
        <v>0</v>
      </c>
      <c r="T121" s="110">
        <v>86184.761298322628</v>
      </c>
      <c r="U121" s="110">
        <v>0</v>
      </c>
      <c r="V121" s="110">
        <v>927526.85184040747</v>
      </c>
      <c r="W121" s="111">
        <v>697.67</v>
      </c>
      <c r="X121" s="98">
        <f t="shared" si="3"/>
        <v>1988.58</v>
      </c>
      <c r="Y121" s="178">
        <f t="shared" si="4"/>
        <v>0</v>
      </c>
      <c r="Z121" s="179">
        <f t="shared" si="5"/>
        <v>0</v>
      </c>
      <c r="AC121" s="101">
        <v>24901.599999999999</v>
      </c>
    </row>
    <row r="122" spans="1:29" s="99" customFormat="1" ht="14.4" outlineLevel="1">
      <c r="A122" s="87"/>
      <c r="B122" s="131" t="s">
        <v>610</v>
      </c>
      <c r="C122" s="103" t="s">
        <v>21</v>
      </c>
      <c r="D122" s="104">
        <v>45179</v>
      </c>
      <c r="E122" s="103" t="s">
        <v>84</v>
      </c>
      <c r="F122" s="117" t="s">
        <v>498</v>
      </c>
      <c r="G122" s="132" t="s">
        <v>611</v>
      </c>
      <c r="H122" s="107">
        <v>8.9960000000000004</v>
      </c>
      <c r="I122" s="108">
        <v>4185</v>
      </c>
      <c r="J122" s="177" t="s">
        <v>86</v>
      </c>
      <c r="K122" s="89">
        <v>1</v>
      </c>
      <c r="L122" s="109">
        <v>59.677000000000007</v>
      </c>
      <c r="M122" s="96">
        <v>435000</v>
      </c>
      <c r="N122" s="96">
        <v>76376.040000000008</v>
      </c>
      <c r="O122" s="110">
        <v>29214.350587328448</v>
      </c>
      <c r="P122" s="110">
        <v>7537.2421535935109</v>
      </c>
      <c r="Q122" s="110">
        <v>27948.09390552474</v>
      </c>
      <c r="R122" s="110">
        <v>1371.778071954019</v>
      </c>
      <c r="S122" s="96">
        <v>0</v>
      </c>
      <c r="T122" s="110">
        <v>42283.928481659597</v>
      </c>
      <c r="U122" s="110">
        <v>0</v>
      </c>
      <c r="V122" s="110">
        <v>619731.43320006027</v>
      </c>
      <c r="W122" s="111">
        <v>466.15</v>
      </c>
      <c r="X122" s="98">
        <f t="shared" si="3"/>
        <v>1988.58</v>
      </c>
      <c r="Y122" s="178">
        <f t="shared" si="4"/>
        <v>0</v>
      </c>
      <c r="Z122" s="179">
        <f t="shared" si="5"/>
        <v>0</v>
      </c>
      <c r="AC122" s="101">
        <v>12220.8</v>
      </c>
    </row>
    <row r="123" spans="1:29" s="99" customFormat="1" ht="14.4" outlineLevel="1">
      <c r="A123" s="87"/>
      <c r="B123" s="131" t="s">
        <v>610</v>
      </c>
      <c r="C123" s="103" t="s">
        <v>21</v>
      </c>
      <c r="D123" s="104">
        <v>45179</v>
      </c>
      <c r="E123" s="103" t="s">
        <v>84</v>
      </c>
      <c r="F123" s="117" t="s">
        <v>499</v>
      </c>
      <c r="G123" s="132" t="s">
        <v>555</v>
      </c>
      <c r="H123" s="107">
        <v>4.2140000000000004</v>
      </c>
      <c r="I123" s="108">
        <v>992.28</v>
      </c>
      <c r="J123" s="177" t="s">
        <v>86</v>
      </c>
      <c r="K123" s="89">
        <v>1</v>
      </c>
      <c r="L123" s="109">
        <v>59.677000000000007</v>
      </c>
      <c r="M123" s="96">
        <v>235000</v>
      </c>
      <c r="N123" s="96">
        <v>35776.86</v>
      </c>
      <c r="O123" s="110">
        <v>13684.890326256347</v>
      </c>
      <c r="P123" s="110">
        <v>3530.6734587864671</v>
      </c>
      <c r="Q123" s="110">
        <v>13091.73718518022</v>
      </c>
      <c r="R123" s="110">
        <v>642.58256949913709</v>
      </c>
      <c r="S123" s="96">
        <v>0</v>
      </c>
      <c r="T123" s="110">
        <v>19807.078103792082</v>
      </c>
      <c r="U123" s="110">
        <v>0</v>
      </c>
      <c r="V123" s="110">
        <v>321533.82164351427</v>
      </c>
      <c r="W123" s="111">
        <v>241.85</v>
      </c>
      <c r="X123" s="98">
        <f t="shared" si="3"/>
        <v>1988.58</v>
      </c>
      <c r="Y123" s="178">
        <f t="shared" si="4"/>
        <v>0</v>
      </c>
      <c r="Z123" s="179">
        <f t="shared" si="5"/>
        <v>0</v>
      </c>
      <c r="AC123" s="101">
        <v>6134.4</v>
      </c>
    </row>
    <row r="124" spans="1:29" s="99" customFormat="1" ht="14.4" outlineLevel="1">
      <c r="A124" s="87"/>
      <c r="B124" s="131" t="s">
        <v>610</v>
      </c>
      <c r="C124" s="103" t="s">
        <v>21</v>
      </c>
      <c r="D124" s="104">
        <v>45179</v>
      </c>
      <c r="E124" s="103" t="s">
        <v>84</v>
      </c>
      <c r="F124" s="117" t="s">
        <v>500</v>
      </c>
      <c r="G124" s="132" t="s">
        <v>555</v>
      </c>
      <c r="H124" s="107">
        <v>0.86499999999999999</v>
      </c>
      <c r="I124" s="108">
        <v>388.68</v>
      </c>
      <c r="J124" s="177" t="s">
        <v>86</v>
      </c>
      <c r="K124" s="89">
        <v>1</v>
      </c>
      <c r="L124" s="109">
        <v>59.677000000000007</v>
      </c>
      <c r="M124" s="96">
        <v>198000</v>
      </c>
      <c r="N124" s="96">
        <v>7343.85</v>
      </c>
      <c r="O124" s="110">
        <v>2809.0721718585046</v>
      </c>
      <c r="P124" s="110">
        <v>724.73482246091453</v>
      </c>
      <c r="Q124" s="110">
        <v>2687.3167216850711</v>
      </c>
      <c r="R124" s="110">
        <v>131.90173768788645</v>
      </c>
      <c r="S124" s="96">
        <v>0</v>
      </c>
      <c r="T124" s="110">
        <v>4065.7623540057307</v>
      </c>
      <c r="U124" s="110">
        <v>0</v>
      </c>
      <c r="V124" s="110">
        <v>215762.63780769813</v>
      </c>
      <c r="W124" s="111">
        <v>162.29</v>
      </c>
      <c r="X124" s="98">
        <f t="shared" si="3"/>
        <v>1988.58</v>
      </c>
      <c r="Y124" s="178">
        <f t="shared" si="4"/>
        <v>0</v>
      </c>
      <c r="Z124" s="179">
        <f t="shared" si="5"/>
        <v>0</v>
      </c>
      <c r="AC124" s="101">
        <v>2246.4</v>
      </c>
    </row>
    <row r="125" spans="1:29" s="178" customFormat="1" ht="14.4" outlineLevel="1">
      <c r="A125" s="87"/>
      <c r="B125" s="138" t="s">
        <v>610</v>
      </c>
      <c r="C125" s="139" t="s">
        <v>21</v>
      </c>
      <c r="D125" s="140">
        <v>45179</v>
      </c>
      <c r="E125" s="139" t="s">
        <v>84</v>
      </c>
      <c r="F125" s="141" t="s">
        <v>501</v>
      </c>
      <c r="G125" s="142" t="s">
        <v>612</v>
      </c>
      <c r="H125" s="143">
        <v>9.66</v>
      </c>
      <c r="I125" s="144">
        <v>3300</v>
      </c>
      <c r="J125" s="177" t="s">
        <v>96</v>
      </c>
      <c r="K125" s="89">
        <v>0</v>
      </c>
      <c r="L125" s="109">
        <v>59.677000000000007</v>
      </c>
      <c r="M125" s="145">
        <v>0</v>
      </c>
      <c r="N125" s="145">
        <v>0</v>
      </c>
      <c r="O125" s="146">
        <v>0</v>
      </c>
      <c r="P125" s="146">
        <v>0</v>
      </c>
      <c r="Q125" s="146">
        <v>0</v>
      </c>
      <c r="R125" s="146">
        <v>0</v>
      </c>
      <c r="S125" s="145">
        <v>0</v>
      </c>
      <c r="T125" s="146">
        <v>0</v>
      </c>
      <c r="U125" s="146">
        <v>0</v>
      </c>
      <c r="V125" s="146">
        <v>0</v>
      </c>
      <c r="W125" s="147">
        <v>0</v>
      </c>
      <c r="X125" s="98">
        <f t="shared" si="3"/>
        <v>1988.58</v>
      </c>
      <c r="Y125" s="178">
        <f t="shared" si="4"/>
        <v>0</v>
      </c>
      <c r="Z125" s="179">
        <f t="shared" si="5"/>
        <v>0</v>
      </c>
      <c r="AC125" s="101">
        <v>48770.400000000001</v>
      </c>
    </row>
    <row r="126" spans="1:29" s="178" customFormat="1" ht="14.4" outlineLevel="1">
      <c r="A126" s="87"/>
      <c r="B126" s="138" t="s">
        <v>610</v>
      </c>
      <c r="C126" s="139" t="s">
        <v>21</v>
      </c>
      <c r="D126" s="140">
        <v>45179</v>
      </c>
      <c r="E126" s="139" t="s">
        <v>84</v>
      </c>
      <c r="F126" s="141" t="s">
        <v>502</v>
      </c>
      <c r="G126" s="142" t="s">
        <v>378</v>
      </c>
      <c r="H126" s="143">
        <v>5.71</v>
      </c>
      <c r="I126" s="144">
        <v>1095</v>
      </c>
      <c r="J126" s="177" t="s">
        <v>96</v>
      </c>
      <c r="K126" s="89">
        <v>0</v>
      </c>
      <c r="L126" s="109">
        <v>59.677000000000007</v>
      </c>
      <c r="M126" s="145">
        <v>0</v>
      </c>
      <c r="N126" s="145">
        <v>0</v>
      </c>
      <c r="O126" s="146">
        <v>0</v>
      </c>
      <c r="P126" s="146">
        <v>0</v>
      </c>
      <c r="Q126" s="146">
        <v>0</v>
      </c>
      <c r="R126" s="146">
        <v>0</v>
      </c>
      <c r="S126" s="145">
        <v>0</v>
      </c>
      <c r="T126" s="146">
        <v>0</v>
      </c>
      <c r="U126" s="146">
        <v>0</v>
      </c>
      <c r="V126" s="146">
        <v>0</v>
      </c>
      <c r="W126" s="147">
        <v>0</v>
      </c>
      <c r="X126" s="98">
        <f t="shared" si="3"/>
        <v>1988.58</v>
      </c>
      <c r="Y126" s="178">
        <f t="shared" si="4"/>
        <v>0</v>
      </c>
      <c r="Z126" s="179">
        <f t="shared" si="5"/>
        <v>0</v>
      </c>
      <c r="AC126" s="116">
        <v>95000</v>
      </c>
    </row>
    <row r="127" spans="1:29" s="178" customFormat="1" ht="14.4" outlineLevel="1">
      <c r="A127" s="112"/>
      <c r="B127" s="138" t="s">
        <v>610</v>
      </c>
      <c r="C127" s="139" t="s">
        <v>21</v>
      </c>
      <c r="D127" s="140">
        <v>45179</v>
      </c>
      <c r="E127" s="139" t="s">
        <v>84</v>
      </c>
      <c r="F127" s="141" t="s">
        <v>503</v>
      </c>
      <c r="G127" s="142" t="s">
        <v>379</v>
      </c>
      <c r="H127" s="148">
        <v>0.83199999999999996</v>
      </c>
      <c r="I127" s="144">
        <v>534</v>
      </c>
      <c r="J127" s="177" t="s">
        <v>96</v>
      </c>
      <c r="K127" s="89">
        <v>0</v>
      </c>
      <c r="L127" s="109">
        <v>59.677000000000007</v>
      </c>
      <c r="M127" s="145">
        <v>0</v>
      </c>
      <c r="N127" s="145">
        <v>0</v>
      </c>
      <c r="O127" s="146">
        <v>0</v>
      </c>
      <c r="P127" s="146">
        <v>0</v>
      </c>
      <c r="Q127" s="146">
        <v>0</v>
      </c>
      <c r="R127" s="146">
        <v>0</v>
      </c>
      <c r="S127" s="145">
        <v>0</v>
      </c>
      <c r="T127" s="146">
        <v>0</v>
      </c>
      <c r="U127" s="146">
        <v>0</v>
      </c>
      <c r="V127" s="146">
        <v>0</v>
      </c>
      <c r="W127" s="147">
        <v>0</v>
      </c>
      <c r="X127" s="98">
        <f t="shared" si="3"/>
        <v>1988.58</v>
      </c>
      <c r="Y127" s="178">
        <f t="shared" si="4"/>
        <v>0</v>
      </c>
      <c r="Z127" s="179">
        <f t="shared" si="5"/>
        <v>0</v>
      </c>
      <c r="AC127" s="149">
        <v>10500</v>
      </c>
    </row>
    <row r="128" spans="1:29" s="178" customFormat="1" ht="14.4" outlineLevel="1">
      <c r="A128" s="115">
        <v>34</v>
      </c>
      <c r="B128" s="131" t="s">
        <v>613</v>
      </c>
      <c r="C128" s="103" t="s">
        <v>21</v>
      </c>
      <c r="D128" s="104">
        <v>45179</v>
      </c>
      <c r="E128" s="103" t="s">
        <v>84</v>
      </c>
      <c r="F128" s="117" t="s">
        <v>504</v>
      </c>
      <c r="G128" s="106" t="s">
        <v>547</v>
      </c>
      <c r="H128" s="113">
        <v>1.1859999999999999</v>
      </c>
      <c r="I128" s="108">
        <v>385</v>
      </c>
      <c r="J128" s="177" t="s">
        <v>86</v>
      </c>
      <c r="K128" s="89">
        <v>1</v>
      </c>
      <c r="L128" s="109">
        <v>61.518000000000001</v>
      </c>
      <c r="M128" s="96">
        <v>232000</v>
      </c>
      <c r="N128" s="96">
        <v>10069.14</v>
      </c>
      <c r="O128" s="110">
        <v>3736.2528040573488</v>
      </c>
      <c r="P128" s="110">
        <v>963.94551188270088</v>
      </c>
      <c r="Q128" s="110">
        <v>3574.3099580610551</v>
      </c>
      <c r="R128" s="110">
        <v>175.43808316265157</v>
      </c>
      <c r="S128" s="96">
        <v>0</v>
      </c>
      <c r="T128" s="110">
        <v>5407.734321661952</v>
      </c>
      <c r="U128" s="110">
        <v>0</v>
      </c>
      <c r="V128" s="110">
        <v>255926.82067882572</v>
      </c>
      <c r="W128" s="111">
        <v>192.5</v>
      </c>
      <c r="X128" s="98">
        <f t="shared" si="3"/>
        <v>2410.8000000000002</v>
      </c>
      <c r="Y128" s="178">
        <f t="shared" si="4"/>
        <v>1</v>
      </c>
      <c r="Z128" s="179">
        <f t="shared" si="5"/>
        <v>2410.8000000000002</v>
      </c>
      <c r="AC128" s="149">
        <v>5412.6</v>
      </c>
    </row>
    <row r="129" spans="1:29" s="178" customFormat="1" ht="14.4" outlineLevel="1">
      <c r="A129" s="87"/>
      <c r="B129" s="131" t="s">
        <v>613</v>
      </c>
      <c r="C129" s="103" t="s">
        <v>21</v>
      </c>
      <c r="D129" s="104">
        <v>45179</v>
      </c>
      <c r="E129" s="103" t="s">
        <v>84</v>
      </c>
      <c r="F129" s="117" t="s">
        <v>505</v>
      </c>
      <c r="G129" s="132" t="s">
        <v>547</v>
      </c>
      <c r="H129" s="113">
        <v>9.4860000000000007</v>
      </c>
      <c r="I129" s="114">
        <v>3080</v>
      </c>
      <c r="J129" s="177" t="s">
        <v>86</v>
      </c>
      <c r="K129" s="89">
        <v>1</v>
      </c>
      <c r="L129" s="109">
        <v>61.518000000000001</v>
      </c>
      <c r="M129" s="96">
        <v>332000</v>
      </c>
      <c r="N129" s="96">
        <v>80536.14</v>
      </c>
      <c r="O129" s="110">
        <v>29883.721837510973</v>
      </c>
      <c r="P129" s="110">
        <v>7709.938554569394</v>
      </c>
      <c r="Q129" s="110">
        <v>28588.452160343313</v>
      </c>
      <c r="R129" s="110">
        <v>1403.2088169316298</v>
      </c>
      <c r="S129" s="96">
        <v>0</v>
      </c>
      <c r="T129" s="110">
        <v>43252.755291134301</v>
      </c>
      <c r="U129" s="110">
        <v>0</v>
      </c>
      <c r="V129" s="110">
        <v>523374.21666048962</v>
      </c>
      <c r="W129" s="111">
        <v>393.67</v>
      </c>
      <c r="X129" s="98">
        <f t="shared" si="3"/>
        <v>2410.8000000000002</v>
      </c>
      <c r="Y129" s="178">
        <f t="shared" si="4"/>
        <v>0</v>
      </c>
      <c r="Z129" s="179">
        <f t="shared" si="5"/>
        <v>0</v>
      </c>
      <c r="AC129" s="149">
        <v>43300.800000000003</v>
      </c>
    </row>
    <row r="130" spans="1:29" s="178" customFormat="1" ht="14.4" outlineLevel="1">
      <c r="A130" s="87"/>
      <c r="B130" s="131" t="s">
        <v>613</v>
      </c>
      <c r="C130" s="103" t="s">
        <v>21</v>
      </c>
      <c r="D130" s="104">
        <v>45179</v>
      </c>
      <c r="E130" s="103" t="s">
        <v>84</v>
      </c>
      <c r="F130" s="150" t="s">
        <v>506</v>
      </c>
      <c r="G130" s="132" t="s">
        <v>577</v>
      </c>
      <c r="H130" s="113">
        <v>50.39</v>
      </c>
      <c r="I130" s="108">
        <v>7084.8</v>
      </c>
      <c r="J130" s="177" t="s">
        <v>86</v>
      </c>
      <c r="K130" s="89">
        <v>1</v>
      </c>
      <c r="L130" s="109">
        <v>61.518000000000001</v>
      </c>
      <c r="M130" s="96">
        <v>1135000</v>
      </c>
      <c r="N130" s="96">
        <v>427811.1</v>
      </c>
      <c r="O130" s="110">
        <v>158743.48971032866</v>
      </c>
      <c r="P130" s="110">
        <v>40955.492701323186</v>
      </c>
      <c r="Q130" s="110">
        <v>151862.96693650639</v>
      </c>
      <c r="R130" s="110">
        <v>7453.8996716408201</v>
      </c>
      <c r="S130" s="96">
        <v>0</v>
      </c>
      <c r="T130" s="110">
        <v>229760.31405442307</v>
      </c>
      <c r="U130" s="110">
        <v>0</v>
      </c>
      <c r="V130" s="110">
        <v>2151587.263074222</v>
      </c>
      <c r="W130" s="111">
        <v>1618.38</v>
      </c>
      <c r="X130" s="98">
        <f t="shared" si="3"/>
        <v>2410.8000000000002</v>
      </c>
      <c r="Y130" s="178">
        <f t="shared" si="4"/>
        <v>0</v>
      </c>
      <c r="Z130" s="179">
        <f t="shared" si="5"/>
        <v>0</v>
      </c>
      <c r="AC130" s="149">
        <v>262656</v>
      </c>
    </row>
    <row r="131" spans="1:29" s="178" customFormat="1" ht="14.4" outlineLevel="1">
      <c r="A131" s="112"/>
      <c r="B131" s="131" t="s">
        <v>613</v>
      </c>
      <c r="C131" s="103" t="s">
        <v>21</v>
      </c>
      <c r="D131" s="104">
        <v>45179</v>
      </c>
      <c r="E131" s="103" t="s">
        <v>84</v>
      </c>
      <c r="F131" s="150" t="s">
        <v>507</v>
      </c>
      <c r="G131" s="132" t="s">
        <v>554</v>
      </c>
      <c r="H131" s="113">
        <v>0.45600000000000002</v>
      </c>
      <c r="I131" s="108">
        <v>85</v>
      </c>
      <c r="J131" s="177" t="s">
        <v>86</v>
      </c>
      <c r="K131" s="89">
        <v>1</v>
      </c>
      <c r="L131" s="109">
        <v>61.518000000000001</v>
      </c>
      <c r="M131" s="96">
        <v>265000</v>
      </c>
      <c r="N131" s="96">
        <v>3871.44</v>
      </c>
      <c r="O131" s="110">
        <v>1436.5356481029942</v>
      </c>
      <c r="P131" s="110">
        <v>370.62323222471474</v>
      </c>
      <c r="Q131" s="110">
        <v>1374.2709450892421</v>
      </c>
      <c r="R131" s="110">
        <v>67.453428264898079</v>
      </c>
      <c r="S131" s="96">
        <v>0</v>
      </c>
      <c r="T131" s="110">
        <v>2079.1963327806498</v>
      </c>
      <c r="U131" s="110">
        <v>0</v>
      </c>
      <c r="V131" s="110">
        <v>274199.51958646247</v>
      </c>
      <c r="W131" s="111">
        <v>206.25</v>
      </c>
      <c r="X131" s="98">
        <f t="shared" si="3"/>
        <v>2410.8000000000002</v>
      </c>
      <c r="Y131" s="178">
        <f t="shared" si="4"/>
        <v>0</v>
      </c>
      <c r="Z131" s="179">
        <f t="shared" si="5"/>
        <v>0</v>
      </c>
      <c r="AC131" s="149">
        <v>10291.200000000001</v>
      </c>
    </row>
    <row r="132" spans="1:29" s="178" customFormat="1" ht="14.4" outlineLevel="1">
      <c r="A132" s="115">
        <v>35</v>
      </c>
      <c r="B132" s="131" t="s">
        <v>614</v>
      </c>
      <c r="C132" s="137" t="s">
        <v>21</v>
      </c>
      <c r="D132" s="104">
        <v>45179</v>
      </c>
      <c r="E132" s="103" t="s">
        <v>84</v>
      </c>
      <c r="F132" s="150" t="s">
        <v>508</v>
      </c>
      <c r="G132" s="132" t="s">
        <v>547</v>
      </c>
      <c r="H132" s="118">
        <v>12.667999999999999</v>
      </c>
      <c r="I132" s="119">
        <v>5225</v>
      </c>
      <c r="J132" s="177" t="s">
        <v>86</v>
      </c>
      <c r="K132" s="89">
        <v>1</v>
      </c>
      <c r="L132" s="109">
        <v>61.331000000000003</v>
      </c>
      <c r="M132" s="96">
        <v>376000</v>
      </c>
      <c r="N132" s="96">
        <v>107551.31999999999</v>
      </c>
      <c r="O132" s="110">
        <v>40029.648954036289</v>
      </c>
      <c r="P132" s="110">
        <v>10327.566809606886</v>
      </c>
      <c r="Q132" s="110">
        <v>38294.617730022335</v>
      </c>
      <c r="R132" s="110">
        <v>1879.6171593484532</v>
      </c>
      <c r="S132" s="96">
        <v>0</v>
      </c>
      <c r="T132" s="110">
        <v>57937.649801894629</v>
      </c>
      <c r="U132" s="110">
        <v>0</v>
      </c>
      <c r="V132" s="110">
        <v>632020.42045490863</v>
      </c>
      <c r="W132" s="111">
        <v>475.39</v>
      </c>
      <c r="X132" s="98">
        <f t="shared" si="3"/>
        <v>2326.96</v>
      </c>
      <c r="Y132" s="178">
        <f t="shared" si="4"/>
        <v>1</v>
      </c>
      <c r="Z132" s="179">
        <f t="shared" si="5"/>
        <v>2326.96</v>
      </c>
      <c r="AC132" s="149">
        <v>37054.560000000005</v>
      </c>
    </row>
    <row r="133" spans="1:29" s="178" customFormat="1" ht="14.4" outlineLevel="1">
      <c r="A133" s="87"/>
      <c r="B133" s="131" t="s">
        <v>614</v>
      </c>
      <c r="C133" s="137" t="s">
        <v>21</v>
      </c>
      <c r="D133" s="104">
        <v>45179</v>
      </c>
      <c r="E133" s="103" t="s">
        <v>84</v>
      </c>
      <c r="F133" s="150" t="s">
        <v>509</v>
      </c>
      <c r="G133" s="132" t="s">
        <v>547</v>
      </c>
      <c r="H133" s="113">
        <v>18.850000000000001</v>
      </c>
      <c r="I133" s="114">
        <v>6745</v>
      </c>
      <c r="J133" s="177" t="s">
        <v>86</v>
      </c>
      <c r="K133" s="89">
        <v>1</v>
      </c>
      <c r="L133" s="109">
        <v>61.331000000000003</v>
      </c>
      <c r="M133" s="96">
        <v>376000</v>
      </c>
      <c r="N133" s="96">
        <v>160036.5</v>
      </c>
      <c r="O133" s="110">
        <v>59564.168202051165</v>
      </c>
      <c r="P133" s="110">
        <v>15367.432456669547</v>
      </c>
      <c r="Q133" s="110">
        <v>56982.43954933068</v>
      </c>
      <c r="R133" s="110">
        <v>2796.8727071138574</v>
      </c>
      <c r="S133" s="96">
        <v>0</v>
      </c>
      <c r="T133" s="110">
        <v>86211.296081916153</v>
      </c>
      <c r="U133" s="110">
        <v>0</v>
      </c>
      <c r="V133" s="110">
        <v>756958.7089970815</v>
      </c>
      <c r="W133" s="111">
        <v>569.37</v>
      </c>
      <c r="X133" s="98">
        <f t="shared" si="3"/>
        <v>2326.96</v>
      </c>
      <c r="Y133" s="178">
        <f t="shared" si="4"/>
        <v>0</v>
      </c>
      <c r="Z133" s="179">
        <f t="shared" si="5"/>
        <v>0</v>
      </c>
      <c r="AC133" s="149">
        <v>40793.759999999987</v>
      </c>
    </row>
    <row r="134" spans="1:29" s="178" customFormat="1" ht="14.4" outlineLevel="1">
      <c r="A134" s="87"/>
      <c r="B134" s="131" t="s">
        <v>614</v>
      </c>
      <c r="C134" s="137" t="s">
        <v>21</v>
      </c>
      <c r="D134" s="104">
        <v>45179</v>
      </c>
      <c r="E134" s="103" t="s">
        <v>84</v>
      </c>
      <c r="F134" s="150" t="s">
        <v>510</v>
      </c>
      <c r="G134" s="132" t="s">
        <v>547</v>
      </c>
      <c r="H134" s="113">
        <v>11.35</v>
      </c>
      <c r="I134" s="108">
        <v>4658</v>
      </c>
      <c r="J134" s="177" t="s">
        <v>86</v>
      </c>
      <c r="K134" s="89">
        <v>1</v>
      </c>
      <c r="L134" s="109">
        <v>61.331000000000003</v>
      </c>
      <c r="M134" s="96">
        <v>332000</v>
      </c>
      <c r="N134" s="96">
        <v>96361.5</v>
      </c>
      <c r="O134" s="110">
        <v>35864.897034126298</v>
      </c>
      <c r="P134" s="110">
        <v>9253.0694102493017</v>
      </c>
      <c r="Q134" s="110">
        <v>34310.381373204415</v>
      </c>
      <c r="R134" s="110">
        <v>1684.0586326653731</v>
      </c>
      <c r="S134" s="96">
        <v>0</v>
      </c>
      <c r="T134" s="110">
        <v>51909.719391498584</v>
      </c>
      <c r="U134" s="110">
        <v>0</v>
      </c>
      <c r="V134" s="110">
        <v>561383.62584174389</v>
      </c>
      <c r="W134" s="111">
        <v>422.26</v>
      </c>
      <c r="X134" s="98">
        <f t="shared" ref="X134:X160" si="6">SUMIF($B$6:$B$1048576,B134,$W$6:$W$1048576)</f>
        <v>2326.96</v>
      </c>
      <c r="Y134" s="178">
        <f t="shared" ref="Y134:Y180" si="7">IF(B134=B133,0,1)</f>
        <v>0</v>
      </c>
      <c r="Z134" s="179">
        <f t="shared" ref="Z134:Z180" si="8">X134*Y134</f>
        <v>0</v>
      </c>
      <c r="AC134" s="149">
        <v>33717.119999999995</v>
      </c>
    </row>
    <row r="135" spans="1:29" s="178" customFormat="1" ht="14.4" outlineLevel="1">
      <c r="A135" s="87"/>
      <c r="B135" s="131" t="s">
        <v>614</v>
      </c>
      <c r="C135" s="137" t="s">
        <v>21</v>
      </c>
      <c r="D135" s="104">
        <v>45179</v>
      </c>
      <c r="E135" s="103" t="s">
        <v>84</v>
      </c>
      <c r="F135" s="150" t="s">
        <v>511</v>
      </c>
      <c r="G135" s="132" t="s">
        <v>98</v>
      </c>
      <c r="H135" s="133">
        <v>14.747</v>
      </c>
      <c r="I135" s="134">
        <v>3012</v>
      </c>
      <c r="J135" s="177" t="s">
        <v>86</v>
      </c>
      <c r="K135" s="89">
        <v>1</v>
      </c>
      <c r="L135" s="109">
        <v>61.331000000000003</v>
      </c>
      <c r="M135" s="96">
        <v>216500</v>
      </c>
      <c r="N135" s="96">
        <v>125202.03</v>
      </c>
      <c r="O135" s="110">
        <v>46599.08692178507</v>
      </c>
      <c r="P135" s="110">
        <v>12022.468246074579</v>
      </c>
      <c r="Q135" s="110">
        <v>44579.312256444537</v>
      </c>
      <c r="R135" s="110">
        <v>2188.0892207855732</v>
      </c>
      <c r="S135" s="96">
        <v>0</v>
      </c>
      <c r="T135" s="110">
        <v>67446.046860478382</v>
      </c>
      <c r="U135" s="110">
        <v>0</v>
      </c>
      <c r="V135" s="110">
        <v>514537.03350556816</v>
      </c>
      <c r="W135" s="111">
        <v>387.02</v>
      </c>
      <c r="X135" s="98">
        <f t="shared" si="6"/>
        <v>2326.96</v>
      </c>
      <c r="Y135" s="178">
        <f t="shared" si="7"/>
        <v>0</v>
      </c>
      <c r="Z135" s="179">
        <f t="shared" si="8"/>
        <v>0</v>
      </c>
      <c r="AC135" s="149">
        <v>24624</v>
      </c>
    </row>
    <row r="136" spans="1:29" s="178" customFormat="1" ht="14.4" outlineLevel="1">
      <c r="A136" s="87"/>
      <c r="B136" s="131" t="s">
        <v>614</v>
      </c>
      <c r="C136" s="137" t="s">
        <v>21</v>
      </c>
      <c r="D136" s="104">
        <v>45179</v>
      </c>
      <c r="E136" s="103" t="s">
        <v>84</v>
      </c>
      <c r="F136" s="150" t="s">
        <v>512</v>
      </c>
      <c r="G136" s="132" t="s">
        <v>380</v>
      </c>
      <c r="H136" s="163">
        <v>2.4289999999999998</v>
      </c>
      <c r="I136" s="164">
        <v>269.88</v>
      </c>
      <c r="J136" s="177" t="s">
        <v>86</v>
      </c>
      <c r="K136" s="89">
        <v>1</v>
      </c>
      <c r="L136" s="109">
        <v>61.331000000000003</v>
      </c>
      <c r="M136" s="96">
        <v>282000</v>
      </c>
      <c r="N136" s="96">
        <v>20622.21</v>
      </c>
      <c r="O136" s="110">
        <v>7675.403955585266</v>
      </c>
      <c r="P136" s="110">
        <v>1980.2383786339694</v>
      </c>
      <c r="Q136" s="110">
        <v>7342.7239079747587</v>
      </c>
      <c r="R136" s="110">
        <v>360.40338491138243</v>
      </c>
      <c r="S136" s="96">
        <v>0</v>
      </c>
      <c r="T136" s="110">
        <v>11109.137304136568</v>
      </c>
      <c r="U136" s="110">
        <v>0</v>
      </c>
      <c r="V136" s="110">
        <v>331090.116931242</v>
      </c>
      <c r="W136" s="111">
        <v>249.04</v>
      </c>
      <c r="X136" s="98">
        <f t="shared" si="6"/>
        <v>2326.96</v>
      </c>
      <c r="Y136" s="178">
        <f t="shared" si="7"/>
        <v>0</v>
      </c>
      <c r="Z136" s="179">
        <f t="shared" si="8"/>
        <v>0</v>
      </c>
      <c r="AC136" s="149">
        <v>4992</v>
      </c>
    </row>
    <row r="137" spans="1:29" s="178" customFormat="1" ht="14.4" outlineLevel="1">
      <c r="A137" s="87"/>
      <c r="B137" s="131" t="s">
        <v>614</v>
      </c>
      <c r="C137" s="137" t="s">
        <v>21</v>
      </c>
      <c r="D137" s="104">
        <v>45179</v>
      </c>
      <c r="E137" s="103" t="s">
        <v>84</v>
      </c>
      <c r="F137" s="150" t="s">
        <v>513</v>
      </c>
      <c r="G137" s="132" t="s">
        <v>105</v>
      </c>
      <c r="H137" s="180">
        <v>0.47699999999999998</v>
      </c>
      <c r="I137" s="168">
        <v>14</v>
      </c>
      <c r="J137" s="177" t="s">
        <v>86</v>
      </c>
      <c r="K137" s="89">
        <v>1</v>
      </c>
      <c r="L137" s="109">
        <v>61.331000000000003</v>
      </c>
      <c r="M137" s="96">
        <v>288000</v>
      </c>
      <c r="N137" s="96">
        <v>4049.73</v>
      </c>
      <c r="O137" s="110">
        <v>1507.2736462800215</v>
      </c>
      <c r="P137" s="110">
        <v>388.87348975232749</v>
      </c>
      <c r="Q137" s="110">
        <v>1441.9429000016303</v>
      </c>
      <c r="R137" s="110">
        <v>70.774975134923608</v>
      </c>
      <c r="S137" s="96">
        <v>0</v>
      </c>
      <c r="T137" s="110">
        <v>2181.5802775105572</v>
      </c>
      <c r="U137" s="110">
        <v>0</v>
      </c>
      <c r="V137" s="110">
        <v>297640.17528867949</v>
      </c>
      <c r="W137" s="111">
        <v>223.88</v>
      </c>
      <c r="X137" s="98">
        <f t="shared" si="6"/>
        <v>2326.96</v>
      </c>
      <c r="Y137" s="178">
        <f t="shared" si="7"/>
        <v>0</v>
      </c>
      <c r="Z137" s="179">
        <f t="shared" si="8"/>
        <v>0</v>
      </c>
      <c r="AC137" s="149">
        <v>1638.4</v>
      </c>
    </row>
    <row r="138" spans="1:29" s="178" customFormat="1" ht="14.4" outlineLevel="1">
      <c r="A138" s="112"/>
      <c r="B138" s="138" t="s">
        <v>614</v>
      </c>
      <c r="C138" s="151" t="s">
        <v>21</v>
      </c>
      <c r="D138" s="140">
        <v>45179</v>
      </c>
      <c r="E138" s="139" t="s">
        <v>84</v>
      </c>
      <c r="F138" s="152" t="s">
        <v>514</v>
      </c>
      <c r="G138" s="141" t="s">
        <v>615</v>
      </c>
      <c r="H138" s="148">
        <v>0.81</v>
      </c>
      <c r="I138" s="155">
        <v>284</v>
      </c>
      <c r="J138" s="177" t="s">
        <v>96</v>
      </c>
      <c r="K138" s="89">
        <v>0</v>
      </c>
      <c r="L138" s="109">
        <v>61.331000000000003</v>
      </c>
      <c r="M138" s="145">
        <v>0</v>
      </c>
      <c r="N138" s="145">
        <v>0</v>
      </c>
      <c r="O138" s="146">
        <v>0</v>
      </c>
      <c r="P138" s="146">
        <v>0</v>
      </c>
      <c r="Q138" s="146">
        <v>0</v>
      </c>
      <c r="R138" s="146">
        <v>0</v>
      </c>
      <c r="S138" s="145">
        <v>0</v>
      </c>
      <c r="T138" s="146">
        <v>0</v>
      </c>
      <c r="U138" s="146">
        <v>0</v>
      </c>
      <c r="V138" s="146">
        <v>0</v>
      </c>
      <c r="W138" s="147">
        <v>0</v>
      </c>
      <c r="X138" s="98">
        <f t="shared" si="6"/>
        <v>2326.96</v>
      </c>
      <c r="Y138" s="178">
        <f t="shared" si="7"/>
        <v>0</v>
      </c>
      <c r="Z138" s="179">
        <f t="shared" si="8"/>
        <v>0</v>
      </c>
      <c r="AC138" s="149">
        <v>245039.4</v>
      </c>
    </row>
    <row r="139" spans="1:29" s="178" customFormat="1" ht="14.4" outlineLevel="1">
      <c r="A139" s="136">
        <v>36</v>
      </c>
      <c r="B139" s="131" t="s">
        <v>616</v>
      </c>
      <c r="C139" s="137" t="s">
        <v>21</v>
      </c>
      <c r="D139" s="104">
        <v>45179</v>
      </c>
      <c r="E139" s="103" t="s">
        <v>84</v>
      </c>
      <c r="F139" s="117" t="s">
        <v>515</v>
      </c>
      <c r="G139" s="103" t="s">
        <v>99</v>
      </c>
      <c r="H139" s="113">
        <v>54.673999999999999</v>
      </c>
      <c r="I139" s="114">
        <v>3815.36</v>
      </c>
      <c r="J139" s="177" t="s">
        <v>86</v>
      </c>
      <c r="K139" s="89">
        <v>1</v>
      </c>
      <c r="L139" s="109">
        <v>54.673999999999999</v>
      </c>
      <c r="M139" s="96">
        <v>1504000</v>
      </c>
      <c r="N139" s="96">
        <v>464182.26</v>
      </c>
      <c r="O139" s="110">
        <v>193800</v>
      </c>
      <c r="P139" s="110">
        <v>50000</v>
      </c>
      <c r="Q139" s="110">
        <v>185400</v>
      </c>
      <c r="R139" s="110">
        <v>9100</v>
      </c>
      <c r="S139" s="96">
        <v>0</v>
      </c>
      <c r="T139" s="110">
        <v>280500</v>
      </c>
      <c r="U139" s="110">
        <v>0</v>
      </c>
      <c r="V139" s="110">
        <v>2686982.26</v>
      </c>
      <c r="W139" s="111">
        <v>2021.09</v>
      </c>
      <c r="X139" s="98">
        <f t="shared" si="6"/>
        <v>2021.09</v>
      </c>
      <c r="Y139" s="178">
        <f t="shared" si="7"/>
        <v>1</v>
      </c>
      <c r="Z139" s="179">
        <f t="shared" si="8"/>
        <v>2021.09</v>
      </c>
      <c r="AC139" s="162">
        <v>16112.64</v>
      </c>
    </row>
    <row r="140" spans="1:29" s="178" customFormat="1" ht="14.4" outlineLevel="1">
      <c r="A140" s="115">
        <v>37</v>
      </c>
      <c r="B140" s="131" t="s">
        <v>617</v>
      </c>
      <c r="C140" s="137" t="s">
        <v>21</v>
      </c>
      <c r="D140" s="104">
        <v>45179</v>
      </c>
      <c r="E140" s="103" t="s">
        <v>84</v>
      </c>
      <c r="F140" s="117" t="s">
        <v>516</v>
      </c>
      <c r="G140" s="103" t="s">
        <v>99</v>
      </c>
      <c r="H140" s="113">
        <v>13.667999999999999</v>
      </c>
      <c r="I140" s="114">
        <v>953.84</v>
      </c>
      <c r="J140" s="177" t="s">
        <v>86</v>
      </c>
      <c r="K140" s="89">
        <v>1</v>
      </c>
      <c r="L140" s="109">
        <v>55.210999999999999</v>
      </c>
      <c r="M140" s="96">
        <v>632500</v>
      </c>
      <c r="N140" s="96">
        <v>116041.31999999999</v>
      </c>
      <c r="O140" s="110">
        <v>47977.004582420166</v>
      </c>
      <c r="P140" s="110">
        <v>12377.968158519136</v>
      </c>
      <c r="Q140" s="110">
        <v>45897.505931788954</v>
      </c>
      <c r="R140" s="110">
        <v>2252.7902048504825</v>
      </c>
      <c r="S140" s="96">
        <v>0</v>
      </c>
      <c r="T140" s="110">
        <v>69440.401369292347</v>
      </c>
      <c r="U140" s="110">
        <v>0</v>
      </c>
      <c r="V140" s="110">
        <v>926486.99024687102</v>
      </c>
      <c r="W140" s="111">
        <v>696.88</v>
      </c>
      <c r="X140" s="98">
        <f t="shared" si="6"/>
        <v>2617.23</v>
      </c>
      <c r="Y140" s="178">
        <f t="shared" si="7"/>
        <v>1</v>
      </c>
      <c r="Z140" s="179">
        <f t="shared" si="8"/>
        <v>2617.23</v>
      </c>
      <c r="AC140" s="162">
        <v>4028.16</v>
      </c>
    </row>
    <row r="141" spans="1:29" s="178" customFormat="1" ht="14.4" outlineLevel="1">
      <c r="A141" s="87"/>
      <c r="B141" s="131" t="s">
        <v>617</v>
      </c>
      <c r="C141" s="137" t="s">
        <v>21</v>
      </c>
      <c r="D141" s="104">
        <v>45179</v>
      </c>
      <c r="E141" s="103" t="s">
        <v>84</v>
      </c>
      <c r="F141" s="150" t="s">
        <v>517</v>
      </c>
      <c r="G141" s="103" t="s">
        <v>99</v>
      </c>
      <c r="H141" s="113">
        <v>32.055999999999997</v>
      </c>
      <c r="I141" s="114">
        <v>2788.41</v>
      </c>
      <c r="J141" s="177" t="s">
        <v>86</v>
      </c>
      <c r="K141" s="89">
        <v>1</v>
      </c>
      <c r="L141" s="109">
        <v>55.210999999999999</v>
      </c>
      <c r="M141" s="96">
        <v>752000</v>
      </c>
      <c r="N141" s="96">
        <v>272155.44</v>
      </c>
      <c r="O141" s="110">
        <v>112522.01191791492</v>
      </c>
      <c r="P141" s="110">
        <v>29030.446831247398</v>
      </c>
      <c r="Q141" s="110">
        <v>107644.89685026534</v>
      </c>
      <c r="R141" s="110">
        <v>5283.541323287026</v>
      </c>
      <c r="S141" s="96">
        <v>0</v>
      </c>
      <c r="T141" s="110">
        <v>162860.80672329789</v>
      </c>
      <c r="U141" s="110">
        <v>0</v>
      </c>
      <c r="V141" s="110">
        <v>1441497.1436460123</v>
      </c>
      <c r="W141" s="111">
        <v>1084.26</v>
      </c>
      <c r="X141" s="98">
        <f t="shared" si="6"/>
        <v>2617.23</v>
      </c>
      <c r="Y141" s="178">
        <f t="shared" si="7"/>
        <v>0</v>
      </c>
      <c r="Z141" s="179">
        <f t="shared" si="8"/>
        <v>0</v>
      </c>
      <c r="AC141" s="149">
        <v>19560</v>
      </c>
    </row>
    <row r="142" spans="1:29" s="178" customFormat="1" ht="14.4" outlineLevel="1">
      <c r="A142" s="87"/>
      <c r="B142" s="131" t="s">
        <v>617</v>
      </c>
      <c r="C142" s="137" t="s">
        <v>21</v>
      </c>
      <c r="D142" s="104">
        <v>45179</v>
      </c>
      <c r="E142" s="103" t="s">
        <v>84</v>
      </c>
      <c r="F142" s="150" t="s">
        <v>518</v>
      </c>
      <c r="G142" s="132" t="s">
        <v>99</v>
      </c>
      <c r="H142" s="113">
        <v>8.9049999999999994</v>
      </c>
      <c r="I142" s="114">
        <v>684.09</v>
      </c>
      <c r="J142" s="177" t="s">
        <v>86</v>
      </c>
      <c r="K142" s="89">
        <v>1</v>
      </c>
      <c r="L142" s="109">
        <v>55.210999999999999</v>
      </c>
      <c r="M142" s="96">
        <v>632500</v>
      </c>
      <c r="N142" s="96">
        <v>75603.45</v>
      </c>
      <c r="O142" s="110">
        <v>31258.06451612903</v>
      </c>
      <c r="P142" s="110">
        <v>8064.5161290322576</v>
      </c>
      <c r="Q142" s="110">
        <v>29903.225806451614</v>
      </c>
      <c r="R142" s="110">
        <v>1467.741935483871</v>
      </c>
      <c r="S142" s="96">
        <v>0</v>
      </c>
      <c r="T142" s="110">
        <v>45241.93548387097</v>
      </c>
      <c r="U142" s="110">
        <v>0</v>
      </c>
      <c r="V142" s="110">
        <v>824038.93387096771</v>
      </c>
      <c r="W142" s="111">
        <v>619.82000000000005</v>
      </c>
      <c r="X142" s="98">
        <f t="shared" si="6"/>
        <v>2617.23</v>
      </c>
      <c r="Y142" s="178">
        <f t="shared" si="7"/>
        <v>0</v>
      </c>
      <c r="Z142" s="179">
        <f t="shared" si="8"/>
        <v>0</v>
      </c>
      <c r="AC142" s="149">
        <v>3648</v>
      </c>
    </row>
    <row r="143" spans="1:29" s="178" customFormat="1" ht="14.4" outlineLevel="1">
      <c r="A143" s="112"/>
      <c r="B143" s="131" t="s">
        <v>617</v>
      </c>
      <c r="C143" s="137" t="s">
        <v>21</v>
      </c>
      <c r="D143" s="104">
        <v>45179</v>
      </c>
      <c r="E143" s="103" t="s">
        <v>84</v>
      </c>
      <c r="F143" s="150" t="s">
        <v>519</v>
      </c>
      <c r="G143" s="132" t="s">
        <v>595</v>
      </c>
      <c r="H143" s="113">
        <v>0.58199999999999996</v>
      </c>
      <c r="I143" s="114">
        <v>379.8</v>
      </c>
      <c r="J143" s="177" t="s">
        <v>86</v>
      </c>
      <c r="K143" s="89">
        <v>1</v>
      </c>
      <c r="L143" s="109">
        <v>55.210999999999999</v>
      </c>
      <c r="M143" s="96">
        <v>275000</v>
      </c>
      <c r="N143" s="96">
        <v>4941.1799999999994</v>
      </c>
      <c r="O143" s="110">
        <v>2042.9189835358895</v>
      </c>
      <c r="P143" s="110">
        <v>527.06888120120993</v>
      </c>
      <c r="Q143" s="110">
        <v>1954.3714114940863</v>
      </c>
      <c r="R143" s="110">
        <v>95.926536378620199</v>
      </c>
      <c r="S143" s="96">
        <v>0</v>
      </c>
      <c r="T143" s="110">
        <v>2956.8564235387876</v>
      </c>
      <c r="U143" s="110">
        <v>0</v>
      </c>
      <c r="V143" s="110">
        <v>287518.32223614858</v>
      </c>
      <c r="W143" s="111">
        <v>216.27</v>
      </c>
      <c r="X143" s="98">
        <f t="shared" si="6"/>
        <v>2617.23</v>
      </c>
      <c r="Y143" s="178">
        <f t="shared" si="7"/>
        <v>0</v>
      </c>
      <c r="Z143" s="179">
        <f t="shared" si="8"/>
        <v>0</v>
      </c>
      <c r="AC143" s="149">
        <v>2565.6</v>
      </c>
    </row>
    <row r="144" spans="1:29" s="178" customFormat="1" ht="14.4" outlineLevel="1">
      <c r="A144" s="115">
        <v>38</v>
      </c>
      <c r="B144" s="131" t="s">
        <v>618</v>
      </c>
      <c r="C144" s="137" t="s">
        <v>21</v>
      </c>
      <c r="D144" s="104">
        <v>45179</v>
      </c>
      <c r="E144" s="103" t="s">
        <v>84</v>
      </c>
      <c r="F144" s="150" t="s">
        <v>520</v>
      </c>
      <c r="G144" s="132" t="s">
        <v>597</v>
      </c>
      <c r="H144" s="163">
        <v>16.495000000000001</v>
      </c>
      <c r="I144" s="164">
        <v>3291</v>
      </c>
      <c r="J144" s="177" t="s">
        <v>86</v>
      </c>
      <c r="K144" s="89">
        <v>1</v>
      </c>
      <c r="L144" s="109">
        <v>58.88</v>
      </c>
      <c r="M144" s="96">
        <v>562000</v>
      </c>
      <c r="N144" s="96">
        <v>140042.55000000002</v>
      </c>
      <c r="O144" s="110">
        <v>54292.306385869568</v>
      </c>
      <c r="P144" s="110">
        <v>14007.302989130436</v>
      </c>
      <c r="Q144" s="110">
        <v>51939.079483695656</v>
      </c>
      <c r="R144" s="110">
        <v>2549.329144021739</v>
      </c>
      <c r="S144" s="96">
        <v>0</v>
      </c>
      <c r="T144" s="110">
        <v>78580.969769021744</v>
      </c>
      <c r="U144" s="110">
        <v>0</v>
      </c>
      <c r="V144" s="110">
        <v>903411.5377717393</v>
      </c>
      <c r="W144" s="111">
        <v>679.53</v>
      </c>
      <c r="X144" s="98">
        <f t="shared" si="6"/>
        <v>679.53</v>
      </c>
      <c r="Y144" s="178">
        <f t="shared" si="7"/>
        <v>1</v>
      </c>
      <c r="Z144" s="179">
        <f t="shared" si="8"/>
        <v>679.53</v>
      </c>
      <c r="AC144" s="149">
        <v>16223.999999999998</v>
      </c>
    </row>
    <row r="145" spans="1:29" s="178" customFormat="1" ht="14.4" outlineLevel="1">
      <c r="A145" s="87"/>
      <c r="B145" s="138" t="s">
        <v>618</v>
      </c>
      <c r="C145" s="151" t="s">
        <v>21</v>
      </c>
      <c r="D145" s="140">
        <v>45179</v>
      </c>
      <c r="E145" s="139" t="s">
        <v>84</v>
      </c>
      <c r="F145" s="152" t="s">
        <v>521</v>
      </c>
      <c r="G145" s="142" t="s">
        <v>565</v>
      </c>
      <c r="H145" s="148">
        <v>22.34</v>
      </c>
      <c r="I145" s="155">
        <v>8920</v>
      </c>
      <c r="J145" s="177" t="s">
        <v>96</v>
      </c>
      <c r="K145" s="89">
        <v>0</v>
      </c>
      <c r="L145" s="109">
        <v>58.88</v>
      </c>
      <c r="M145" s="145">
        <v>0</v>
      </c>
      <c r="N145" s="145">
        <v>0</v>
      </c>
      <c r="O145" s="146">
        <v>0</v>
      </c>
      <c r="P145" s="146">
        <v>0</v>
      </c>
      <c r="Q145" s="146">
        <v>0</v>
      </c>
      <c r="R145" s="146">
        <v>0</v>
      </c>
      <c r="S145" s="145">
        <v>0</v>
      </c>
      <c r="T145" s="146">
        <v>0</v>
      </c>
      <c r="U145" s="146">
        <v>0</v>
      </c>
      <c r="V145" s="146">
        <v>0</v>
      </c>
      <c r="W145" s="147">
        <v>0</v>
      </c>
      <c r="X145" s="98">
        <f t="shared" si="6"/>
        <v>679.53</v>
      </c>
      <c r="Y145" s="178">
        <f t="shared" si="7"/>
        <v>0</v>
      </c>
      <c r="Z145" s="179">
        <f t="shared" si="8"/>
        <v>0</v>
      </c>
      <c r="AC145" s="101"/>
    </row>
    <row r="146" spans="1:29" s="178" customFormat="1" ht="14.4" outlineLevel="1">
      <c r="A146" s="87"/>
      <c r="B146" s="138" t="s">
        <v>618</v>
      </c>
      <c r="C146" s="151" t="s">
        <v>21</v>
      </c>
      <c r="D146" s="140">
        <v>45179</v>
      </c>
      <c r="E146" s="139" t="s">
        <v>84</v>
      </c>
      <c r="F146" s="152" t="s">
        <v>619</v>
      </c>
      <c r="G146" s="141" t="s">
        <v>565</v>
      </c>
      <c r="H146" s="148">
        <v>17.87</v>
      </c>
      <c r="I146" s="155">
        <v>6480</v>
      </c>
      <c r="J146" s="177" t="s">
        <v>96</v>
      </c>
      <c r="K146" s="89">
        <v>0</v>
      </c>
      <c r="L146" s="109">
        <v>58.88</v>
      </c>
      <c r="M146" s="145">
        <v>0</v>
      </c>
      <c r="N146" s="145">
        <v>0</v>
      </c>
      <c r="O146" s="146">
        <v>0</v>
      </c>
      <c r="P146" s="146">
        <v>0</v>
      </c>
      <c r="Q146" s="146">
        <v>0</v>
      </c>
      <c r="R146" s="146">
        <v>0</v>
      </c>
      <c r="S146" s="145">
        <v>0</v>
      </c>
      <c r="T146" s="146">
        <v>0</v>
      </c>
      <c r="U146" s="146">
        <v>0</v>
      </c>
      <c r="V146" s="146">
        <v>0</v>
      </c>
      <c r="W146" s="147">
        <v>0</v>
      </c>
      <c r="X146" s="98">
        <f t="shared" si="6"/>
        <v>679.53</v>
      </c>
      <c r="Y146" s="178">
        <f t="shared" si="7"/>
        <v>0</v>
      </c>
      <c r="Z146" s="179">
        <f t="shared" si="8"/>
        <v>0</v>
      </c>
      <c r="AC146" s="101"/>
    </row>
    <row r="147" spans="1:29" s="178" customFormat="1" ht="14.4" outlineLevel="1">
      <c r="A147" s="87"/>
      <c r="B147" s="138" t="s">
        <v>618</v>
      </c>
      <c r="C147" s="151" t="s">
        <v>21</v>
      </c>
      <c r="D147" s="140">
        <v>45179</v>
      </c>
      <c r="E147" s="139" t="s">
        <v>84</v>
      </c>
      <c r="F147" s="152" t="s">
        <v>620</v>
      </c>
      <c r="G147" s="141" t="s">
        <v>565</v>
      </c>
      <c r="H147" s="148">
        <v>2.06</v>
      </c>
      <c r="I147" s="155">
        <v>2501</v>
      </c>
      <c r="J147" s="177" t="s">
        <v>96</v>
      </c>
      <c r="K147" s="89">
        <v>0</v>
      </c>
      <c r="L147" s="109">
        <v>58.88</v>
      </c>
      <c r="M147" s="145">
        <v>0</v>
      </c>
      <c r="N147" s="145">
        <v>0</v>
      </c>
      <c r="O147" s="146">
        <v>0</v>
      </c>
      <c r="P147" s="146">
        <v>0</v>
      </c>
      <c r="Q147" s="146">
        <v>0</v>
      </c>
      <c r="R147" s="146">
        <v>0</v>
      </c>
      <c r="S147" s="145">
        <v>0</v>
      </c>
      <c r="T147" s="146">
        <v>0</v>
      </c>
      <c r="U147" s="146">
        <v>0</v>
      </c>
      <c r="V147" s="146">
        <v>0</v>
      </c>
      <c r="W147" s="147">
        <v>0</v>
      </c>
      <c r="X147" s="98">
        <f t="shared" si="6"/>
        <v>679.53</v>
      </c>
      <c r="Y147" s="178">
        <f t="shared" si="7"/>
        <v>0</v>
      </c>
      <c r="Z147" s="179">
        <f t="shared" si="8"/>
        <v>0</v>
      </c>
      <c r="AC147" s="101"/>
    </row>
    <row r="148" spans="1:29" s="178" customFormat="1" ht="14.4" outlineLevel="1">
      <c r="A148" s="112"/>
      <c r="B148" s="138" t="s">
        <v>618</v>
      </c>
      <c r="C148" s="151" t="s">
        <v>21</v>
      </c>
      <c r="D148" s="140">
        <v>45179</v>
      </c>
      <c r="E148" s="139" t="s">
        <v>84</v>
      </c>
      <c r="F148" s="152" t="s">
        <v>621</v>
      </c>
      <c r="G148" s="141" t="s">
        <v>565</v>
      </c>
      <c r="H148" s="173">
        <v>0.115</v>
      </c>
      <c r="I148" s="174">
        <v>90</v>
      </c>
      <c r="J148" s="177" t="s">
        <v>96</v>
      </c>
      <c r="K148" s="89">
        <v>0</v>
      </c>
      <c r="L148" s="109">
        <v>58.88</v>
      </c>
      <c r="M148" s="145">
        <v>0</v>
      </c>
      <c r="N148" s="145">
        <v>0</v>
      </c>
      <c r="O148" s="146">
        <v>0</v>
      </c>
      <c r="P148" s="146">
        <v>0</v>
      </c>
      <c r="Q148" s="146">
        <v>0</v>
      </c>
      <c r="R148" s="146">
        <v>0</v>
      </c>
      <c r="S148" s="145">
        <v>0</v>
      </c>
      <c r="T148" s="146">
        <v>0</v>
      </c>
      <c r="U148" s="146">
        <v>0</v>
      </c>
      <c r="V148" s="146">
        <v>0</v>
      </c>
      <c r="W148" s="147">
        <v>0</v>
      </c>
      <c r="X148" s="98">
        <f t="shared" si="6"/>
        <v>679.53</v>
      </c>
      <c r="Y148" s="178">
        <f t="shared" si="7"/>
        <v>0</v>
      </c>
      <c r="Z148" s="179">
        <f t="shared" si="8"/>
        <v>0</v>
      </c>
      <c r="AC148" s="101"/>
    </row>
    <row r="149" spans="1:29" s="178" customFormat="1" ht="14.4" outlineLevel="1">
      <c r="A149" s="115">
        <v>39</v>
      </c>
      <c r="B149" s="131" t="s">
        <v>622</v>
      </c>
      <c r="C149" s="137" t="s">
        <v>21</v>
      </c>
      <c r="D149" s="104">
        <v>45179</v>
      </c>
      <c r="E149" s="103" t="s">
        <v>84</v>
      </c>
      <c r="F149" s="150" t="s">
        <v>525</v>
      </c>
      <c r="G149" s="132" t="s">
        <v>575</v>
      </c>
      <c r="H149" s="135">
        <v>51.87</v>
      </c>
      <c r="I149" s="123">
        <v>10550</v>
      </c>
      <c r="J149" s="177" t="s">
        <v>86</v>
      </c>
      <c r="K149" s="89">
        <v>1</v>
      </c>
      <c r="L149" s="109">
        <v>58.360999999999997</v>
      </c>
      <c r="M149" s="96">
        <v>1148000</v>
      </c>
      <c r="N149" s="96">
        <v>440376.3</v>
      </c>
      <c r="O149" s="110">
        <v>172245.26653073114</v>
      </c>
      <c r="P149" s="110">
        <v>44438.923253542605</v>
      </c>
      <c r="Q149" s="110">
        <v>164779.52742413597</v>
      </c>
      <c r="R149" s="110">
        <v>8087.8840321447542</v>
      </c>
      <c r="S149" s="96">
        <v>0</v>
      </c>
      <c r="T149" s="110">
        <v>249302.35945237402</v>
      </c>
      <c r="U149" s="110">
        <v>0</v>
      </c>
      <c r="V149" s="110">
        <v>2227230.2606929285</v>
      </c>
      <c r="W149" s="111">
        <v>1675.28</v>
      </c>
      <c r="X149" s="98">
        <f t="shared" si="6"/>
        <v>1675.28</v>
      </c>
      <c r="Y149" s="178">
        <f t="shared" si="7"/>
        <v>1</v>
      </c>
      <c r="Z149" s="179">
        <f t="shared" si="8"/>
        <v>1675.28</v>
      </c>
      <c r="AC149" s="101">
        <v>89341.680000000008</v>
      </c>
    </row>
    <row r="150" spans="1:29" s="178" customFormat="1" ht="14.4" outlineLevel="1">
      <c r="A150" s="112"/>
      <c r="B150" s="138" t="s">
        <v>622</v>
      </c>
      <c r="C150" s="151" t="s">
        <v>21</v>
      </c>
      <c r="D150" s="140">
        <v>45179</v>
      </c>
      <c r="E150" s="139" t="s">
        <v>84</v>
      </c>
      <c r="F150" s="152" t="s">
        <v>526</v>
      </c>
      <c r="G150" s="139" t="s">
        <v>582</v>
      </c>
      <c r="H150" s="148">
        <v>6.4909999999999997</v>
      </c>
      <c r="I150" s="155">
        <v>2270.31</v>
      </c>
      <c r="J150" s="177" t="s">
        <v>96</v>
      </c>
      <c r="K150" s="89">
        <v>0</v>
      </c>
      <c r="L150" s="109">
        <v>58.360999999999997</v>
      </c>
      <c r="M150" s="145">
        <v>0</v>
      </c>
      <c r="N150" s="145">
        <v>0</v>
      </c>
      <c r="O150" s="146">
        <v>0</v>
      </c>
      <c r="P150" s="146">
        <v>0</v>
      </c>
      <c r="Q150" s="146">
        <v>0</v>
      </c>
      <c r="R150" s="146">
        <v>0</v>
      </c>
      <c r="S150" s="145">
        <v>0</v>
      </c>
      <c r="T150" s="146">
        <v>0</v>
      </c>
      <c r="U150" s="146">
        <v>0</v>
      </c>
      <c r="V150" s="146">
        <v>0</v>
      </c>
      <c r="W150" s="147">
        <v>0</v>
      </c>
      <c r="X150" s="98">
        <f t="shared" si="6"/>
        <v>1675.28</v>
      </c>
      <c r="Y150" s="178">
        <f t="shared" si="7"/>
        <v>0</v>
      </c>
      <c r="Z150" s="179">
        <f t="shared" si="8"/>
        <v>0</v>
      </c>
      <c r="AC150" s="101">
        <v>20160</v>
      </c>
    </row>
    <row r="151" spans="1:29" s="178" customFormat="1" ht="14.4" outlineLevel="1">
      <c r="A151" s="115">
        <v>40</v>
      </c>
      <c r="B151" s="131" t="s">
        <v>623</v>
      </c>
      <c r="C151" s="137" t="s">
        <v>21</v>
      </c>
      <c r="D151" s="104">
        <v>45179</v>
      </c>
      <c r="E151" s="103" t="s">
        <v>84</v>
      </c>
      <c r="F151" s="150" t="s">
        <v>527</v>
      </c>
      <c r="G151" s="106" t="s">
        <v>108</v>
      </c>
      <c r="H151" s="113">
        <v>11.94</v>
      </c>
      <c r="I151" s="114">
        <v>976.8</v>
      </c>
      <c r="J151" s="177" t="s">
        <v>86</v>
      </c>
      <c r="K151" s="89">
        <v>1</v>
      </c>
      <c r="L151" s="109">
        <v>33.655000000000008</v>
      </c>
      <c r="M151" s="96">
        <v>238000</v>
      </c>
      <c r="N151" s="96">
        <v>101370.59999999999</v>
      </c>
      <c r="O151" s="110">
        <v>68755.667805675213</v>
      </c>
      <c r="P151" s="110">
        <v>17738.820383301139</v>
      </c>
      <c r="Q151" s="110">
        <v>65775.545981280622</v>
      </c>
      <c r="R151" s="110">
        <v>3228.465309760807</v>
      </c>
      <c r="S151" s="96">
        <v>0</v>
      </c>
      <c r="T151" s="110">
        <v>99514.782350319379</v>
      </c>
      <c r="U151" s="110">
        <v>0</v>
      </c>
      <c r="V151" s="110">
        <v>594383.88183033711</v>
      </c>
      <c r="W151" s="111">
        <v>447.08</v>
      </c>
      <c r="X151" s="98">
        <f t="shared" si="6"/>
        <v>3379.56</v>
      </c>
      <c r="Y151" s="178">
        <f t="shared" si="7"/>
        <v>1</v>
      </c>
      <c r="Z151" s="179">
        <f t="shared" si="8"/>
        <v>3379.56</v>
      </c>
      <c r="AC151" s="101">
        <v>36696</v>
      </c>
    </row>
    <row r="152" spans="1:29" ht="14.4" outlineLevel="1">
      <c r="A152" s="87"/>
      <c r="B152" s="131" t="s">
        <v>623</v>
      </c>
      <c r="C152" s="137" t="s">
        <v>21</v>
      </c>
      <c r="D152" s="104">
        <v>45179</v>
      </c>
      <c r="E152" s="103" t="s">
        <v>84</v>
      </c>
      <c r="F152" s="181" t="s">
        <v>624</v>
      </c>
      <c r="G152" s="132" t="s">
        <v>625</v>
      </c>
      <c r="H152" s="113">
        <v>8.0570000000000004</v>
      </c>
      <c r="I152" s="114">
        <v>8476</v>
      </c>
      <c r="J152" s="177" t="s">
        <v>86</v>
      </c>
      <c r="K152" s="182">
        <v>1</v>
      </c>
      <c r="L152" s="183">
        <v>33.655000000000008</v>
      </c>
      <c r="M152" s="184">
        <v>752000</v>
      </c>
      <c r="N152" s="184">
        <v>68403.930000000008</v>
      </c>
      <c r="O152" s="185">
        <v>46395.679690982011</v>
      </c>
      <c r="P152" s="185">
        <v>11969.989600356557</v>
      </c>
      <c r="Q152" s="185">
        <v>44384.721438122113</v>
      </c>
      <c r="R152" s="185">
        <v>2178.5381072648934</v>
      </c>
      <c r="S152" s="96">
        <v>0</v>
      </c>
      <c r="T152" s="110">
        <v>67151.641658000284</v>
      </c>
      <c r="U152" s="185">
        <v>0</v>
      </c>
      <c r="V152" s="185">
        <v>992484.50049472589</v>
      </c>
      <c r="W152" s="186">
        <v>746.53</v>
      </c>
      <c r="X152" s="98">
        <f t="shared" si="6"/>
        <v>3379.56</v>
      </c>
      <c r="Y152" s="178">
        <f t="shared" si="7"/>
        <v>0</v>
      </c>
      <c r="Z152" s="179">
        <f t="shared" si="8"/>
        <v>0</v>
      </c>
      <c r="AC152" s="165">
        <v>94900.2</v>
      </c>
    </row>
    <row r="153" spans="1:29" ht="14.4" outlineLevel="1">
      <c r="A153" s="87"/>
      <c r="B153" s="131" t="s">
        <v>623</v>
      </c>
      <c r="C153" s="137" t="s">
        <v>21</v>
      </c>
      <c r="D153" s="104">
        <v>45179</v>
      </c>
      <c r="E153" s="103" t="s">
        <v>84</v>
      </c>
      <c r="F153" s="181" t="s">
        <v>626</v>
      </c>
      <c r="G153" s="103" t="s">
        <v>258</v>
      </c>
      <c r="H153" s="163">
        <v>6.84</v>
      </c>
      <c r="I153" s="164">
        <v>7388.05</v>
      </c>
      <c r="J153" s="177" t="s">
        <v>86</v>
      </c>
      <c r="K153" s="182">
        <v>1</v>
      </c>
      <c r="L153" s="183">
        <v>33.655000000000008</v>
      </c>
      <c r="M153" s="184">
        <v>535000</v>
      </c>
      <c r="N153" s="184">
        <v>58071.6</v>
      </c>
      <c r="O153" s="185">
        <v>39387.668994205902</v>
      </c>
      <c r="P153" s="185">
        <v>10161.937305006682</v>
      </c>
      <c r="Q153" s="185">
        <v>37680.463526964777</v>
      </c>
      <c r="R153" s="185">
        <v>1849.4725895112163</v>
      </c>
      <c r="S153" s="96">
        <v>0</v>
      </c>
      <c r="T153" s="110">
        <v>57008.468281087487</v>
      </c>
      <c r="U153" s="185">
        <v>0</v>
      </c>
      <c r="V153" s="185">
        <v>739159.61069677596</v>
      </c>
      <c r="W153" s="186">
        <v>555.98</v>
      </c>
      <c r="X153" s="98">
        <f t="shared" si="6"/>
        <v>3379.56</v>
      </c>
      <c r="Y153" s="178">
        <f t="shared" si="7"/>
        <v>0</v>
      </c>
      <c r="Z153" s="179">
        <f t="shared" si="8"/>
        <v>0</v>
      </c>
      <c r="AC153" s="166"/>
    </row>
    <row r="154" spans="1:29" ht="14.4" outlineLevel="1">
      <c r="A154" s="87"/>
      <c r="B154" s="131" t="s">
        <v>623</v>
      </c>
      <c r="C154" s="137" t="s">
        <v>21</v>
      </c>
      <c r="D154" s="104">
        <v>45179</v>
      </c>
      <c r="E154" s="103" t="s">
        <v>84</v>
      </c>
      <c r="F154" s="181" t="s">
        <v>627</v>
      </c>
      <c r="G154" s="103" t="s">
        <v>103</v>
      </c>
      <c r="H154" s="163">
        <v>1.58</v>
      </c>
      <c r="I154" s="164">
        <v>1722.73</v>
      </c>
      <c r="J154" s="177" t="s">
        <v>86</v>
      </c>
      <c r="K154" s="182">
        <v>1</v>
      </c>
      <c r="L154" s="183">
        <v>33.655000000000008</v>
      </c>
      <c r="M154" s="184">
        <v>391000</v>
      </c>
      <c r="N154" s="184">
        <v>13414.2</v>
      </c>
      <c r="O154" s="185">
        <v>9098.3212004159832</v>
      </c>
      <c r="P154" s="185">
        <v>2347.3480909225964</v>
      </c>
      <c r="Q154" s="185">
        <v>8703.9667211409869</v>
      </c>
      <c r="R154" s="185">
        <v>427.21735254791253</v>
      </c>
      <c r="S154" s="96">
        <v>0</v>
      </c>
      <c r="T154" s="110">
        <v>13168.622790075766</v>
      </c>
      <c r="U154" s="185">
        <v>0</v>
      </c>
      <c r="V154" s="185">
        <v>438159.67615510325</v>
      </c>
      <c r="W154" s="186">
        <v>329.57</v>
      </c>
      <c r="X154" s="98">
        <f t="shared" si="6"/>
        <v>3379.56</v>
      </c>
      <c r="Y154" s="178">
        <f t="shared" si="7"/>
        <v>0</v>
      </c>
      <c r="Z154" s="179">
        <f t="shared" si="8"/>
        <v>0</v>
      </c>
      <c r="AC154" s="166"/>
    </row>
    <row r="155" spans="1:29" ht="14.4" outlineLevel="1">
      <c r="A155" s="87"/>
      <c r="B155" s="131" t="s">
        <v>623</v>
      </c>
      <c r="C155" s="137" t="s">
        <v>21</v>
      </c>
      <c r="D155" s="104">
        <v>45179</v>
      </c>
      <c r="E155" s="103" t="s">
        <v>84</v>
      </c>
      <c r="F155" s="181" t="s">
        <v>628</v>
      </c>
      <c r="G155" s="103" t="s">
        <v>382</v>
      </c>
      <c r="H155" s="113">
        <v>2.1779999999999999</v>
      </c>
      <c r="I155" s="114">
        <v>1743.57</v>
      </c>
      <c r="J155" s="177" t="s">
        <v>86</v>
      </c>
      <c r="K155" s="182">
        <v>1</v>
      </c>
      <c r="L155" s="183">
        <v>33.655000000000008</v>
      </c>
      <c r="M155" s="184">
        <v>391000</v>
      </c>
      <c r="N155" s="184">
        <v>18491.22</v>
      </c>
      <c r="O155" s="185">
        <v>12541.863021839246</v>
      </c>
      <c r="P155" s="185">
        <v>3235.7747734363384</v>
      </c>
      <c r="Q155" s="185">
        <v>11998.252859901942</v>
      </c>
      <c r="R155" s="185">
        <v>588.9110087654135</v>
      </c>
      <c r="S155" s="96">
        <v>0</v>
      </c>
      <c r="T155" s="110">
        <v>18152.696478977858</v>
      </c>
      <c r="U155" s="185">
        <v>0</v>
      </c>
      <c r="V155" s="185">
        <v>456008.71814292076</v>
      </c>
      <c r="W155" s="186">
        <v>343</v>
      </c>
      <c r="X155" s="98">
        <f t="shared" si="6"/>
        <v>3379.56</v>
      </c>
      <c r="Y155" s="178">
        <f t="shared" si="7"/>
        <v>0</v>
      </c>
      <c r="Z155" s="179">
        <f t="shared" si="8"/>
        <v>0</v>
      </c>
      <c r="AC155" s="166"/>
    </row>
    <row r="156" spans="1:29" ht="14.4" outlineLevel="1">
      <c r="A156" s="87"/>
      <c r="B156" s="131" t="s">
        <v>623</v>
      </c>
      <c r="C156" s="137" t="s">
        <v>21</v>
      </c>
      <c r="D156" s="104">
        <v>45179</v>
      </c>
      <c r="E156" s="103" t="s">
        <v>84</v>
      </c>
      <c r="F156" s="181" t="s">
        <v>629</v>
      </c>
      <c r="G156" s="132" t="s">
        <v>589</v>
      </c>
      <c r="H156" s="113">
        <v>1.68</v>
      </c>
      <c r="I156" s="114">
        <v>2134</v>
      </c>
      <c r="J156" s="177" t="s">
        <v>86</v>
      </c>
      <c r="K156" s="182">
        <v>1</v>
      </c>
      <c r="L156" s="183">
        <v>33.655000000000008</v>
      </c>
      <c r="M156" s="184">
        <v>408000</v>
      </c>
      <c r="N156" s="184">
        <v>14263.199999999999</v>
      </c>
      <c r="O156" s="185">
        <v>9674.1643143663623</v>
      </c>
      <c r="P156" s="185">
        <v>2495.9144257911148</v>
      </c>
      <c r="Q156" s="185">
        <v>9254.8506908334548</v>
      </c>
      <c r="R156" s="185">
        <v>454.25642549398293</v>
      </c>
      <c r="S156" s="96">
        <v>0</v>
      </c>
      <c r="T156" s="110">
        <v>14002.079928688156</v>
      </c>
      <c r="U156" s="185">
        <v>0</v>
      </c>
      <c r="V156" s="185">
        <v>458144.46578517312</v>
      </c>
      <c r="W156" s="186">
        <v>344.61</v>
      </c>
      <c r="X156" s="98">
        <f t="shared" si="6"/>
        <v>3379.56</v>
      </c>
      <c r="Y156" s="178">
        <f t="shared" si="7"/>
        <v>0</v>
      </c>
      <c r="Z156" s="179">
        <f t="shared" si="8"/>
        <v>0</v>
      </c>
      <c r="AC156" s="166"/>
    </row>
    <row r="157" spans="1:29" ht="14.4" outlineLevel="1">
      <c r="A157" s="87"/>
      <c r="B157" s="131" t="s">
        <v>623</v>
      </c>
      <c r="C157" s="137" t="s">
        <v>21</v>
      </c>
      <c r="D157" s="104">
        <v>45179</v>
      </c>
      <c r="E157" s="103" t="s">
        <v>84</v>
      </c>
      <c r="F157" s="181" t="s">
        <v>630</v>
      </c>
      <c r="G157" s="103" t="s">
        <v>329</v>
      </c>
      <c r="H157" s="113">
        <v>1.222</v>
      </c>
      <c r="I157" s="114">
        <v>484</v>
      </c>
      <c r="J157" s="177" t="s">
        <v>86</v>
      </c>
      <c r="K157" s="182">
        <v>1</v>
      </c>
      <c r="L157" s="183">
        <v>33.655000000000008</v>
      </c>
      <c r="M157" s="184">
        <v>288000</v>
      </c>
      <c r="N157" s="184">
        <v>10374.780000000001</v>
      </c>
      <c r="O157" s="185">
        <v>7036.8028524736274</v>
      </c>
      <c r="P157" s="185">
        <v>1815.4806120932992</v>
      </c>
      <c r="Q157" s="185">
        <v>6731.8021096419534</v>
      </c>
      <c r="R157" s="185">
        <v>330.41747140098045</v>
      </c>
      <c r="S157" s="96">
        <v>0</v>
      </c>
      <c r="T157" s="110">
        <v>10184.846233843409</v>
      </c>
      <c r="U157" s="185">
        <v>0</v>
      </c>
      <c r="V157" s="185">
        <v>324474.12927945331</v>
      </c>
      <c r="W157" s="186">
        <v>244.06</v>
      </c>
      <c r="X157" s="98">
        <f t="shared" si="6"/>
        <v>3379.56</v>
      </c>
      <c r="Y157" s="178">
        <f t="shared" si="7"/>
        <v>0</v>
      </c>
      <c r="Z157" s="179">
        <f t="shared" si="8"/>
        <v>0</v>
      </c>
      <c r="AC157" s="166"/>
    </row>
    <row r="158" spans="1:29" ht="14.4" outlineLevel="1">
      <c r="A158" s="87"/>
      <c r="B158" s="131" t="s">
        <v>623</v>
      </c>
      <c r="C158" s="137" t="s">
        <v>21</v>
      </c>
      <c r="D158" s="104">
        <v>45179</v>
      </c>
      <c r="E158" s="103" t="s">
        <v>84</v>
      </c>
      <c r="F158" s="181" t="s">
        <v>631</v>
      </c>
      <c r="G158" s="132" t="s">
        <v>592</v>
      </c>
      <c r="H158" s="167">
        <v>0.109</v>
      </c>
      <c r="I158" s="168">
        <v>45</v>
      </c>
      <c r="J158" s="177" t="s">
        <v>86</v>
      </c>
      <c r="K158" s="182">
        <v>1</v>
      </c>
      <c r="L158" s="183">
        <v>33.655000000000008</v>
      </c>
      <c r="M158" s="184">
        <v>196500</v>
      </c>
      <c r="N158" s="184">
        <v>925.41</v>
      </c>
      <c r="O158" s="185">
        <v>627.66899420591278</v>
      </c>
      <c r="P158" s="185">
        <v>161.93730500668545</v>
      </c>
      <c r="Q158" s="185">
        <v>600.46352696478959</v>
      </c>
      <c r="R158" s="185">
        <v>29.47258951121675</v>
      </c>
      <c r="S158" s="96">
        <v>0</v>
      </c>
      <c r="T158" s="110">
        <v>908.46828108750537</v>
      </c>
      <c r="U158" s="185">
        <v>0</v>
      </c>
      <c r="V158" s="185">
        <v>199753.42069677613</v>
      </c>
      <c r="W158" s="186">
        <v>150.25</v>
      </c>
      <c r="X158" s="98">
        <f t="shared" si="6"/>
        <v>3379.56</v>
      </c>
      <c r="Y158" s="178">
        <f t="shared" si="7"/>
        <v>0</v>
      </c>
      <c r="Z158" s="179">
        <f t="shared" si="8"/>
        <v>0</v>
      </c>
      <c r="AC158" s="166"/>
    </row>
    <row r="159" spans="1:29" ht="15" outlineLevel="1" thickBot="1">
      <c r="A159" s="112"/>
      <c r="B159" s="131" t="s">
        <v>623</v>
      </c>
      <c r="C159" s="137" t="s">
        <v>21</v>
      </c>
      <c r="D159" s="104">
        <v>45179</v>
      </c>
      <c r="E159" s="103" t="s">
        <v>84</v>
      </c>
      <c r="F159" s="181" t="s">
        <v>632</v>
      </c>
      <c r="G159" s="103" t="s">
        <v>106</v>
      </c>
      <c r="H159" s="170">
        <v>4.9000000000000002E-2</v>
      </c>
      <c r="I159" s="108">
        <v>26</v>
      </c>
      <c r="J159" s="177" t="s">
        <v>86</v>
      </c>
      <c r="K159" s="182">
        <v>1</v>
      </c>
      <c r="L159" s="183">
        <v>33.655000000000008</v>
      </c>
      <c r="M159" s="184">
        <v>289000</v>
      </c>
      <c r="N159" s="184">
        <v>416.01</v>
      </c>
      <c r="O159" s="185">
        <v>282.16312583568555</v>
      </c>
      <c r="P159" s="185">
        <v>72.79750408557419</v>
      </c>
      <c r="Q159" s="185">
        <v>269.9331451493091</v>
      </c>
      <c r="R159" s="185">
        <v>13.249145743574504</v>
      </c>
      <c r="S159" s="96">
        <v>0</v>
      </c>
      <c r="T159" s="110">
        <v>408.39399792007123</v>
      </c>
      <c r="U159" s="185">
        <v>0</v>
      </c>
      <c r="V159" s="185">
        <v>290462.54691873427</v>
      </c>
      <c r="W159" s="186">
        <v>218.48</v>
      </c>
      <c r="X159" s="98">
        <f t="shared" si="6"/>
        <v>3379.56</v>
      </c>
      <c r="Y159" s="178">
        <f t="shared" si="7"/>
        <v>0</v>
      </c>
      <c r="Z159" s="179">
        <f t="shared" si="8"/>
        <v>0</v>
      </c>
      <c r="AC159" s="169"/>
    </row>
    <row r="160" spans="1:29" ht="14.4" thickBot="1">
      <c r="A160" s="187" t="s">
        <v>633</v>
      </c>
      <c r="B160" s="188"/>
      <c r="C160" s="188"/>
      <c r="D160" s="188"/>
      <c r="E160" s="188"/>
      <c r="F160" s="189"/>
      <c r="G160" s="190"/>
      <c r="H160" s="191">
        <f>SUM(H6:H159)</f>
        <v>2296.2600000000002</v>
      </c>
      <c r="I160" s="191">
        <f>SUM(I6:I159)</f>
        <v>671332.49000000022</v>
      </c>
      <c r="J160" s="192"/>
      <c r="K160" s="192"/>
      <c r="L160" s="192"/>
      <c r="M160" s="191">
        <f>SUM(M6:M159)</f>
        <v>65240800</v>
      </c>
      <c r="N160" s="193"/>
      <c r="O160" s="193"/>
      <c r="P160" s="193"/>
      <c r="Q160" s="193"/>
      <c r="R160" s="193"/>
      <c r="S160" s="193"/>
      <c r="T160" s="193"/>
      <c r="U160" s="193"/>
      <c r="V160" s="194">
        <f>SUM(V5:V159)</f>
        <v>109894416.97781415</v>
      </c>
      <c r="W160" s="195">
        <f>Z160</f>
        <v>82660.279999999984</v>
      </c>
      <c r="X160" s="98">
        <f t="shared" si="6"/>
        <v>0</v>
      </c>
      <c r="Y160" s="178" t="e">
        <f>IF(B160=#REF!,0,1)</f>
        <v>#REF!</v>
      </c>
      <c r="Z160" s="179">
        <f>SUM(Z6:Z159)</f>
        <v>82660.279999999984</v>
      </c>
    </row>
    <row r="161" spans="1:26">
      <c r="H161" s="196"/>
      <c r="I161" s="197"/>
      <c r="J161" s="197"/>
      <c r="K161" s="197"/>
      <c r="L161" s="197"/>
      <c r="M161" s="198"/>
    </row>
    <row r="162" spans="1:26">
      <c r="B162" s="199" t="s">
        <v>634</v>
      </c>
      <c r="H162" s="196"/>
      <c r="I162" s="196"/>
      <c r="J162" s="196"/>
      <c r="K162" s="196"/>
      <c r="L162" s="196"/>
      <c r="M162" s="196"/>
      <c r="P162" s="200"/>
    </row>
    <row r="163" spans="1:26" ht="33.75" customHeight="1">
      <c r="B163" s="201" t="s">
        <v>635</v>
      </c>
      <c r="C163" s="202">
        <v>7.5217899999999996E-4</v>
      </c>
      <c r="D163" s="203">
        <f>W160</f>
        <v>82660.279999999984</v>
      </c>
      <c r="H163" s="196"/>
      <c r="I163" s="197"/>
      <c r="J163" s="197"/>
      <c r="K163" s="197"/>
      <c r="L163" s="197"/>
      <c r="M163" s="204"/>
      <c r="T163" s="205"/>
      <c r="U163" s="205"/>
      <c r="V163" s="206"/>
      <c r="W163" s="207"/>
      <c r="Z163" s="208">
        <f>V160/W160</f>
        <v>1329.4706596422632</v>
      </c>
    </row>
    <row r="164" spans="1:26" ht="14.4">
      <c r="A164" s="209"/>
      <c r="B164" s="199"/>
      <c r="H164" s="196"/>
      <c r="I164" s="197"/>
      <c r="J164" s="197"/>
      <c r="K164" s="197"/>
      <c r="L164" s="197"/>
      <c r="M164" s="204"/>
      <c r="P164" s="200"/>
      <c r="V164" s="200"/>
    </row>
    <row r="165" spans="1:26">
      <c r="B165" s="210" t="s">
        <v>636</v>
      </c>
      <c r="C165" s="211" t="s">
        <v>637</v>
      </c>
      <c r="D165" s="212"/>
      <c r="E165" s="211"/>
      <c r="H165" s="196"/>
      <c r="I165" s="197"/>
      <c r="J165" s="197"/>
      <c r="K165" s="197"/>
      <c r="L165" s="197"/>
    </row>
    <row r="166" spans="1:26">
      <c r="B166" s="213" t="s">
        <v>638</v>
      </c>
      <c r="C166" s="211" t="s">
        <v>639</v>
      </c>
      <c r="D166" s="212"/>
      <c r="E166" s="211"/>
      <c r="H166" s="196"/>
      <c r="I166" s="197"/>
      <c r="J166" s="197"/>
      <c r="K166" s="197"/>
      <c r="L166" s="197"/>
      <c r="N166" s="214"/>
    </row>
    <row r="167" spans="1:26" ht="18.75" customHeight="1">
      <c r="B167" s="199"/>
      <c r="H167" s="196"/>
      <c r="I167" s="197"/>
      <c r="J167" s="197"/>
      <c r="K167" s="197"/>
      <c r="L167" s="197"/>
    </row>
    <row r="168" spans="1:26" ht="18.75" customHeight="1">
      <c r="B168" s="199"/>
      <c r="H168" s="196"/>
      <c r="I168" s="197"/>
      <c r="J168" s="197"/>
      <c r="K168" s="197"/>
      <c r="L168" s="197"/>
    </row>
    <row r="169" spans="1:26">
      <c r="A169" s="215"/>
      <c r="B169" s="199" t="s">
        <v>640</v>
      </c>
      <c r="C169" s="216"/>
      <c r="D169" s="216"/>
      <c r="E169" s="216"/>
      <c r="F169" s="215"/>
      <c r="G169" s="216"/>
      <c r="H169" s="217"/>
      <c r="I169" s="197"/>
      <c r="J169" s="197"/>
      <c r="K169" s="197"/>
      <c r="L169" s="197"/>
      <c r="M169" s="216"/>
      <c r="O169" s="65" t="s">
        <v>641</v>
      </c>
      <c r="P169" s="216"/>
      <c r="Q169" s="216"/>
      <c r="R169" s="216"/>
      <c r="S169" s="216"/>
    </row>
    <row r="170" spans="1:26" ht="40.5" customHeight="1">
      <c r="A170" s="215"/>
      <c r="B170" s="218"/>
      <c r="C170" s="219"/>
      <c r="D170" s="219"/>
      <c r="E170" s="220"/>
      <c r="F170" s="221"/>
      <c r="G170" s="220"/>
      <c r="H170" s="222"/>
      <c r="I170" s="197"/>
      <c r="J170" s="197"/>
      <c r="K170" s="197"/>
      <c r="L170" s="197"/>
      <c r="M170" s="216"/>
      <c r="O170" s="223"/>
      <c r="P170" s="224"/>
      <c r="Q170" s="224"/>
      <c r="R170" s="220"/>
      <c r="S170" s="220"/>
    </row>
    <row r="171" spans="1:26" ht="40.5" customHeight="1">
      <c r="A171" s="215"/>
      <c r="B171" s="225" t="s">
        <v>642</v>
      </c>
      <c r="C171" s="220"/>
      <c r="D171" s="220"/>
      <c r="E171" s="220"/>
      <c r="F171" s="221"/>
      <c r="G171" s="220"/>
      <c r="H171" s="222"/>
      <c r="I171" s="197"/>
      <c r="J171" s="197"/>
      <c r="K171" s="197"/>
      <c r="L171" s="197"/>
      <c r="M171" s="216"/>
      <c r="O171" s="65" t="s">
        <v>643</v>
      </c>
      <c r="P171" s="226"/>
      <c r="Q171" s="226"/>
      <c r="R171" s="220"/>
      <c r="S171" s="220"/>
    </row>
    <row r="172" spans="1:26" ht="40.5" customHeight="1">
      <c r="A172" s="227"/>
      <c r="B172" s="225" t="s">
        <v>644</v>
      </c>
      <c r="C172" s="223"/>
      <c r="D172" s="223"/>
      <c r="H172" s="196"/>
      <c r="I172" s="197"/>
      <c r="J172" s="197"/>
      <c r="K172" s="197"/>
      <c r="L172" s="197"/>
      <c r="M172" s="216"/>
      <c r="O172" s="65" t="s">
        <v>645</v>
      </c>
    </row>
    <row r="173" spans="1:26" ht="40.5" customHeight="1">
      <c r="A173" s="228"/>
      <c r="B173" s="225" t="s">
        <v>646</v>
      </c>
      <c r="C173" s="220"/>
      <c r="D173" s="220"/>
      <c r="E173" s="220"/>
      <c r="F173" s="221"/>
      <c r="G173" s="220"/>
      <c r="H173" s="196"/>
      <c r="I173" s="197"/>
      <c r="J173" s="197"/>
      <c r="K173" s="197"/>
      <c r="L173" s="197"/>
      <c r="M173" s="216"/>
    </row>
    <row r="174" spans="1:26">
      <c r="B174" s="199"/>
      <c r="H174" s="196"/>
      <c r="I174" s="197"/>
      <c r="J174" s="197"/>
      <c r="K174" s="197"/>
      <c r="L174" s="197"/>
      <c r="M174" s="216"/>
    </row>
    <row r="175" spans="1:26" ht="28.5" customHeight="1">
      <c r="A175" s="229"/>
      <c r="B175" s="230" t="s">
        <v>647</v>
      </c>
      <c r="H175" s="196"/>
      <c r="I175" s="197"/>
      <c r="J175" s="197"/>
      <c r="K175" s="197"/>
      <c r="L175" s="197"/>
      <c r="M175" s="216"/>
    </row>
  </sheetData>
  <autoFilter ref="A5:AD160" xr:uid="{00000000-0001-0000-0100-000000000000}"/>
  <mergeCells count="42">
    <mergeCell ref="A140:A143"/>
    <mergeCell ref="A144:A148"/>
    <mergeCell ref="A149:A150"/>
    <mergeCell ref="A151:A159"/>
    <mergeCell ref="AC152:AC159"/>
    <mergeCell ref="A160:E160"/>
    <mergeCell ref="A110:A112"/>
    <mergeCell ref="A113:A115"/>
    <mergeCell ref="A117:A119"/>
    <mergeCell ref="A120:A127"/>
    <mergeCell ref="A128:A131"/>
    <mergeCell ref="A132:A138"/>
    <mergeCell ref="A90:A93"/>
    <mergeCell ref="A94:A96"/>
    <mergeCell ref="A97:A99"/>
    <mergeCell ref="A100:A102"/>
    <mergeCell ref="A103:A105"/>
    <mergeCell ref="A106:A109"/>
    <mergeCell ref="A66:A68"/>
    <mergeCell ref="A69:A71"/>
    <mergeCell ref="A72:A81"/>
    <mergeCell ref="AC75:AC81"/>
    <mergeCell ref="A83:A87"/>
    <mergeCell ref="A88:A89"/>
    <mergeCell ref="A39:A41"/>
    <mergeCell ref="A42:A43"/>
    <mergeCell ref="A44:A51"/>
    <mergeCell ref="A52:A61"/>
    <mergeCell ref="A62:A63"/>
    <mergeCell ref="A64:A65"/>
    <mergeCell ref="A17:A20"/>
    <mergeCell ref="A21:A23"/>
    <mergeCell ref="A24:A27"/>
    <mergeCell ref="A28:A33"/>
    <mergeCell ref="A34:A35"/>
    <mergeCell ref="A37:A38"/>
    <mergeCell ref="A1:M1"/>
    <mergeCell ref="A2:W2"/>
    <mergeCell ref="J4:K4"/>
    <mergeCell ref="A6:A8"/>
    <mergeCell ref="A9:A11"/>
    <mergeCell ref="A12:A16"/>
  </mergeCells>
  <conditionalFormatting sqref="F2">
    <cfRule type="duplicateValues" dxfId="20" priority="11"/>
    <cfRule type="duplicateValues" dxfId="19" priority="12"/>
  </conditionalFormatting>
  <conditionalFormatting sqref="F87:F89">
    <cfRule type="duplicateValues" dxfId="18" priority="9"/>
  </conditionalFormatting>
  <conditionalFormatting sqref="F160:F1048576 F1:F5">
    <cfRule type="duplicateValues" dxfId="17" priority="10"/>
  </conditionalFormatting>
  <conditionalFormatting sqref="F160:F1048576 F3:F5">
    <cfRule type="duplicateValues" dxfId="16" priority="13"/>
  </conditionalFormatting>
  <conditionalFormatting sqref="F160:F1048576">
    <cfRule type="duplicateValues" dxfId="15" priority="14"/>
  </conditionalFormatting>
  <conditionalFormatting sqref="F90:F159">
    <cfRule type="duplicateValues" dxfId="14" priority="8"/>
  </conditionalFormatting>
  <conditionalFormatting sqref="F90:F159">
    <cfRule type="duplicateValues" dxfId="13" priority="2"/>
    <cfRule type="duplicateValues" dxfId="12" priority="3"/>
    <cfRule type="duplicateValues" dxfId="11" priority="4"/>
    <cfRule type="duplicateValues" dxfId="10" priority="5"/>
    <cfRule type="duplicateValues" dxfId="9" priority="6"/>
    <cfRule type="duplicateValues" dxfId="8" priority="7"/>
  </conditionalFormatting>
  <conditionalFormatting sqref="F6:F89">
    <cfRule type="duplicateValues" dxfId="7" priority="15"/>
  </conditionalFormatting>
  <conditionalFormatting sqref="F6:F89">
    <cfRule type="duplicateValues" dxfId="6" priority="16"/>
    <cfRule type="duplicateValues" dxfId="5" priority="17"/>
    <cfRule type="duplicateValues" dxfId="4" priority="18"/>
    <cfRule type="duplicateValues" dxfId="3" priority="19"/>
    <cfRule type="duplicateValues" dxfId="2" priority="20"/>
    <cfRule type="duplicateValues" dxfId="1" priority="21"/>
  </conditionalFormatting>
  <conditionalFormatting sqref="B163">
    <cfRule type="duplicateValues" dxfId="0" priority="1"/>
  </conditionalFormatting>
  <printOptions horizontalCentered="1"/>
  <pageMargins left="0.31496062992125984" right="0.31496062992125984" top="0.35433070866141736" bottom="0.55118110236220474" header="0.31496062992125984" footer="0.31496062992125984"/>
  <pageSetup paperSize="9" scale="37" fitToHeight="5" orientation="landscape" r:id="rId1"/>
  <headerFooter>
    <oddFooter>&amp;LACT OF EXECUTED WORKS / АКТ ВЫПОЛНЕННЫХ РАБОТ &amp;C&amp;P / &amp;N&amp;RNo. 477 LCL</oddFooter>
  </headerFooter>
  <rowBreaks count="2" manualBreakCount="2">
    <brk id="71" max="22" man="1"/>
    <brk id="151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C2F3-B058-42AA-AE83-C92FAAF35B05}">
  <sheetPr>
    <pageSetUpPr fitToPage="1"/>
  </sheetPr>
  <dimension ref="A1:X168"/>
  <sheetViews>
    <sheetView view="pageBreakPreview" topLeftCell="D1" zoomScaleNormal="100" zoomScaleSheetLayoutView="100" workbookViewId="0">
      <selection activeCell="R13" sqref="R13"/>
    </sheetView>
  </sheetViews>
  <sheetFormatPr defaultColWidth="9" defaultRowHeight="14.4" outlineLevelCol="1"/>
  <cols>
    <col min="1" max="1" width="35.88671875" style="235" bestFit="1" customWidth="1"/>
    <col min="2" max="2" width="40.44140625" style="235" customWidth="1"/>
    <col min="3" max="3" width="25.33203125" style="235" customWidth="1"/>
    <col min="4" max="4" width="13" style="235" customWidth="1"/>
    <col min="5" max="5" width="11.88671875" style="339" customWidth="1"/>
    <col min="6" max="6" width="17.44140625" style="340" customWidth="1"/>
    <col min="7" max="7" width="10.6640625" style="235" hidden="1" customWidth="1" outlineLevel="1"/>
    <col min="8" max="8" width="20.33203125" style="235" customWidth="1" collapsed="1"/>
    <col min="9" max="9" width="23.44140625" style="235" bestFit="1" customWidth="1"/>
    <col min="10" max="10" width="24.6640625" style="235" hidden="1" customWidth="1" outlineLevel="1"/>
    <col min="11" max="12" width="8.33203125" style="235" hidden="1" customWidth="1" outlineLevel="1"/>
    <col min="13" max="13" width="8.88671875" style="235" hidden="1" customWidth="1" outlineLevel="1"/>
    <col min="14" max="14" width="21.33203125" style="235" customWidth="1" collapsed="1"/>
    <col min="15" max="15" width="10.6640625" style="235" customWidth="1"/>
    <col min="16" max="16" width="9" style="235"/>
    <col min="17" max="17" width="14" style="235" customWidth="1"/>
    <col min="18" max="18" width="12.88671875" style="235" customWidth="1"/>
    <col min="19" max="20" width="14.88671875" style="235" customWidth="1"/>
    <col min="21" max="23" width="6" style="235" bestFit="1" customWidth="1" outlineLevel="1"/>
    <col min="24" max="24" width="30.109375" style="235" bestFit="1" customWidth="1" outlineLevel="1"/>
    <col min="25" max="16384" width="9" style="235"/>
  </cols>
  <sheetData>
    <row r="1" spans="1:24" ht="18">
      <c r="A1" s="233" t="s">
        <v>648</v>
      </c>
      <c r="B1" s="233"/>
      <c r="C1" s="233"/>
      <c r="D1" s="233"/>
      <c r="E1" s="233"/>
      <c r="F1" s="234" t="str">
        <f>[1]АКТ!N1</f>
        <v>No. 477 LCL</v>
      </c>
      <c r="H1" s="234"/>
      <c r="I1" s="234"/>
      <c r="J1" s="234"/>
      <c r="K1" s="234"/>
      <c r="L1" s="234"/>
      <c r="M1" s="234"/>
      <c r="N1" s="234"/>
    </row>
    <row r="2" spans="1:24" ht="21">
      <c r="A2" s="236" t="s">
        <v>538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62"/>
      <c r="P2" s="62"/>
      <c r="Q2" s="62"/>
      <c r="R2" s="62"/>
      <c r="S2" s="62"/>
      <c r="T2" s="62"/>
      <c r="U2" s="62"/>
      <c r="V2" s="62"/>
    </row>
    <row r="3" spans="1:24" ht="18">
      <c r="A3" s="237"/>
      <c r="B3" s="237"/>
      <c r="C3" s="237"/>
      <c r="D3" s="237"/>
      <c r="E3" s="238"/>
      <c r="F3" s="239"/>
      <c r="G3" s="237"/>
      <c r="H3" s="237"/>
      <c r="I3" s="237"/>
      <c r="J3" s="240"/>
      <c r="K3" s="240"/>
      <c r="L3" s="240"/>
      <c r="M3" s="240"/>
      <c r="N3" s="240"/>
    </row>
    <row r="4" spans="1:24" ht="15" thickBot="1">
      <c r="A4" s="241"/>
      <c r="E4" s="242"/>
      <c r="F4" s="243"/>
      <c r="O4" s="244" t="s">
        <v>86</v>
      </c>
      <c r="U4" s="244" t="s">
        <v>62</v>
      </c>
      <c r="V4" s="244" t="s">
        <v>649</v>
      </c>
    </row>
    <row r="5" spans="1:24" ht="27.75" customHeight="1">
      <c r="A5" s="245" t="s">
        <v>61</v>
      </c>
      <c r="B5" s="246" t="s">
        <v>650</v>
      </c>
      <c r="C5" s="247" t="s">
        <v>651</v>
      </c>
      <c r="D5" s="247" t="s">
        <v>652</v>
      </c>
      <c r="E5" s="248" t="s">
        <v>62</v>
      </c>
      <c r="F5" s="249" t="s">
        <v>63</v>
      </c>
      <c r="G5" s="250">
        <v>333</v>
      </c>
      <c r="H5" s="247" t="s">
        <v>653</v>
      </c>
      <c r="I5" s="247" t="s">
        <v>654</v>
      </c>
      <c r="J5" s="247" t="s">
        <v>655</v>
      </c>
      <c r="K5" s="251" t="s">
        <v>656</v>
      </c>
      <c r="L5" s="251"/>
      <c r="M5" s="251"/>
      <c r="N5" s="252" t="s">
        <v>657</v>
      </c>
      <c r="O5" s="253" t="s">
        <v>64</v>
      </c>
      <c r="Q5" s="254" t="s">
        <v>654</v>
      </c>
      <c r="R5" s="254" t="s">
        <v>654</v>
      </c>
      <c r="S5" s="254" t="s">
        <v>654</v>
      </c>
      <c r="T5" s="255" t="s">
        <v>654</v>
      </c>
      <c r="U5" s="256" t="s">
        <v>653</v>
      </c>
      <c r="V5" s="257"/>
      <c r="W5" s="258"/>
      <c r="X5" s="254" t="s">
        <v>653</v>
      </c>
    </row>
    <row r="6" spans="1:24" ht="72.599999999999994" thickBot="1">
      <c r="A6" s="259"/>
      <c r="B6" s="260"/>
      <c r="C6" s="261"/>
      <c r="D6" s="261"/>
      <c r="E6" s="262"/>
      <c r="F6" s="263"/>
      <c r="G6" s="264" t="s">
        <v>658</v>
      </c>
      <c r="H6" s="261"/>
      <c r="I6" s="261"/>
      <c r="J6" s="261"/>
      <c r="K6" s="264" t="s">
        <v>659</v>
      </c>
      <c r="L6" s="264" t="s">
        <v>654</v>
      </c>
      <c r="M6" s="264" t="s">
        <v>660</v>
      </c>
      <c r="N6" s="265"/>
      <c r="O6" s="253"/>
      <c r="Q6" s="266"/>
      <c r="R6" s="266"/>
      <c r="S6" s="266"/>
      <c r="T6" s="267"/>
      <c r="U6" s="268"/>
      <c r="V6" s="269"/>
      <c r="W6" s="270"/>
      <c r="X6" s="266"/>
    </row>
    <row r="7" spans="1:24">
      <c r="A7" s="271" t="s">
        <v>319</v>
      </c>
      <c r="B7" s="272" t="s">
        <v>383</v>
      </c>
      <c r="C7" s="273" t="s">
        <v>668</v>
      </c>
      <c r="D7" s="274" t="s">
        <v>669</v>
      </c>
      <c r="E7" s="275">
        <v>34.630000000000003</v>
      </c>
      <c r="F7" s="276">
        <v>4478.59</v>
      </c>
      <c r="G7" s="277">
        <v>11531.79</v>
      </c>
      <c r="H7" s="278" t="s">
        <v>670</v>
      </c>
      <c r="I7" s="279">
        <v>624000</v>
      </c>
      <c r="J7" s="279">
        <v>624000</v>
      </c>
      <c r="K7" s="279"/>
      <c r="L7" s="279">
        <v>0</v>
      </c>
      <c r="M7" s="279">
        <v>0</v>
      </c>
      <c r="N7" s="280">
        <v>624000</v>
      </c>
      <c r="O7" s="235" t="str">
        <f>VLOOKUP(A7,'[1]Vendor list'!$A$3:$D$409,4,0)</f>
        <v>FCA</v>
      </c>
      <c r="Q7" s="281">
        <v>0</v>
      </c>
      <c r="R7" s="281">
        <v>0</v>
      </c>
      <c r="S7" s="281">
        <v>0</v>
      </c>
      <c r="T7" s="282">
        <v>624000</v>
      </c>
      <c r="U7" s="283">
        <v>11</v>
      </c>
      <c r="V7" s="283">
        <v>11</v>
      </c>
      <c r="W7" s="283">
        <v>11</v>
      </c>
      <c r="X7" s="283" t="s">
        <v>670</v>
      </c>
    </row>
    <row r="8" spans="1:24">
      <c r="A8" s="284" t="s">
        <v>319</v>
      </c>
      <c r="B8" s="285" t="s">
        <v>384</v>
      </c>
      <c r="C8" s="286" t="s">
        <v>668</v>
      </c>
      <c r="D8" s="287" t="s">
        <v>669</v>
      </c>
      <c r="E8" s="288">
        <v>17.260000000000002</v>
      </c>
      <c r="F8" s="289">
        <v>14793.6</v>
      </c>
      <c r="G8" s="290">
        <v>14793.6</v>
      </c>
      <c r="H8" s="291" t="s">
        <v>671</v>
      </c>
      <c r="I8" s="279">
        <v>724000</v>
      </c>
      <c r="J8" s="292">
        <v>724000</v>
      </c>
      <c r="K8" s="292"/>
      <c r="L8" s="292">
        <v>0</v>
      </c>
      <c r="M8" s="292">
        <v>0</v>
      </c>
      <c r="N8" s="293">
        <v>724000</v>
      </c>
      <c r="O8" s="235" t="str">
        <f>VLOOKUP(A8,'[1]Vendor list'!$A$3:$D$409,4,0)</f>
        <v>FCA</v>
      </c>
      <c r="Q8" s="281">
        <v>0</v>
      </c>
      <c r="R8" s="281">
        <v>724000</v>
      </c>
      <c r="S8" s="281">
        <v>0</v>
      </c>
      <c r="T8" s="282">
        <v>0</v>
      </c>
      <c r="U8" s="283">
        <v>8</v>
      </c>
      <c r="V8" s="283">
        <v>15</v>
      </c>
      <c r="W8" s="283">
        <v>15</v>
      </c>
      <c r="X8" s="283" t="s">
        <v>671</v>
      </c>
    </row>
    <row r="9" spans="1:24" ht="16.5" customHeight="1">
      <c r="A9" s="284" t="s">
        <v>319</v>
      </c>
      <c r="B9" s="285" t="s">
        <v>385</v>
      </c>
      <c r="C9" s="286" t="s">
        <v>668</v>
      </c>
      <c r="D9" s="287" t="s">
        <v>669</v>
      </c>
      <c r="E9" s="288">
        <v>8.6300000000000008</v>
      </c>
      <c r="F9" s="289">
        <v>1074.72</v>
      </c>
      <c r="G9" s="290">
        <v>2873.7900000000004</v>
      </c>
      <c r="H9" s="291" t="s">
        <v>672</v>
      </c>
      <c r="I9" s="279">
        <v>332000</v>
      </c>
      <c r="J9" s="292">
        <v>332000</v>
      </c>
      <c r="K9" s="292"/>
      <c r="L9" s="292">
        <v>0</v>
      </c>
      <c r="M9" s="292">
        <v>0</v>
      </c>
      <c r="N9" s="293">
        <v>332000</v>
      </c>
      <c r="O9" s="235" t="str">
        <f>VLOOKUP(A9,'[1]Vendor list'!$A$3:$D$409,4,0)</f>
        <v>FCA</v>
      </c>
      <c r="Q9" s="281">
        <v>332000</v>
      </c>
      <c r="R9" s="281">
        <v>0</v>
      </c>
      <c r="S9" s="281">
        <v>0</v>
      </c>
      <c r="T9" s="282">
        <v>0</v>
      </c>
      <c r="U9" s="283">
        <v>5</v>
      </c>
      <c r="V9" s="283">
        <v>5</v>
      </c>
      <c r="W9" s="283">
        <v>5</v>
      </c>
      <c r="X9" s="283" t="s">
        <v>672</v>
      </c>
    </row>
    <row r="10" spans="1:24" ht="16.5" customHeight="1">
      <c r="A10" s="284" t="s">
        <v>319</v>
      </c>
      <c r="B10" s="285" t="s">
        <v>386</v>
      </c>
      <c r="C10" s="286" t="s">
        <v>668</v>
      </c>
      <c r="D10" s="287" t="s">
        <v>669</v>
      </c>
      <c r="E10" s="288">
        <v>25.97</v>
      </c>
      <c r="F10" s="289">
        <v>3358.95</v>
      </c>
      <c r="G10" s="290">
        <v>8648.01</v>
      </c>
      <c r="H10" s="291" t="s">
        <v>673</v>
      </c>
      <c r="I10" s="279">
        <v>392000</v>
      </c>
      <c r="J10" s="292">
        <v>392000</v>
      </c>
      <c r="K10" s="292"/>
      <c r="L10" s="292">
        <v>0</v>
      </c>
      <c r="M10" s="292">
        <v>0</v>
      </c>
      <c r="N10" s="293">
        <v>392000</v>
      </c>
      <c r="O10" s="235" t="str">
        <f>VLOOKUP(A10,'[1]Vendor list'!$A$3:$D$409,4,0)</f>
        <v>FCA</v>
      </c>
      <c r="Q10" s="281">
        <v>392000</v>
      </c>
      <c r="R10" s="281">
        <v>0</v>
      </c>
      <c r="S10" s="281">
        <v>0</v>
      </c>
      <c r="T10" s="282">
        <v>0</v>
      </c>
      <c r="U10" s="283">
        <v>10</v>
      </c>
      <c r="V10" s="283">
        <v>10</v>
      </c>
      <c r="W10" s="283">
        <v>10</v>
      </c>
      <c r="X10" s="283" t="s">
        <v>673</v>
      </c>
    </row>
    <row r="11" spans="1:24" ht="16.5" customHeight="1">
      <c r="A11" s="284" t="s">
        <v>319</v>
      </c>
      <c r="B11" s="285" t="s">
        <v>387</v>
      </c>
      <c r="C11" s="286" t="s">
        <v>668</v>
      </c>
      <c r="D11" s="287" t="s">
        <v>669</v>
      </c>
      <c r="E11" s="288">
        <v>17.260000000000002</v>
      </c>
      <c r="F11" s="289">
        <v>14793.6</v>
      </c>
      <c r="G11" s="290">
        <v>14793.6</v>
      </c>
      <c r="H11" s="291" t="s">
        <v>671</v>
      </c>
      <c r="I11" s="279">
        <v>724000</v>
      </c>
      <c r="J11" s="292">
        <v>724000</v>
      </c>
      <c r="K11" s="292"/>
      <c r="L11" s="292">
        <v>0</v>
      </c>
      <c r="M11" s="292">
        <v>0</v>
      </c>
      <c r="N11" s="293">
        <v>724000</v>
      </c>
      <c r="O11" s="235" t="str">
        <f>VLOOKUP(A11,'[1]Vendor list'!$A$3:$D$409,4,0)</f>
        <v>FCA</v>
      </c>
      <c r="Q11" s="281">
        <v>0</v>
      </c>
      <c r="R11" s="281">
        <v>724000</v>
      </c>
      <c r="S11" s="281">
        <v>0</v>
      </c>
      <c r="T11" s="282">
        <v>0</v>
      </c>
      <c r="U11" s="283">
        <v>8</v>
      </c>
      <c r="V11" s="283">
        <v>15</v>
      </c>
      <c r="W11" s="283">
        <v>15</v>
      </c>
      <c r="X11" s="283" t="s">
        <v>671</v>
      </c>
    </row>
    <row r="12" spans="1:24" ht="16.5" customHeight="1">
      <c r="A12" s="284" t="s">
        <v>319</v>
      </c>
      <c r="B12" s="285" t="s">
        <v>388</v>
      </c>
      <c r="C12" s="286" t="s">
        <v>668</v>
      </c>
      <c r="D12" s="287" t="s">
        <v>669</v>
      </c>
      <c r="E12" s="288">
        <v>17.260000000000002</v>
      </c>
      <c r="F12" s="289">
        <v>2149.44</v>
      </c>
      <c r="G12" s="290">
        <v>5747.5800000000008</v>
      </c>
      <c r="H12" s="291" t="s">
        <v>674</v>
      </c>
      <c r="I12" s="279">
        <v>376000</v>
      </c>
      <c r="J12" s="292">
        <v>376000</v>
      </c>
      <c r="K12" s="292"/>
      <c r="L12" s="292">
        <v>0</v>
      </c>
      <c r="M12" s="292">
        <v>0</v>
      </c>
      <c r="N12" s="293">
        <v>376000</v>
      </c>
      <c r="O12" s="235" t="str">
        <f>VLOOKUP(A12,'[1]Vendor list'!$A$3:$D$409,4,0)</f>
        <v>FCA</v>
      </c>
      <c r="Q12" s="281">
        <v>376000</v>
      </c>
      <c r="R12" s="281">
        <v>0</v>
      </c>
      <c r="S12" s="281">
        <v>0</v>
      </c>
      <c r="T12" s="282">
        <v>0</v>
      </c>
      <c r="U12" s="283">
        <v>8</v>
      </c>
      <c r="V12" s="283">
        <v>8</v>
      </c>
      <c r="W12" s="283">
        <v>8</v>
      </c>
      <c r="X12" s="283" t="s">
        <v>674</v>
      </c>
    </row>
    <row r="13" spans="1:24">
      <c r="A13" s="284" t="s">
        <v>319</v>
      </c>
      <c r="B13" s="294" t="s">
        <v>389</v>
      </c>
      <c r="C13" s="286" t="s">
        <v>668</v>
      </c>
      <c r="D13" s="287" t="s">
        <v>669</v>
      </c>
      <c r="E13" s="288">
        <v>18.34</v>
      </c>
      <c r="F13" s="289">
        <v>2283.7800000000002</v>
      </c>
      <c r="G13" s="290">
        <v>6107.22</v>
      </c>
      <c r="H13" s="291" t="s">
        <v>674</v>
      </c>
      <c r="I13" s="279">
        <v>376000</v>
      </c>
      <c r="J13" s="292">
        <v>376000</v>
      </c>
      <c r="K13" s="292"/>
      <c r="L13" s="292">
        <v>0</v>
      </c>
      <c r="M13" s="292">
        <v>0</v>
      </c>
      <c r="N13" s="293">
        <v>376000</v>
      </c>
      <c r="O13" s="235" t="str">
        <f>VLOOKUP(A13,'[1]Vendor list'!$A$3:$D$409,4,0)</f>
        <v>FCA</v>
      </c>
      <c r="Q13" s="281">
        <v>376000</v>
      </c>
      <c r="R13" s="281">
        <v>0</v>
      </c>
      <c r="S13" s="281">
        <v>0</v>
      </c>
      <c r="T13" s="282">
        <v>0</v>
      </c>
      <c r="U13" s="283">
        <v>8</v>
      </c>
      <c r="V13" s="283">
        <v>8</v>
      </c>
      <c r="W13" s="283">
        <v>8</v>
      </c>
      <c r="X13" s="283" t="s">
        <v>674</v>
      </c>
    </row>
    <row r="14" spans="1:24">
      <c r="A14" s="284" t="s">
        <v>319</v>
      </c>
      <c r="B14" s="285" t="s">
        <v>390</v>
      </c>
      <c r="C14" s="286" t="s">
        <v>668</v>
      </c>
      <c r="D14" s="287" t="s">
        <v>669</v>
      </c>
      <c r="E14" s="288">
        <v>10.79</v>
      </c>
      <c r="F14" s="289">
        <v>8614</v>
      </c>
      <c r="G14" s="290">
        <v>8614</v>
      </c>
      <c r="H14" s="291" t="s">
        <v>673</v>
      </c>
      <c r="I14" s="279">
        <v>392000</v>
      </c>
      <c r="J14" s="292">
        <v>392000</v>
      </c>
      <c r="K14" s="292"/>
      <c r="L14" s="292">
        <v>0</v>
      </c>
      <c r="M14" s="292">
        <v>0</v>
      </c>
      <c r="N14" s="293">
        <v>392000</v>
      </c>
      <c r="O14" s="235" t="str">
        <f>VLOOKUP(A14,'[1]Vendor list'!$A$3:$D$409,4,0)</f>
        <v>FCA</v>
      </c>
      <c r="Q14" s="281">
        <v>392000</v>
      </c>
      <c r="R14" s="281">
        <v>0</v>
      </c>
      <c r="S14" s="281">
        <v>0</v>
      </c>
      <c r="T14" s="282">
        <v>0</v>
      </c>
      <c r="U14" s="283">
        <v>5</v>
      </c>
      <c r="V14" s="283">
        <v>10</v>
      </c>
      <c r="W14" s="283">
        <v>10</v>
      </c>
      <c r="X14" s="283" t="s">
        <v>673</v>
      </c>
    </row>
    <row r="15" spans="1:24">
      <c r="A15" s="284" t="s">
        <v>319</v>
      </c>
      <c r="B15" s="294" t="s">
        <v>391</v>
      </c>
      <c r="C15" s="286" t="s">
        <v>668</v>
      </c>
      <c r="D15" s="287" t="s">
        <v>669</v>
      </c>
      <c r="E15" s="288">
        <v>22.65</v>
      </c>
      <c r="F15" s="289">
        <v>3330.18</v>
      </c>
      <c r="G15" s="290">
        <v>7542.45</v>
      </c>
      <c r="H15" s="291" t="s">
        <v>673</v>
      </c>
      <c r="I15" s="279">
        <v>392000</v>
      </c>
      <c r="J15" s="292">
        <v>392000</v>
      </c>
      <c r="K15" s="292"/>
      <c r="L15" s="292">
        <v>0</v>
      </c>
      <c r="M15" s="292">
        <v>0</v>
      </c>
      <c r="N15" s="293">
        <v>392000</v>
      </c>
      <c r="O15" s="235" t="str">
        <f>VLOOKUP(A15,'[1]Vendor list'!$A$3:$D$409,4,0)</f>
        <v>FCA</v>
      </c>
      <c r="Q15" s="281">
        <v>392000</v>
      </c>
      <c r="R15" s="281">
        <v>0</v>
      </c>
      <c r="S15" s="281">
        <v>0</v>
      </c>
      <c r="T15" s="282">
        <v>0</v>
      </c>
      <c r="U15" s="283">
        <v>10</v>
      </c>
      <c r="V15" s="283">
        <v>8</v>
      </c>
      <c r="W15" s="283">
        <v>10</v>
      </c>
      <c r="X15" s="283" t="s">
        <v>673</v>
      </c>
    </row>
    <row r="16" spans="1:24">
      <c r="A16" s="284" t="s">
        <v>319</v>
      </c>
      <c r="B16" s="285" t="s">
        <v>392</v>
      </c>
      <c r="C16" s="286" t="s">
        <v>668</v>
      </c>
      <c r="D16" s="287" t="s">
        <v>669</v>
      </c>
      <c r="E16" s="288">
        <v>7.55</v>
      </c>
      <c r="F16" s="289">
        <v>4228</v>
      </c>
      <c r="G16" s="290">
        <v>4228</v>
      </c>
      <c r="H16" s="291" t="s">
        <v>672</v>
      </c>
      <c r="I16" s="279">
        <v>332000</v>
      </c>
      <c r="J16" s="292">
        <v>332000</v>
      </c>
      <c r="K16" s="292"/>
      <c r="L16" s="292">
        <v>0</v>
      </c>
      <c r="M16" s="292">
        <v>0</v>
      </c>
      <c r="N16" s="293">
        <v>332000</v>
      </c>
      <c r="O16" s="235" t="str">
        <f>VLOOKUP(A16,'[1]Vendor list'!$A$3:$D$409,4,0)</f>
        <v>FCA</v>
      </c>
      <c r="Q16" s="281">
        <v>332000</v>
      </c>
      <c r="R16" s="281">
        <v>0</v>
      </c>
      <c r="S16" s="281">
        <v>0</v>
      </c>
      <c r="T16" s="282">
        <v>0</v>
      </c>
      <c r="U16" s="283">
        <v>5</v>
      </c>
      <c r="V16" s="283">
        <v>5</v>
      </c>
      <c r="W16" s="283">
        <v>5</v>
      </c>
      <c r="X16" s="283" t="s">
        <v>672</v>
      </c>
    </row>
    <row r="17" spans="1:24">
      <c r="A17" s="284" t="s">
        <v>319</v>
      </c>
      <c r="B17" s="285" t="s">
        <v>393</v>
      </c>
      <c r="C17" s="286" t="s">
        <v>668</v>
      </c>
      <c r="D17" s="287" t="s">
        <v>669</v>
      </c>
      <c r="E17" s="288">
        <v>5.4</v>
      </c>
      <c r="F17" s="289">
        <v>424.4</v>
      </c>
      <c r="G17" s="290">
        <v>1798.2</v>
      </c>
      <c r="H17" s="291" t="s">
        <v>675</v>
      </c>
      <c r="I17" s="279">
        <v>291100</v>
      </c>
      <c r="J17" s="292">
        <v>291100</v>
      </c>
      <c r="K17" s="292"/>
      <c r="L17" s="292">
        <v>0</v>
      </c>
      <c r="M17" s="292">
        <v>0</v>
      </c>
      <c r="N17" s="293">
        <v>291100</v>
      </c>
      <c r="O17" s="235" t="str">
        <f>VLOOKUP(A17,'[1]Vendor list'!$A$3:$D$409,4,0)</f>
        <v>FCA</v>
      </c>
      <c r="Q17" s="281">
        <v>291100</v>
      </c>
      <c r="R17" s="281">
        <v>0</v>
      </c>
      <c r="S17" s="281">
        <v>0</v>
      </c>
      <c r="T17" s="282">
        <v>0</v>
      </c>
      <c r="U17" s="283">
        <v>2.5</v>
      </c>
      <c r="V17" s="283">
        <v>2.5</v>
      </c>
      <c r="W17" s="283">
        <v>2.5</v>
      </c>
      <c r="X17" s="283" t="s">
        <v>675</v>
      </c>
    </row>
    <row r="18" spans="1:24">
      <c r="A18" s="284" t="s">
        <v>319</v>
      </c>
      <c r="B18" s="285" t="s">
        <v>394</v>
      </c>
      <c r="C18" s="286" t="s">
        <v>668</v>
      </c>
      <c r="D18" s="287" t="s">
        <v>669</v>
      </c>
      <c r="E18" s="288">
        <v>30.21</v>
      </c>
      <c r="F18" s="289">
        <v>5096</v>
      </c>
      <c r="G18" s="290">
        <v>10059.93</v>
      </c>
      <c r="H18" s="291" t="s">
        <v>673</v>
      </c>
      <c r="I18" s="279">
        <v>392000</v>
      </c>
      <c r="J18" s="292">
        <v>392000</v>
      </c>
      <c r="K18" s="292"/>
      <c r="L18" s="292">
        <v>0</v>
      </c>
      <c r="M18" s="292">
        <v>0</v>
      </c>
      <c r="N18" s="293">
        <v>392000</v>
      </c>
      <c r="O18" s="235" t="str">
        <f>VLOOKUP(A18,'[1]Vendor list'!$A$3:$D$409,4,0)</f>
        <v>FCA</v>
      </c>
      <c r="Q18" s="281">
        <v>392000</v>
      </c>
      <c r="R18" s="281">
        <v>0</v>
      </c>
      <c r="S18" s="281">
        <v>0</v>
      </c>
      <c r="T18" s="282">
        <v>0</v>
      </c>
      <c r="U18" s="283">
        <v>10</v>
      </c>
      <c r="V18" s="283">
        <v>10</v>
      </c>
      <c r="W18" s="283">
        <v>10</v>
      </c>
      <c r="X18" s="283" t="s">
        <v>673</v>
      </c>
    </row>
    <row r="19" spans="1:24">
      <c r="A19" s="284" t="s">
        <v>319</v>
      </c>
      <c r="B19" s="285" t="s">
        <v>395</v>
      </c>
      <c r="C19" s="286" t="s">
        <v>668</v>
      </c>
      <c r="D19" s="287" t="s">
        <v>669</v>
      </c>
      <c r="E19" s="288">
        <v>21.58</v>
      </c>
      <c r="F19" s="289">
        <v>6420</v>
      </c>
      <c r="G19" s="290">
        <v>7186.1399999999994</v>
      </c>
      <c r="H19" s="291" t="s">
        <v>673</v>
      </c>
      <c r="I19" s="279">
        <v>392000</v>
      </c>
      <c r="J19" s="292">
        <v>392000</v>
      </c>
      <c r="K19" s="292"/>
      <c r="L19" s="292">
        <v>0</v>
      </c>
      <c r="M19" s="292">
        <v>0</v>
      </c>
      <c r="N19" s="293">
        <v>392000</v>
      </c>
      <c r="O19" s="235" t="str">
        <f>VLOOKUP(A19,'[1]Vendor list'!$A$3:$D$409,4,0)</f>
        <v>FCA</v>
      </c>
      <c r="Q19" s="281">
        <v>392000</v>
      </c>
      <c r="R19" s="281">
        <v>0</v>
      </c>
      <c r="S19" s="281">
        <v>0</v>
      </c>
      <c r="T19" s="282">
        <v>0</v>
      </c>
      <c r="U19" s="283">
        <v>10</v>
      </c>
      <c r="V19" s="283">
        <v>8</v>
      </c>
      <c r="W19" s="283">
        <v>10</v>
      </c>
      <c r="X19" s="283" t="s">
        <v>673</v>
      </c>
    </row>
    <row r="20" spans="1:24">
      <c r="A20" s="284" t="s">
        <v>319</v>
      </c>
      <c r="B20" s="285" t="s">
        <v>396</v>
      </c>
      <c r="C20" s="286" t="s">
        <v>668</v>
      </c>
      <c r="D20" s="287" t="s">
        <v>669</v>
      </c>
      <c r="E20" s="288">
        <v>10.79</v>
      </c>
      <c r="F20" s="289">
        <v>8614</v>
      </c>
      <c r="G20" s="290">
        <v>8614</v>
      </c>
      <c r="H20" s="291" t="s">
        <v>673</v>
      </c>
      <c r="I20" s="279">
        <v>392000</v>
      </c>
      <c r="J20" s="292">
        <v>392000</v>
      </c>
      <c r="K20" s="292"/>
      <c r="L20" s="292">
        <v>0</v>
      </c>
      <c r="M20" s="292">
        <v>0</v>
      </c>
      <c r="N20" s="293">
        <v>392000</v>
      </c>
      <c r="O20" s="235" t="str">
        <f>VLOOKUP(A20,'[1]Vendor list'!$A$3:$D$409,4,0)</f>
        <v>FCA</v>
      </c>
      <c r="Q20" s="281">
        <v>392000</v>
      </c>
      <c r="R20" s="281">
        <v>0</v>
      </c>
      <c r="S20" s="281">
        <v>0</v>
      </c>
      <c r="T20" s="282">
        <v>0</v>
      </c>
      <c r="U20" s="283">
        <v>5</v>
      </c>
      <c r="V20" s="283">
        <v>10</v>
      </c>
      <c r="W20" s="283">
        <v>10</v>
      </c>
      <c r="X20" s="283" t="s">
        <v>673</v>
      </c>
    </row>
    <row r="21" spans="1:24">
      <c r="A21" s="284" t="s">
        <v>319</v>
      </c>
      <c r="B21" s="285" t="s">
        <v>397</v>
      </c>
      <c r="C21" s="286" t="s">
        <v>668</v>
      </c>
      <c r="D21" s="287" t="s">
        <v>669</v>
      </c>
      <c r="E21" s="288">
        <v>0.63</v>
      </c>
      <c r="F21" s="289">
        <v>46.5</v>
      </c>
      <c r="G21" s="290">
        <v>209.79</v>
      </c>
      <c r="H21" s="291" t="s">
        <v>676</v>
      </c>
      <c r="I21" s="279">
        <v>232000</v>
      </c>
      <c r="J21" s="292">
        <v>232000</v>
      </c>
      <c r="K21" s="292"/>
      <c r="L21" s="292">
        <v>0</v>
      </c>
      <c r="M21" s="292">
        <v>0</v>
      </c>
      <c r="N21" s="293">
        <v>232000</v>
      </c>
      <c r="O21" s="235" t="str">
        <f>VLOOKUP(A21,'[1]Vendor list'!$A$3:$D$409,4,0)</f>
        <v>FCA</v>
      </c>
      <c r="Q21" s="281">
        <v>232000</v>
      </c>
      <c r="R21" s="281">
        <v>0</v>
      </c>
      <c r="S21" s="281">
        <v>0</v>
      </c>
      <c r="T21" s="282">
        <v>0</v>
      </c>
      <c r="U21" s="283">
        <v>1</v>
      </c>
      <c r="V21" s="283">
        <v>1</v>
      </c>
      <c r="W21" s="283">
        <v>1</v>
      </c>
      <c r="X21" s="283" t="s">
        <v>676</v>
      </c>
    </row>
    <row r="22" spans="1:24">
      <c r="A22" s="284" t="s">
        <v>319</v>
      </c>
      <c r="B22" s="285" t="s">
        <v>398</v>
      </c>
      <c r="C22" s="286" t="s">
        <v>668</v>
      </c>
      <c r="D22" s="287" t="s">
        <v>669</v>
      </c>
      <c r="E22" s="288">
        <v>30.21</v>
      </c>
      <c r="F22" s="289">
        <v>5096</v>
      </c>
      <c r="G22" s="290">
        <v>10059.93</v>
      </c>
      <c r="H22" s="291" t="s">
        <v>673</v>
      </c>
      <c r="I22" s="279">
        <v>392000</v>
      </c>
      <c r="J22" s="292">
        <v>392000</v>
      </c>
      <c r="K22" s="292"/>
      <c r="L22" s="292">
        <v>0</v>
      </c>
      <c r="M22" s="292">
        <v>0</v>
      </c>
      <c r="N22" s="293">
        <v>392000</v>
      </c>
      <c r="O22" s="235" t="str">
        <f>VLOOKUP(A22,'[1]Vendor list'!$A$3:$D$409,4,0)</f>
        <v>FCA</v>
      </c>
      <c r="Q22" s="281">
        <v>392000</v>
      </c>
      <c r="R22" s="281">
        <v>0</v>
      </c>
      <c r="S22" s="281">
        <v>0</v>
      </c>
      <c r="T22" s="282">
        <v>0</v>
      </c>
      <c r="U22" s="283">
        <v>10</v>
      </c>
      <c r="V22" s="283">
        <v>10</v>
      </c>
      <c r="W22" s="283">
        <v>10</v>
      </c>
      <c r="X22" s="283" t="s">
        <v>673</v>
      </c>
    </row>
    <row r="23" spans="1:24">
      <c r="A23" s="284" t="s">
        <v>319</v>
      </c>
      <c r="B23" s="285" t="s">
        <v>399</v>
      </c>
      <c r="C23" s="286" t="s">
        <v>668</v>
      </c>
      <c r="D23" s="287" t="s">
        <v>669</v>
      </c>
      <c r="E23" s="288">
        <v>21.58</v>
      </c>
      <c r="F23" s="289">
        <v>6420</v>
      </c>
      <c r="G23" s="290">
        <v>7186.1399999999994</v>
      </c>
      <c r="H23" s="291" t="s">
        <v>673</v>
      </c>
      <c r="I23" s="279">
        <v>392000</v>
      </c>
      <c r="J23" s="292">
        <v>392000</v>
      </c>
      <c r="K23" s="292"/>
      <c r="L23" s="292">
        <v>0</v>
      </c>
      <c r="M23" s="292">
        <v>0</v>
      </c>
      <c r="N23" s="293">
        <v>392000</v>
      </c>
      <c r="O23" s="235" t="str">
        <f>VLOOKUP(A23,'[1]Vendor list'!$A$3:$D$409,4,0)</f>
        <v>FCA</v>
      </c>
      <c r="Q23" s="281">
        <v>392000</v>
      </c>
      <c r="R23" s="281">
        <v>0</v>
      </c>
      <c r="S23" s="281">
        <v>0</v>
      </c>
      <c r="T23" s="282">
        <v>0</v>
      </c>
      <c r="U23" s="283">
        <v>10</v>
      </c>
      <c r="V23" s="283">
        <v>8</v>
      </c>
      <c r="W23" s="283">
        <v>10</v>
      </c>
      <c r="X23" s="283" t="s">
        <v>673</v>
      </c>
    </row>
    <row r="24" spans="1:24">
      <c r="A24" s="284" t="s">
        <v>319</v>
      </c>
      <c r="B24" s="294" t="s">
        <v>400</v>
      </c>
      <c r="C24" s="286" t="s">
        <v>668</v>
      </c>
      <c r="D24" s="287" t="s">
        <v>669</v>
      </c>
      <c r="E24" s="288">
        <v>12.95</v>
      </c>
      <c r="F24" s="289">
        <v>1612.08</v>
      </c>
      <c r="G24" s="290">
        <v>4312.3499999999995</v>
      </c>
      <c r="H24" s="291" t="s">
        <v>672</v>
      </c>
      <c r="I24" s="279">
        <v>332000</v>
      </c>
      <c r="J24" s="292">
        <v>332000</v>
      </c>
      <c r="K24" s="292"/>
      <c r="L24" s="292">
        <v>0</v>
      </c>
      <c r="M24" s="292">
        <v>0</v>
      </c>
      <c r="N24" s="293">
        <v>332000</v>
      </c>
      <c r="O24" s="235" t="str">
        <f>VLOOKUP(A24,'[1]Vendor list'!$A$3:$D$409,4,0)</f>
        <v>FCA</v>
      </c>
      <c r="Q24" s="281">
        <v>332000</v>
      </c>
      <c r="R24" s="281">
        <v>0</v>
      </c>
      <c r="S24" s="281">
        <v>0</v>
      </c>
      <c r="T24" s="282">
        <v>0</v>
      </c>
      <c r="U24" s="283">
        <v>5</v>
      </c>
      <c r="V24" s="283">
        <v>5</v>
      </c>
      <c r="W24" s="283">
        <v>5</v>
      </c>
      <c r="X24" s="283" t="s">
        <v>672</v>
      </c>
    </row>
    <row r="25" spans="1:24">
      <c r="A25" s="284" t="s">
        <v>319</v>
      </c>
      <c r="B25" s="285" t="s">
        <v>401</v>
      </c>
      <c r="C25" s="286" t="s">
        <v>668</v>
      </c>
      <c r="D25" s="287" t="s">
        <v>669</v>
      </c>
      <c r="E25" s="288">
        <v>12.95</v>
      </c>
      <c r="F25" s="289">
        <v>1612.08</v>
      </c>
      <c r="G25" s="290">
        <v>4312.3499999999995</v>
      </c>
      <c r="H25" s="291" t="s">
        <v>672</v>
      </c>
      <c r="I25" s="279">
        <v>332000</v>
      </c>
      <c r="J25" s="292">
        <v>332000</v>
      </c>
      <c r="K25" s="292"/>
      <c r="L25" s="292">
        <v>0</v>
      </c>
      <c r="M25" s="292">
        <v>0</v>
      </c>
      <c r="N25" s="293">
        <v>332000</v>
      </c>
      <c r="O25" s="235" t="str">
        <f>VLOOKUP(A25,'[1]Vendor list'!$A$3:$D$409,4,0)</f>
        <v>FCA</v>
      </c>
      <c r="Q25" s="281">
        <v>332000</v>
      </c>
      <c r="R25" s="281">
        <v>0</v>
      </c>
      <c r="S25" s="281">
        <v>0</v>
      </c>
      <c r="T25" s="282">
        <v>0</v>
      </c>
      <c r="U25" s="283">
        <v>5</v>
      </c>
      <c r="V25" s="283">
        <v>5</v>
      </c>
      <c r="W25" s="283">
        <v>5</v>
      </c>
      <c r="X25" s="283" t="s">
        <v>672</v>
      </c>
    </row>
    <row r="26" spans="1:24">
      <c r="A26" s="284" t="s">
        <v>319</v>
      </c>
      <c r="B26" s="285" t="s">
        <v>402</v>
      </c>
      <c r="C26" s="286" t="s">
        <v>668</v>
      </c>
      <c r="D26" s="287" t="s">
        <v>669</v>
      </c>
      <c r="E26" s="288">
        <v>12.67</v>
      </c>
      <c r="F26" s="289">
        <v>5225</v>
      </c>
      <c r="G26" s="290">
        <v>5225</v>
      </c>
      <c r="H26" s="291" t="s">
        <v>674</v>
      </c>
      <c r="I26" s="279">
        <v>376000</v>
      </c>
      <c r="J26" s="292">
        <v>376000</v>
      </c>
      <c r="K26" s="292"/>
      <c r="L26" s="292">
        <v>0</v>
      </c>
      <c r="M26" s="292">
        <v>0</v>
      </c>
      <c r="N26" s="293">
        <v>376000</v>
      </c>
      <c r="O26" s="235" t="str">
        <f>VLOOKUP(A26,'[1]Vendor list'!$A$3:$D$409,4,0)</f>
        <v>FCA</v>
      </c>
      <c r="Q26" s="281">
        <v>376000</v>
      </c>
      <c r="R26" s="281">
        <v>0</v>
      </c>
      <c r="S26" s="281">
        <v>0</v>
      </c>
      <c r="T26" s="282">
        <v>0</v>
      </c>
      <c r="U26" s="283">
        <v>5</v>
      </c>
      <c r="V26" s="283">
        <v>8</v>
      </c>
      <c r="W26" s="283">
        <v>8</v>
      </c>
      <c r="X26" s="283" t="s">
        <v>674</v>
      </c>
    </row>
    <row r="27" spans="1:24" ht="16.5" customHeight="1">
      <c r="A27" s="284" t="s">
        <v>319</v>
      </c>
      <c r="B27" s="294" t="s">
        <v>403</v>
      </c>
      <c r="C27" s="286" t="s">
        <v>668</v>
      </c>
      <c r="D27" s="287" t="s">
        <v>669</v>
      </c>
      <c r="E27" s="288">
        <v>18.850000000000001</v>
      </c>
      <c r="F27" s="289">
        <v>6745</v>
      </c>
      <c r="G27" s="290">
        <v>6745</v>
      </c>
      <c r="H27" s="291" t="s">
        <v>674</v>
      </c>
      <c r="I27" s="279">
        <v>376000</v>
      </c>
      <c r="J27" s="292">
        <v>376000</v>
      </c>
      <c r="K27" s="292"/>
      <c r="L27" s="292">
        <v>0</v>
      </c>
      <c r="M27" s="292">
        <v>0</v>
      </c>
      <c r="N27" s="293">
        <v>376000</v>
      </c>
      <c r="O27" s="235" t="str">
        <f>VLOOKUP(A27,'[1]Vendor list'!$A$3:$D$409,4,0)</f>
        <v>FCA</v>
      </c>
      <c r="Q27" s="281">
        <v>376000</v>
      </c>
      <c r="R27" s="281">
        <v>0</v>
      </c>
      <c r="S27" s="281">
        <v>0</v>
      </c>
      <c r="T27" s="282">
        <v>0</v>
      </c>
      <c r="U27" s="283">
        <v>8</v>
      </c>
      <c r="V27" s="283">
        <v>8</v>
      </c>
      <c r="W27" s="283">
        <v>8</v>
      </c>
      <c r="X27" s="283" t="s">
        <v>674</v>
      </c>
    </row>
    <row r="28" spans="1:24" ht="14.25" customHeight="1">
      <c r="A28" s="284" t="s">
        <v>319</v>
      </c>
      <c r="B28" s="294" t="s">
        <v>404</v>
      </c>
      <c r="C28" s="286" t="s">
        <v>668</v>
      </c>
      <c r="D28" s="287" t="s">
        <v>669</v>
      </c>
      <c r="E28" s="288">
        <v>14.686</v>
      </c>
      <c r="F28" s="289">
        <v>6028</v>
      </c>
      <c r="G28" s="290">
        <v>6028</v>
      </c>
      <c r="H28" s="291" t="s">
        <v>674</v>
      </c>
      <c r="I28" s="279">
        <v>376000</v>
      </c>
      <c r="J28" s="292">
        <v>376000</v>
      </c>
      <c r="K28" s="292"/>
      <c r="L28" s="292">
        <v>0</v>
      </c>
      <c r="M28" s="292">
        <v>0</v>
      </c>
      <c r="N28" s="293">
        <v>376000</v>
      </c>
      <c r="O28" s="235" t="str">
        <f>VLOOKUP(A28,'[1]Vendor list'!$A$3:$D$409,4,0)</f>
        <v>FCA</v>
      </c>
      <c r="Q28" s="281">
        <v>376000</v>
      </c>
      <c r="R28" s="281">
        <v>0</v>
      </c>
      <c r="S28" s="281">
        <v>0</v>
      </c>
      <c r="T28" s="282">
        <v>0</v>
      </c>
      <c r="U28" s="283">
        <v>5</v>
      </c>
      <c r="V28" s="283">
        <v>8</v>
      </c>
      <c r="W28" s="283">
        <v>8</v>
      </c>
      <c r="X28" s="283" t="s">
        <v>674</v>
      </c>
    </row>
    <row r="29" spans="1:24">
      <c r="A29" s="284" t="s">
        <v>319</v>
      </c>
      <c r="B29" s="285" t="s">
        <v>405</v>
      </c>
      <c r="C29" s="286" t="s">
        <v>668</v>
      </c>
      <c r="D29" s="287" t="s">
        <v>669</v>
      </c>
      <c r="E29" s="288">
        <v>8.6300000000000008</v>
      </c>
      <c r="F29" s="289">
        <v>4832</v>
      </c>
      <c r="G29" s="290">
        <v>4832</v>
      </c>
      <c r="H29" s="291" t="s">
        <v>672</v>
      </c>
      <c r="I29" s="295">
        <v>332000</v>
      </c>
      <c r="J29" s="292">
        <v>332000</v>
      </c>
      <c r="K29" s="292"/>
      <c r="L29" s="292">
        <v>0</v>
      </c>
      <c r="M29" s="292">
        <v>0</v>
      </c>
      <c r="N29" s="296">
        <v>332000</v>
      </c>
      <c r="O29" s="235" t="str">
        <f>VLOOKUP(A29,'[1]Vendor list'!$A$3:$D$409,4,0)</f>
        <v>FCA</v>
      </c>
      <c r="Q29" s="281">
        <v>332000</v>
      </c>
      <c r="R29" s="281">
        <v>0</v>
      </c>
      <c r="S29" s="281">
        <v>0</v>
      </c>
      <c r="T29" s="282">
        <v>0</v>
      </c>
      <c r="U29" s="283">
        <v>5</v>
      </c>
      <c r="V29" s="283">
        <v>5</v>
      </c>
      <c r="W29" s="283">
        <v>5</v>
      </c>
      <c r="X29" s="283" t="s">
        <v>672</v>
      </c>
    </row>
    <row r="30" spans="1:24">
      <c r="A30" s="284" t="s">
        <v>319</v>
      </c>
      <c r="B30" s="294" t="s">
        <v>406</v>
      </c>
      <c r="C30" s="286" t="s">
        <v>668</v>
      </c>
      <c r="D30" s="287" t="s">
        <v>669</v>
      </c>
      <c r="E30" s="288">
        <v>21.576000000000001</v>
      </c>
      <c r="F30" s="289">
        <v>14320</v>
      </c>
      <c r="G30" s="290">
        <v>14320</v>
      </c>
      <c r="H30" s="291" t="s">
        <v>671</v>
      </c>
      <c r="I30" s="292">
        <v>724000</v>
      </c>
      <c r="J30" s="297">
        <v>724000</v>
      </c>
      <c r="K30" s="292"/>
      <c r="L30" s="292">
        <v>0</v>
      </c>
      <c r="M30" s="298">
        <v>0</v>
      </c>
      <c r="N30" s="293">
        <v>724000</v>
      </c>
      <c r="O30" s="235" t="str">
        <f>VLOOKUP(A30,'[1]Vendor list'!$A$3:$D$409,4,0)</f>
        <v>FCA</v>
      </c>
      <c r="Q30" s="281">
        <v>0</v>
      </c>
      <c r="R30" s="281">
        <v>724000</v>
      </c>
      <c r="S30" s="281">
        <v>0</v>
      </c>
      <c r="T30" s="282">
        <v>0</v>
      </c>
      <c r="U30" s="283">
        <v>10</v>
      </c>
      <c r="V30" s="283">
        <v>15</v>
      </c>
      <c r="W30" s="283">
        <v>15</v>
      </c>
      <c r="X30" s="283" t="s">
        <v>671</v>
      </c>
    </row>
    <row r="31" spans="1:24">
      <c r="A31" s="284" t="s">
        <v>319</v>
      </c>
      <c r="B31" s="285" t="s">
        <v>407</v>
      </c>
      <c r="C31" s="286" t="s">
        <v>668</v>
      </c>
      <c r="D31" s="287" t="s">
        <v>669</v>
      </c>
      <c r="E31" s="288">
        <v>9.4860000000000007</v>
      </c>
      <c r="F31" s="289">
        <v>3080</v>
      </c>
      <c r="G31" s="290">
        <v>3158.8380000000002</v>
      </c>
      <c r="H31" s="291" t="s">
        <v>672</v>
      </c>
      <c r="I31" s="279">
        <v>332000</v>
      </c>
      <c r="J31" s="292">
        <v>332000</v>
      </c>
      <c r="K31" s="292"/>
      <c r="L31" s="292">
        <v>0</v>
      </c>
      <c r="M31" s="292">
        <v>0</v>
      </c>
      <c r="N31" s="280">
        <v>332000</v>
      </c>
      <c r="O31" s="235" t="str">
        <f>VLOOKUP(A31,'[1]Vendor list'!$A$3:$D$409,4,0)</f>
        <v>FCA</v>
      </c>
      <c r="Q31" s="281">
        <v>332000</v>
      </c>
      <c r="R31" s="281">
        <v>0</v>
      </c>
      <c r="S31" s="281">
        <v>0</v>
      </c>
      <c r="T31" s="282">
        <v>0</v>
      </c>
      <c r="U31" s="283">
        <v>5</v>
      </c>
      <c r="V31" s="283">
        <v>5</v>
      </c>
      <c r="W31" s="283">
        <v>5</v>
      </c>
      <c r="X31" s="283" t="s">
        <v>672</v>
      </c>
    </row>
    <row r="32" spans="1:24" ht="16.5" customHeight="1">
      <c r="A32" s="284" t="s">
        <v>85</v>
      </c>
      <c r="B32" s="285" t="s">
        <v>408</v>
      </c>
      <c r="C32" s="286" t="s">
        <v>677</v>
      </c>
      <c r="D32" s="287" t="s">
        <v>669</v>
      </c>
      <c r="E32" s="288">
        <v>0.73</v>
      </c>
      <c r="F32" s="289">
        <v>297</v>
      </c>
      <c r="G32" s="290">
        <v>297</v>
      </c>
      <c r="H32" s="291" t="s">
        <v>676</v>
      </c>
      <c r="I32" s="279">
        <v>412000</v>
      </c>
      <c r="J32" s="292">
        <v>412000</v>
      </c>
      <c r="K32" s="292"/>
      <c r="L32" s="292">
        <v>0</v>
      </c>
      <c r="M32" s="292">
        <v>0</v>
      </c>
      <c r="N32" s="293">
        <v>412000</v>
      </c>
      <c r="O32" s="235" t="str">
        <f>VLOOKUP(A32,'[1]Vendor list'!$A$3:$D$409,4,0)</f>
        <v>FCA</v>
      </c>
      <c r="Q32" s="281">
        <v>412000</v>
      </c>
      <c r="R32" s="281">
        <v>0</v>
      </c>
      <c r="S32" s="281">
        <v>0</v>
      </c>
      <c r="T32" s="282">
        <v>0</v>
      </c>
      <c r="U32" s="283">
        <v>1</v>
      </c>
      <c r="V32" s="283">
        <v>1</v>
      </c>
      <c r="W32" s="283">
        <v>1</v>
      </c>
      <c r="X32" s="283" t="s">
        <v>676</v>
      </c>
    </row>
    <row r="33" spans="1:24" ht="16.5" customHeight="1">
      <c r="A33" s="284" t="s">
        <v>90</v>
      </c>
      <c r="B33" s="294">
        <v>62131146</v>
      </c>
      <c r="C33" s="286" t="s">
        <v>678</v>
      </c>
      <c r="D33" s="287" t="s">
        <v>669</v>
      </c>
      <c r="E33" s="288">
        <v>0.64600000000000002</v>
      </c>
      <c r="F33" s="289">
        <v>115</v>
      </c>
      <c r="G33" s="290">
        <v>215.11799999999999</v>
      </c>
      <c r="H33" s="291" t="s">
        <v>676</v>
      </c>
      <c r="I33" s="295">
        <v>265000</v>
      </c>
      <c r="J33" s="292">
        <v>265000</v>
      </c>
      <c r="K33" s="292"/>
      <c r="L33" s="292">
        <v>0</v>
      </c>
      <c r="M33" s="292">
        <v>0</v>
      </c>
      <c r="N33" s="296">
        <v>265000</v>
      </c>
      <c r="O33" s="235" t="str">
        <f>VLOOKUP(A33,'[1]Vendor list'!$A$3:$D$409,4,0)</f>
        <v>FCA</v>
      </c>
      <c r="Q33" s="281">
        <v>265000</v>
      </c>
      <c r="R33" s="281">
        <v>0</v>
      </c>
      <c r="S33" s="281">
        <v>0</v>
      </c>
      <c r="T33" s="282">
        <v>0</v>
      </c>
      <c r="U33" s="283">
        <v>1</v>
      </c>
      <c r="V33" s="283">
        <v>1</v>
      </c>
      <c r="W33" s="283">
        <v>1</v>
      </c>
      <c r="X33" s="283" t="s">
        <v>676</v>
      </c>
    </row>
    <row r="34" spans="1:24">
      <c r="A34" s="284" t="s">
        <v>97</v>
      </c>
      <c r="B34" s="294" t="s">
        <v>409</v>
      </c>
      <c r="C34" s="286" t="s">
        <v>679</v>
      </c>
      <c r="D34" s="287" t="s">
        <v>669</v>
      </c>
      <c r="E34" s="288">
        <v>5.899</v>
      </c>
      <c r="F34" s="289">
        <v>1402.15</v>
      </c>
      <c r="G34" s="290">
        <v>1964.367</v>
      </c>
      <c r="H34" s="291" t="s">
        <v>675</v>
      </c>
      <c r="I34" s="292">
        <v>235000</v>
      </c>
      <c r="J34" s="297">
        <v>235000</v>
      </c>
      <c r="K34" s="292"/>
      <c r="L34" s="292">
        <v>0</v>
      </c>
      <c r="M34" s="298">
        <v>0</v>
      </c>
      <c r="N34" s="293">
        <v>235000</v>
      </c>
      <c r="O34" s="235" t="str">
        <f>VLOOKUP(A34,'[1]Vendor list'!$A$3:$D$409,4,0)</f>
        <v>FCA</v>
      </c>
      <c r="Q34" s="281">
        <v>0</v>
      </c>
      <c r="R34" s="281">
        <v>235000</v>
      </c>
      <c r="S34" s="281">
        <v>0</v>
      </c>
      <c r="T34" s="282">
        <v>0</v>
      </c>
      <c r="U34" s="283">
        <v>2.5</v>
      </c>
      <c r="V34" s="283">
        <v>2.5</v>
      </c>
      <c r="W34" s="283">
        <v>2.5</v>
      </c>
      <c r="X34" s="283" t="s">
        <v>675</v>
      </c>
    </row>
    <row r="35" spans="1:24" ht="16.5" customHeight="1">
      <c r="A35" s="284" t="s">
        <v>319</v>
      </c>
      <c r="B35" s="285" t="s">
        <v>410</v>
      </c>
      <c r="C35" s="286" t="s">
        <v>668</v>
      </c>
      <c r="D35" s="287" t="s">
        <v>669</v>
      </c>
      <c r="E35" s="288">
        <v>37.031999999999996</v>
      </c>
      <c r="F35" s="289">
        <v>5640.54</v>
      </c>
      <c r="G35" s="290">
        <v>12331.655999999999</v>
      </c>
      <c r="H35" s="291" t="s">
        <v>680</v>
      </c>
      <c r="I35" s="279">
        <v>683100</v>
      </c>
      <c r="J35" s="292">
        <v>683100</v>
      </c>
      <c r="K35" s="292"/>
      <c r="L35" s="292">
        <v>0</v>
      </c>
      <c r="M35" s="292">
        <v>0</v>
      </c>
      <c r="N35" s="280">
        <v>683100</v>
      </c>
      <c r="O35" s="235" t="str">
        <f>VLOOKUP(A35,'[1]Vendor list'!$A$3:$D$409,4,0)</f>
        <v>FCA</v>
      </c>
      <c r="Q35" s="281">
        <v>0</v>
      </c>
      <c r="R35" s="281">
        <v>683100</v>
      </c>
      <c r="S35" s="281">
        <v>0</v>
      </c>
      <c r="T35" s="282">
        <v>0</v>
      </c>
      <c r="U35" s="283">
        <v>12.5</v>
      </c>
      <c r="V35" s="283">
        <v>12.5</v>
      </c>
      <c r="W35" s="283">
        <v>12.5</v>
      </c>
      <c r="X35" s="283" t="s">
        <v>680</v>
      </c>
    </row>
    <row r="36" spans="1:24" ht="16.5" customHeight="1">
      <c r="A36" s="284" t="s">
        <v>319</v>
      </c>
      <c r="B36" s="285" t="s">
        <v>411</v>
      </c>
      <c r="C36" s="286" t="s">
        <v>668</v>
      </c>
      <c r="D36" s="287" t="s">
        <v>669</v>
      </c>
      <c r="E36" s="288">
        <v>30.45</v>
      </c>
      <c r="F36" s="289">
        <v>5203</v>
      </c>
      <c r="G36" s="290">
        <v>10139.85</v>
      </c>
      <c r="H36" s="291" t="s">
        <v>673</v>
      </c>
      <c r="I36" s="279">
        <v>392000</v>
      </c>
      <c r="J36" s="292">
        <v>392000</v>
      </c>
      <c r="K36" s="292"/>
      <c r="L36" s="292">
        <v>0</v>
      </c>
      <c r="M36" s="292">
        <v>0</v>
      </c>
      <c r="N36" s="293">
        <v>392000</v>
      </c>
      <c r="O36" s="235" t="str">
        <f>VLOOKUP(A36,'[1]Vendor list'!$A$3:$D$409,4,0)</f>
        <v>FCA</v>
      </c>
      <c r="Q36" s="281">
        <v>392000</v>
      </c>
      <c r="R36" s="281">
        <v>0</v>
      </c>
      <c r="S36" s="281">
        <v>0</v>
      </c>
      <c r="T36" s="282">
        <v>0</v>
      </c>
      <c r="U36" s="283">
        <v>10</v>
      </c>
      <c r="V36" s="283">
        <v>10</v>
      </c>
      <c r="W36" s="283">
        <v>10</v>
      </c>
      <c r="X36" s="283" t="s">
        <v>673</v>
      </c>
    </row>
    <row r="37" spans="1:24">
      <c r="A37" s="284" t="s">
        <v>319</v>
      </c>
      <c r="B37" s="285" t="s">
        <v>412</v>
      </c>
      <c r="C37" s="286" t="s">
        <v>668</v>
      </c>
      <c r="D37" s="287" t="s">
        <v>669</v>
      </c>
      <c r="E37" s="288">
        <v>66.418000000000006</v>
      </c>
      <c r="F37" s="289">
        <v>11352</v>
      </c>
      <c r="G37" s="290">
        <v>22117.194000000003</v>
      </c>
      <c r="H37" s="291" t="s">
        <v>681</v>
      </c>
      <c r="I37" s="279">
        <v>1016000</v>
      </c>
      <c r="J37" s="292">
        <v>1016000</v>
      </c>
      <c r="K37" s="292"/>
      <c r="L37" s="292">
        <v>0</v>
      </c>
      <c r="M37" s="292">
        <v>0</v>
      </c>
      <c r="N37" s="293">
        <v>1016000</v>
      </c>
      <c r="O37" s="235" t="str">
        <f>VLOOKUP(A37,'[1]Vendor list'!$A$3:$D$409,4,0)</f>
        <v>FCA</v>
      </c>
      <c r="Q37" s="281">
        <v>0</v>
      </c>
      <c r="R37" s="281">
        <v>0</v>
      </c>
      <c r="S37" s="281">
        <v>0</v>
      </c>
      <c r="T37" s="282">
        <v>1016000</v>
      </c>
      <c r="U37" s="283">
        <v>21</v>
      </c>
      <c r="V37" s="283">
        <v>20</v>
      </c>
      <c r="W37" s="283">
        <v>21</v>
      </c>
      <c r="X37" s="283" t="s">
        <v>681</v>
      </c>
    </row>
    <row r="38" spans="1:24">
      <c r="A38" s="284" t="s">
        <v>319</v>
      </c>
      <c r="B38" s="285" t="s">
        <v>413</v>
      </c>
      <c r="C38" s="286" t="s">
        <v>668</v>
      </c>
      <c r="D38" s="287" t="s">
        <v>669</v>
      </c>
      <c r="E38" s="288">
        <v>26.3</v>
      </c>
      <c r="F38" s="289">
        <v>4493.5</v>
      </c>
      <c r="G38" s="290">
        <v>8757.9</v>
      </c>
      <c r="H38" s="291" t="s">
        <v>673</v>
      </c>
      <c r="I38" s="279">
        <v>392000</v>
      </c>
      <c r="J38" s="292">
        <v>392000</v>
      </c>
      <c r="K38" s="292"/>
      <c r="L38" s="292">
        <v>0</v>
      </c>
      <c r="M38" s="292">
        <v>0</v>
      </c>
      <c r="N38" s="293">
        <v>392000</v>
      </c>
      <c r="O38" s="235" t="str">
        <f>VLOOKUP(A38,'[1]Vendor list'!$A$3:$D$409,4,0)</f>
        <v>FCA</v>
      </c>
      <c r="Q38" s="281">
        <v>392000</v>
      </c>
      <c r="R38" s="281">
        <v>0</v>
      </c>
      <c r="S38" s="281">
        <v>0</v>
      </c>
      <c r="T38" s="282">
        <v>0</v>
      </c>
      <c r="U38" s="283">
        <v>10</v>
      </c>
      <c r="V38" s="283">
        <v>10</v>
      </c>
      <c r="W38" s="283">
        <v>10</v>
      </c>
      <c r="X38" s="283" t="s">
        <v>673</v>
      </c>
    </row>
    <row r="39" spans="1:24">
      <c r="A39" s="284" t="s">
        <v>85</v>
      </c>
      <c r="B39" s="285" t="s">
        <v>414</v>
      </c>
      <c r="C39" s="286" t="s">
        <v>677</v>
      </c>
      <c r="D39" s="287" t="s">
        <v>669</v>
      </c>
      <c r="E39" s="288">
        <v>24.702000000000002</v>
      </c>
      <c r="F39" s="289">
        <v>18480</v>
      </c>
      <c r="G39" s="290">
        <v>18480</v>
      </c>
      <c r="H39" s="291" t="s">
        <v>682</v>
      </c>
      <c r="I39" s="279">
        <v>1450500</v>
      </c>
      <c r="J39" s="292">
        <v>1450500</v>
      </c>
      <c r="K39" s="292"/>
      <c r="L39" s="292">
        <v>0</v>
      </c>
      <c r="M39" s="292">
        <v>0</v>
      </c>
      <c r="N39" s="293">
        <v>1450500</v>
      </c>
      <c r="O39" s="235" t="str">
        <f>VLOOKUP(A39,'[1]Vendor list'!$A$3:$D$409,4,0)</f>
        <v>FCA</v>
      </c>
      <c r="Q39" s="281">
        <v>0</v>
      </c>
      <c r="R39" s="281">
        <v>1450500</v>
      </c>
      <c r="S39" s="281">
        <v>0</v>
      </c>
      <c r="T39" s="282">
        <v>0</v>
      </c>
      <c r="U39" s="283">
        <v>10</v>
      </c>
      <c r="V39" s="283">
        <v>18</v>
      </c>
      <c r="W39" s="283">
        <v>18</v>
      </c>
      <c r="X39" s="283" t="s">
        <v>682</v>
      </c>
    </row>
    <row r="40" spans="1:24">
      <c r="A40" s="284" t="s">
        <v>85</v>
      </c>
      <c r="B40" s="285" t="s">
        <v>415</v>
      </c>
      <c r="C40" s="286" t="s">
        <v>677</v>
      </c>
      <c r="D40" s="287" t="s">
        <v>669</v>
      </c>
      <c r="E40" s="288">
        <v>18.527000000000001</v>
      </c>
      <c r="F40" s="289">
        <v>13860</v>
      </c>
      <c r="G40" s="290">
        <v>13860</v>
      </c>
      <c r="H40" s="291" t="s">
        <v>671</v>
      </c>
      <c r="I40" s="279">
        <v>1384500</v>
      </c>
      <c r="J40" s="292">
        <v>1384500</v>
      </c>
      <c r="K40" s="292"/>
      <c r="L40" s="292">
        <v>0</v>
      </c>
      <c r="M40" s="292">
        <v>0</v>
      </c>
      <c r="N40" s="293">
        <v>1384500</v>
      </c>
      <c r="O40" s="235" t="str">
        <f>VLOOKUP(A40,'[1]Vendor list'!$A$3:$D$409,4,0)</f>
        <v>FCA</v>
      </c>
      <c r="Q40" s="281">
        <v>0</v>
      </c>
      <c r="R40" s="281">
        <v>1384500</v>
      </c>
      <c r="S40" s="281">
        <v>0</v>
      </c>
      <c r="T40" s="282">
        <v>0</v>
      </c>
      <c r="U40" s="283">
        <v>8</v>
      </c>
      <c r="V40" s="283">
        <v>15</v>
      </c>
      <c r="W40" s="283">
        <v>15</v>
      </c>
      <c r="X40" s="283" t="s">
        <v>671</v>
      </c>
    </row>
    <row r="41" spans="1:24">
      <c r="A41" s="284" t="s">
        <v>85</v>
      </c>
      <c r="B41" s="285" t="s">
        <v>416</v>
      </c>
      <c r="C41" s="286" t="s">
        <v>677</v>
      </c>
      <c r="D41" s="287" t="s">
        <v>669</v>
      </c>
      <c r="E41" s="288">
        <v>2.06</v>
      </c>
      <c r="F41" s="289">
        <v>1540</v>
      </c>
      <c r="G41" s="290">
        <v>1540</v>
      </c>
      <c r="H41" s="291" t="s">
        <v>675</v>
      </c>
      <c r="I41" s="279">
        <v>478000</v>
      </c>
      <c r="J41" s="292">
        <v>478000</v>
      </c>
      <c r="K41" s="292"/>
      <c r="L41" s="292">
        <v>0</v>
      </c>
      <c r="M41" s="292">
        <v>0</v>
      </c>
      <c r="N41" s="293">
        <v>478000</v>
      </c>
      <c r="O41" s="235" t="str">
        <f>VLOOKUP(A41,'[1]Vendor list'!$A$3:$D$409,4,0)</f>
        <v>FCA</v>
      </c>
      <c r="Q41" s="281">
        <v>478000</v>
      </c>
      <c r="R41" s="281">
        <v>0</v>
      </c>
      <c r="S41" s="281">
        <v>0</v>
      </c>
      <c r="T41" s="282">
        <v>0</v>
      </c>
      <c r="U41" s="283">
        <v>1</v>
      </c>
      <c r="V41" s="283">
        <v>2.5</v>
      </c>
      <c r="W41" s="283">
        <v>2.5</v>
      </c>
      <c r="X41" s="283" t="s">
        <v>675</v>
      </c>
    </row>
    <row r="42" spans="1:24" ht="16.5" customHeight="1">
      <c r="A42" s="284" t="s">
        <v>104</v>
      </c>
      <c r="B42" s="285" t="s">
        <v>417</v>
      </c>
      <c r="C42" s="286" t="s">
        <v>683</v>
      </c>
      <c r="D42" s="287" t="s">
        <v>669</v>
      </c>
      <c r="E42" s="288">
        <v>43</v>
      </c>
      <c r="F42" s="289">
        <v>7897.6</v>
      </c>
      <c r="G42" s="290">
        <v>14319</v>
      </c>
      <c r="H42" s="291" t="s">
        <v>671</v>
      </c>
      <c r="I42" s="279">
        <v>992000</v>
      </c>
      <c r="J42" s="292">
        <v>992000</v>
      </c>
      <c r="K42" s="292"/>
      <c r="L42" s="292">
        <v>0</v>
      </c>
      <c r="M42" s="292">
        <v>0</v>
      </c>
      <c r="N42" s="293">
        <v>992000</v>
      </c>
      <c r="O42" s="235" t="str">
        <f>VLOOKUP(A42,'[1]Vendor list'!$A$3:$D$409,4,0)</f>
        <v>FCA</v>
      </c>
      <c r="Q42" s="281">
        <v>0</v>
      </c>
      <c r="R42" s="281">
        <v>992000</v>
      </c>
      <c r="S42" s="281">
        <v>0</v>
      </c>
      <c r="T42" s="282">
        <v>0</v>
      </c>
      <c r="U42" s="283">
        <v>15</v>
      </c>
      <c r="V42" s="283">
        <v>15</v>
      </c>
      <c r="W42" s="283">
        <v>15</v>
      </c>
      <c r="X42" s="283" t="s">
        <v>671</v>
      </c>
    </row>
    <row r="43" spans="1:24" ht="14.25" customHeight="1">
      <c r="A43" s="284" t="s">
        <v>85</v>
      </c>
      <c r="B43" s="285" t="s">
        <v>418</v>
      </c>
      <c r="C43" s="286" t="s">
        <v>677</v>
      </c>
      <c r="D43" s="287" t="s">
        <v>669</v>
      </c>
      <c r="E43" s="288">
        <v>24.702000000000002</v>
      </c>
      <c r="F43" s="289">
        <v>18480</v>
      </c>
      <c r="G43" s="290">
        <v>18480</v>
      </c>
      <c r="H43" s="291" t="s">
        <v>682</v>
      </c>
      <c r="I43" s="279">
        <v>1450500</v>
      </c>
      <c r="J43" s="292">
        <v>1450500</v>
      </c>
      <c r="K43" s="292"/>
      <c r="L43" s="292">
        <v>0</v>
      </c>
      <c r="M43" s="292">
        <v>0</v>
      </c>
      <c r="N43" s="293">
        <v>1450500</v>
      </c>
      <c r="O43" s="235" t="str">
        <f>VLOOKUP(A43,'[1]Vendor list'!$A$3:$D$409,4,0)</f>
        <v>FCA</v>
      </c>
      <c r="Q43" s="281">
        <v>0</v>
      </c>
      <c r="R43" s="281">
        <v>1450500</v>
      </c>
      <c r="S43" s="281">
        <v>0</v>
      </c>
      <c r="T43" s="282">
        <v>0</v>
      </c>
      <c r="U43" s="283">
        <v>10</v>
      </c>
      <c r="V43" s="283">
        <v>18</v>
      </c>
      <c r="W43" s="283">
        <v>18</v>
      </c>
      <c r="X43" s="283" t="s">
        <v>682</v>
      </c>
    </row>
    <row r="44" spans="1:24" ht="14.25" customHeight="1">
      <c r="A44" s="284" t="s">
        <v>323</v>
      </c>
      <c r="B44" s="285" t="s">
        <v>419</v>
      </c>
      <c r="C44" s="286" t="s">
        <v>684</v>
      </c>
      <c r="D44" s="287" t="s">
        <v>669</v>
      </c>
      <c r="E44" s="288">
        <v>26.257000000000005</v>
      </c>
      <c r="F44" s="289">
        <v>3570</v>
      </c>
      <c r="G44" s="290">
        <v>8743.5810000000019</v>
      </c>
      <c r="H44" s="291" t="s">
        <v>673</v>
      </c>
      <c r="I44" s="279">
        <v>370000</v>
      </c>
      <c r="J44" s="292">
        <v>370000</v>
      </c>
      <c r="K44" s="292"/>
      <c r="L44" s="292">
        <v>0</v>
      </c>
      <c r="M44" s="292">
        <v>0</v>
      </c>
      <c r="N44" s="293">
        <v>370000</v>
      </c>
      <c r="O44" s="235" t="str">
        <f>VLOOKUP(A44,'[1]Vendor list'!$A$3:$D$409,4,0)</f>
        <v>FCA</v>
      </c>
      <c r="Q44" s="281">
        <v>0</v>
      </c>
      <c r="R44" s="281">
        <v>370000</v>
      </c>
      <c r="S44" s="281">
        <v>0</v>
      </c>
      <c r="T44" s="282">
        <v>0</v>
      </c>
      <c r="U44" s="283">
        <v>10</v>
      </c>
      <c r="V44" s="283">
        <v>10</v>
      </c>
      <c r="W44" s="283">
        <v>10</v>
      </c>
      <c r="X44" s="283" t="s">
        <v>673</v>
      </c>
    </row>
    <row r="45" spans="1:24" ht="14.25" customHeight="1">
      <c r="A45" s="284" t="s">
        <v>85</v>
      </c>
      <c r="B45" s="285" t="s">
        <v>420</v>
      </c>
      <c r="C45" s="286" t="s">
        <v>677</v>
      </c>
      <c r="D45" s="287" t="s">
        <v>669</v>
      </c>
      <c r="E45" s="288">
        <v>14.41</v>
      </c>
      <c r="F45" s="289">
        <v>10780</v>
      </c>
      <c r="G45" s="290">
        <v>10780</v>
      </c>
      <c r="H45" s="291" t="s">
        <v>673</v>
      </c>
      <c r="I45" s="279">
        <v>752000</v>
      </c>
      <c r="J45" s="292">
        <v>752000</v>
      </c>
      <c r="K45" s="292"/>
      <c r="L45" s="292">
        <v>0</v>
      </c>
      <c r="M45" s="292">
        <v>0</v>
      </c>
      <c r="N45" s="293">
        <v>752000</v>
      </c>
      <c r="O45" s="235" t="str">
        <f>VLOOKUP(A45,'[1]Vendor list'!$A$3:$D$409,4,0)</f>
        <v>FCA</v>
      </c>
      <c r="Q45" s="281">
        <v>752000</v>
      </c>
      <c r="R45" s="281">
        <v>0</v>
      </c>
      <c r="S45" s="281">
        <v>0</v>
      </c>
      <c r="T45" s="282">
        <v>0</v>
      </c>
      <c r="U45" s="283">
        <v>5</v>
      </c>
      <c r="V45" s="283">
        <v>10</v>
      </c>
      <c r="W45" s="283">
        <v>10</v>
      </c>
      <c r="X45" s="283" t="s">
        <v>673</v>
      </c>
    </row>
    <row r="46" spans="1:24" ht="14.25" customHeight="1">
      <c r="A46" s="284" t="s">
        <v>100</v>
      </c>
      <c r="B46" s="294" t="s">
        <v>421</v>
      </c>
      <c r="C46" s="286" t="s">
        <v>685</v>
      </c>
      <c r="D46" s="287" t="s">
        <v>669</v>
      </c>
      <c r="E46" s="288">
        <v>11.7</v>
      </c>
      <c r="F46" s="289">
        <v>4830</v>
      </c>
      <c r="G46" s="290">
        <v>4830</v>
      </c>
      <c r="H46" s="291" t="s">
        <v>672</v>
      </c>
      <c r="I46" s="295">
        <v>593000</v>
      </c>
      <c r="J46" s="292">
        <v>593000</v>
      </c>
      <c r="K46" s="292"/>
      <c r="L46" s="292">
        <v>0</v>
      </c>
      <c r="M46" s="292">
        <v>0</v>
      </c>
      <c r="N46" s="296">
        <v>593000</v>
      </c>
      <c r="O46" s="235" t="str">
        <f>VLOOKUP(A46,'[1]Vendor list'!$A$3:$D$409,4,0)</f>
        <v>FCA</v>
      </c>
      <c r="Q46" s="281">
        <v>593000</v>
      </c>
      <c r="R46" s="281">
        <v>0</v>
      </c>
      <c r="S46" s="281">
        <v>0</v>
      </c>
      <c r="T46" s="282">
        <v>0</v>
      </c>
      <c r="U46" s="283">
        <v>5</v>
      </c>
      <c r="V46" s="283">
        <v>5</v>
      </c>
      <c r="W46" s="283">
        <v>5</v>
      </c>
      <c r="X46" s="283" t="s">
        <v>672</v>
      </c>
    </row>
    <row r="47" spans="1:24" ht="14.25" customHeight="1">
      <c r="A47" s="284" t="s">
        <v>88</v>
      </c>
      <c r="B47" s="285" t="s">
        <v>422</v>
      </c>
      <c r="C47" s="286" t="s">
        <v>686</v>
      </c>
      <c r="D47" s="287" t="s">
        <v>669</v>
      </c>
      <c r="E47" s="288">
        <v>6.09</v>
      </c>
      <c r="F47" s="289">
        <v>1303</v>
      </c>
      <c r="G47" s="290">
        <v>2027.97</v>
      </c>
      <c r="H47" s="291" t="s">
        <v>675</v>
      </c>
      <c r="I47" s="292">
        <v>147000</v>
      </c>
      <c r="J47" s="297">
        <v>147000</v>
      </c>
      <c r="K47" s="292"/>
      <c r="L47" s="292">
        <v>0</v>
      </c>
      <c r="M47" s="298">
        <v>0</v>
      </c>
      <c r="N47" s="293">
        <v>147000</v>
      </c>
      <c r="O47" s="235" t="str">
        <f>VLOOKUP(A47,'[1]Vendor list'!$A$3:$D$409,4,0)</f>
        <v>FCA</v>
      </c>
      <c r="Q47" s="281">
        <v>0</v>
      </c>
      <c r="R47" s="281">
        <v>147000</v>
      </c>
      <c r="S47" s="281">
        <v>0</v>
      </c>
      <c r="T47" s="282">
        <v>0</v>
      </c>
      <c r="U47" s="283">
        <v>2.5</v>
      </c>
      <c r="V47" s="283">
        <v>2.5</v>
      </c>
      <c r="W47" s="283">
        <v>2.5</v>
      </c>
      <c r="X47" s="283" t="s">
        <v>675</v>
      </c>
    </row>
    <row r="48" spans="1:24" ht="16.5" customHeight="1">
      <c r="A48" s="284" t="s">
        <v>88</v>
      </c>
      <c r="B48" s="285" t="s">
        <v>423</v>
      </c>
      <c r="C48" s="286" t="s">
        <v>686</v>
      </c>
      <c r="D48" s="287" t="s">
        <v>669</v>
      </c>
      <c r="E48" s="288">
        <v>6.09</v>
      </c>
      <c r="F48" s="289">
        <v>386</v>
      </c>
      <c r="G48" s="290">
        <v>2027.97</v>
      </c>
      <c r="H48" s="291" t="s">
        <v>675</v>
      </c>
      <c r="I48" s="279">
        <v>147000</v>
      </c>
      <c r="J48" s="292">
        <v>147000</v>
      </c>
      <c r="K48" s="292"/>
      <c r="L48" s="292">
        <v>0</v>
      </c>
      <c r="M48" s="292">
        <v>0</v>
      </c>
      <c r="N48" s="280">
        <v>147000</v>
      </c>
      <c r="O48" s="235" t="str">
        <f>VLOOKUP(A48,'[1]Vendor list'!$A$3:$D$409,4,0)</f>
        <v>FCA</v>
      </c>
      <c r="Q48" s="281">
        <v>0</v>
      </c>
      <c r="R48" s="281">
        <v>147000</v>
      </c>
      <c r="S48" s="281">
        <v>0</v>
      </c>
      <c r="T48" s="282">
        <v>0</v>
      </c>
      <c r="U48" s="283">
        <v>2.5</v>
      </c>
      <c r="V48" s="283">
        <v>2.5</v>
      </c>
      <c r="W48" s="283">
        <v>2.5</v>
      </c>
      <c r="X48" s="283" t="s">
        <v>675</v>
      </c>
    </row>
    <row r="49" spans="1:24" ht="16.5" customHeight="1">
      <c r="A49" s="284" t="s">
        <v>325</v>
      </c>
      <c r="B49" s="285" t="s">
        <v>424</v>
      </c>
      <c r="C49" s="286" t="s">
        <v>687</v>
      </c>
      <c r="D49" s="287" t="s">
        <v>669</v>
      </c>
      <c r="E49" s="288">
        <v>1.24</v>
      </c>
      <c r="F49" s="289">
        <v>1494.4</v>
      </c>
      <c r="G49" s="290">
        <v>1494.4</v>
      </c>
      <c r="H49" s="291" t="s">
        <v>675</v>
      </c>
      <c r="I49" s="279">
        <v>0</v>
      </c>
      <c r="J49" s="292">
        <v>0</v>
      </c>
      <c r="K49" s="292"/>
      <c r="L49" s="292">
        <v>0</v>
      </c>
      <c r="M49" s="292">
        <v>0</v>
      </c>
      <c r="N49" s="293">
        <v>0</v>
      </c>
      <c r="O49" s="235" t="str">
        <f>VLOOKUP(A49,'[1]Vendor list'!$A$3:$D$409,4,0)</f>
        <v>FOB</v>
      </c>
      <c r="Q49" s="281">
        <v>0</v>
      </c>
      <c r="R49" s="281">
        <v>0</v>
      </c>
      <c r="S49" s="281">
        <v>0</v>
      </c>
      <c r="T49" s="282">
        <v>0</v>
      </c>
      <c r="U49" s="283">
        <v>1</v>
      </c>
      <c r="V49" s="283">
        <v>2.5</v>
      </c>
      <c r="W49" s="283">
        <v>2.5</v>
      </c>
      <c r="X49" s="283" t="s">
        <v>675</v>
      </c>
    </row>
    <row r="50" spans="1:24">
      <c r="A50" s="284" t="s">
        <v>325</v>
      </c>
      <c r="B50" s="285" t="s">
        <v>425</v>
      </c>
      <c r="C50" s="286" t="s">
        <v>687</v>
      </c>
      <c r="D50" s="287" t="s">
        <v>669</v>
      </c>
      <c r="E50" s="288">
        <v>0.42</v>
      </c>
      <c r="F50" s="289">
        <v>44</v>
      </c>
      <c r="G50" s="290">
        <v>139.85999999999999</v>
      </c>
      <c r="H50" s="291" t="s">
        <v>676</v>
      </c>
      <c r="I50" s="279">
        <v>0</v>
      </c>
      <c r="J50" s="292">
        <v>0</v>
      </c>
      <c r="K50" s="292"/>
      <c r="L50" s="292">
        <v>0</v>
      </c>
      <c r="M50" s="292">
        <v>0</v>
      </c>
      <c r="N50" s="293">
        <v>0</v>
      </c>
      <c r="O50" s="235" t="str">
        <f>VLOOKUP(A50,'[1]Vendor list'!$A$3:$D$409,4,0)</f>
        <v>FOB</v>
      </c>
      <c r="Q50" s="281">
        <v>0</v>
      </c>
      <c r="R50" s="281">
        <v>0</v>
      </c>
      <c r="S50" s="281">
        <v>0</v>
      </c>
      <c r="T50" s="282">
        <v>0</v>
      </c>
      <c r="U50" s="283">
        <v>1</v>
      </c>
      <c r="V50" s="283">
        <v>1</v>
      </c>
      <c r="W50" s="283">
        <v>1</v>
      </c>
      <c r="X50" s="283" t="s">
        <v>676</v>
      </c>
    </row>
    <row r="51" spans="1:24">
      <c r="A51" s="284" t="s">
        <v>325</v>
      </c>
      <c r="B51" s="294" t="s">
        <v>426</v>
      </c>
      <c r="C51" s="286" t="s">
        <v>687</v>
      </c>
      <c r="D51" s="287" t="s">
        <v>669</v>
      </c>
      <c r="E51" s="288">
        <v>3.7440000000000002</v>
      </c>
      <c r="F51" s="289">
        <v>3209</v>
      </c>
      <c r="G51" s="290">
        <v>3209</v>
      </c>
      <c r="H51" s="291" t="s">
        <v>672</v>
      </c>
      <c r="I51" s="279">
        <v>0</v>
      </c>
      <c r="J51" s="292">
        <v>0</v>
      </c>
      <c r="K51" s="292"/>
      <c r="L51" s="292">
        <v>0</v>
      </c>
      <c r="M51" s="292">
        <v>0</v>
      </c>
      <c r="N51" s="293">
        <v>0</v>
      </c>
      <c r="O51" s="235" t="str">
        <f>VLOOKUP(A51,'[1]Vendor list'!$A$3:$D$409,4,0)</f>
        <v>FOB</v>
      </c>
      <c r="Q51" s="281">
        <v>0</v>
      </c>
      <c r="R51" s="281">
        <v>0</v>
      </c>
      <c r="S51" s="281">
        <v>0</v>
      </c>
      <c r="T51" s="282">
        <v>0</v>
      </c>
      <c r="U51" s="283">
        <v>2.5</v>
      </c>
      <c r="V51" s="283">
        <v>5</v>
      </c>
      <c r="W51" s="283">
        <v>5</v>
      </c>
      <c r="X51" s="283" t="s">
        <v>672</v>
      </c>
    </row>
    <row r="52" spans="1:24">
      <c r="A52" s="284" t="s">
        <v>325</v>
      </c>
      <c r="B52" s="285" t="s">
        <v>427</v>
      </c>
      <c r="C52" s="286" t="s">
        <v>687</v>
      </c>
      <c r="D52" s="287" t="s">
        <v>669</v>
      </c>
      <c r="E52" s="288">
        <v>3.8130000000000002</v>
      </c>
      <c r="F52" s="289">
        <v>2100</v>
      </c>
      <c r="G52" s="290">
        <v>2100</v>
      </c>
      <c r="H52" s="291" t="s">
        <v>675</v>
      </c>
      <c r="I52" s="279">
        <v>0</v>
      </c>
      <c r="J52" s="292">
        <v>0</v>
      </c>
      <c r="K52" s="292"/>
      <c r="L52" s="292">
        <v>0</v>
      </c>
      <c r="M52" s="292">
        <v>0</v>
      </c>
      <c r="N52" s="293">
        <v>0</v>
      </c>
      <c r="O52" s="235" t="str">
        <f>VLOOKUP(A52,'[1]Vendor list'!$A$3:$D$409,4,0)</f>
        <v>FOB</v>
      </c>
      <c r="Q52" s="281">
        <v>0</v>
      </c>
      <c r="R52" s="281">
        <v>0</v>
      </c>
      <c r="S52" s="281">
        <v>0</v>
      </c>
      <c r="T52" s="282">
        <v>0</v>
      </c>
      <c r="U52" s="283">
        <v>2.5</v>
      </c>
      <c r="V52" s="283">
        <v>2.5</v>
      </c>
      <c r="W52" s="283">
        <v>2.5</v>
      </c>
      <c r="X52" s="283" t="s">
        <v>675</v>
      </c>
    </row>
    <row r="53" spans="1:24">
      <c r="A53" s="284" t="s">
        <v>322</v>
      </c>
      <c r="B53" s="285" t="s">
        <v>428</v>
      </c>
      <c r="C53" s="286" t="s">
        <v>688</v>
      </c>
      <c r="D53" s="287" t="s">
        <v>669</v>
      </c>
      <c r="E53" s="288">
        <v>2.6619999999999999</v>
      </c>
      <c r="F53" s="289">
        <v>1358</v>
      </c>
      <c r="G53" s="290">
        <v>1358</v>
      </c>
      <c r="H53" s="291" t="s">
        <v>675</v>
      </c>
      <c r="I53" s="279">
        <v>392000</v>
      </c>
      <c r="J53" s="292">
        <v>392000</v>
      </c>
      <c r="K53" s="292"/>
      <c r="L53" s="292">
        <v>0</v>
      </c>
      <c r="M53" s="292">
        <v>0</v>
      </c>
      <c r="N53" s="293">
        <v>392000</v>
      </c>
      <c r="O53" s="235" t="str">
        <f>VLOOKUP(A53,'[1]Vendor list'!$A$3:$D$409,4,0)</f>
        <v>FCA</v>
      </c>
      <c r="Q53" s="281">
        <v>0</v>
      </c>
      <c r="R53" s="281">
        <v>392000</v>
      </c>
      <c r="S53" s="281">
        <v>0</v>
      </c>
      <c r="T53" s="282">
        <v>0</v>
      </c>
      <c r="U53" s="283">
        <v>1</v>
      </c>
      <c r="V53" s="283">
        <v>2.5</v>
      </c>
      <c r="W53" s="283">
        <v>2.5</v>
      </c>
      <c r="X53" s="283" t="s">
        <v>675</v>
      </c>
    </row>
    <row r="54" spans="1:24">
      <c r="A54" s="284" t="s">
        <v>327</v>
      </c>
      <c r="B54" s="285" t="s">
        <v>429</v>
      </c>
      <c r="C54" s="286" t="s">
        <v>689</v>
      </c>
      <c r="D54" s="287" t="s">
        <v>669</v>
      </c>
      <c r="E54" s="288">
        <v>0.72</v>
      </c>
      <c r="F54" s="289">
        <v>908</v>
      </c>
      <c r="G54" s="290">
        <v>908</v>
      </c>
      <c r="H54" s="291" t="s">
        <v>676</v>
      </c>
      <c r="I54" s="279">
        <v>288000</v>
      </c>
      <c r="J54" s="292">
        <v>288000</v>
      </c>
      <c r="K54" s="292"/>
      <c r="L54" s="292">
        <v>0</v>
      </c>
      <c r="M54" s="292">
        <v>0</v>
      </c>
      <c r="N54" s="293">
        <v>288000</v>
      </c>
      <c r="O54" s="235" t="str">
        <f>VLOOKUP(A54,'[1]Vendor list'!$A$3:$D$409,4,0)</f>
        <v>FCA</v>
      </c>
      <c r="Q54" s="281">
        <v>288000</v>
      </c>
      <c r="R54" s="281">
        <v>0</v>
      </c>
      <c r="S54" s="281">
        <v>0</v>
      </c>
      <c r="T54" s="282">
        <v>0</v>
      </c>
      <c r="U54" s="283">
        <v>1</v>
      </c>
      <c r="V54" s="283">
        <v>1</v>
      </c>
      <c r="W54" s="283">
        <v>1</v>
      </c>
      <c r="X54" s="283" t="s">
        <v>676</v>
      </c>
    </row>
    <row r="55" spans="1:24">
      <c r="A55" s="284" t="s">
        <v>370</v>
      </c>
      <c r="B55" s="285" t="s">
        <v>430</v>
      </c>
      <c r="C55" s="286">
        <v>0</v>
      </c>
      <c r="D55" s="287" t="s">
        <v>669</v>
      </c>
      <c r="E55" s="288">
        <v>0.57999999999999996</v>
      </c>
      <c r="F55" s="289">
        <v>192.8</v>
      </c>
      <c r="G55" s="290">
        <v>193.14</v>
      </c>
      <c r="H55" s="291" t="s">
        <v>676</v>
      </c>
      <c r="I55" s="279">
        <v>0</v>
      </c>
      <c r="J55" s="292">
        <v>0</v>
      </c>
      <c r="K55" s="292"/>
      <c r="L55" s="292">
        <v>0</v>
      </c>
      <c r="M55" s="292">
        <v>0</v>
      </c>
      <c r="N55" s="293">
        <v>0</v>
      </c>
      <c r="O55" s="235" t="str">
        <f>VLOOKUP(A55,'[1]Vendor list'!$A$3:$D$409,4,0)</f>
        <v>FOB</v>
      </c>
      <c r="Q55" s="281">
        <v>0</v>
      </c>
      <c r="R55" s="281">
        <v>0</v>
      </c>
      <c r="S55" s="281">
        <v>0</v>
      </c>
      <c r="T55" s="282">
        <v>0</v>
      </c>
      <c r="U55" s="283">
        <v>1</v>
      </c>
      <c r="V55" s="283">
        <v>1</v>
      </c>
      <c r="W55" s="283">
        <v>1</v>
      </c>
      <c r="X55" s="283" t="s">
        <v>676</v>
      </c>
    </row>
    <row r="56" spans="1:24">
      <c r="A56" s="284" t="s">
        <v>371</v>
      </c>
      <c r="B56" s="294" t="s">
        <v>431</v>
      </c>
      <c r="C56" s="286">
        <v>0</v>
      </c>
      <c r="D56" s="287" t="s">
        <v>669</v>
      </c>
      <c r="E56" s="288">
        <v>0.55000000000000004</v>
      </c>
      <c r="F56" s="289">
        <v>105.5</v>
      </c>
      <c r="G56" s="290">
        <v>183.15</v>
      </c>
      <c r="H56" s="291" t="s">
        <v>676</v>
      </c>
      <c r="I56" s="279">
        <v>0</v>
      </c>
      <c r="J56" s="292">
        <v>0</v>
      </c>
      <c r="K56" s="292"/>
      <c r="L56" s="292">
        <v>0</v>
      </c>
      <c r="M56" s="292">
        <v>0</v>
      </c>
      <c r="N56" s="293">
        <v>0</v>
      </c>
      <c r="O56" s="235" t="str">
        <f>VLOOKUP(A56,'[1]Vendor list'!$A$3:$D$409,4,0)</f>
        <v>FOB</v>
      </c>
      <c r="Q56" s="281">
        <v>0</v>
      </c>
      <c r="R56" s="281">
        <v>0</v>
      </c>
      <c r="S56" s="281">
        <v>0</v>
      </c>
      <c r="T56" s="282">
        <v>0</v>
      </c>
      <c r="U56" s="283">
        <v>1</v>
      </c>
      <c r="V56" s="283">
        <v>1</v>
      </c>
      <c r="W56" s="283">
        <v>1</v>
      </c>
      <c r="X56" s="283" t="s">
        <v>676</v>
      </c>
    </row>
    <row r="57" spans="1:24">
      <c r="A57" s="284" t="s">
        <v>372</v>
      </c>
      <c r="B57" s="294" t="s">
        <v>432</v>
      </c>
      <c r="C57" s="286">
        <v>0</v>
      </c>
      <c r="D57" s="287" t="s">
        <v>669</v>
      </c>
      <c r="E57" s="288">
        <v>1.32</v>
      </c>
      <c r="F57" s="289">
        <v>158</v>
      </c>
      <c r="G57" s="290">
        <v>439.56</v>
      </c>
      <c r="H57" s="291" t="s">
        <v>676</v>
      </c>
      <c r="I57" s="279">
        <v>0</v>
      </c>
      <c r="J57" s="292">
        <v>0</v>
      </c>
      <c r="K57" s="292"/>
      <c r="L57" s="292">
        <v>0</v>
      </c>
      <c r="M57" s="292">
        <v>0</v>
      </c>
      <c r="N57" s="293">
        <v>0</v>
      </c>
      <c r="O57" s="235" t="str">
        <f>VLOOKUP(A57,'[1]Vendor list'!$A$3:$D$409,4,0)</f>
        <v>FOB</v>
      </c>
      <c r="Q57" s="281">
        <v>0</v>
      </c>
      <c r="R57" s="281">
        <v>0</v>
      </c>
      <c r="S57" s="281">
        <v>0</v>
      </c>
      <c r="T57" s="282">
        <v>0</v>
      </c>
      <c r="U57" s="283">
        <v>1</v>
      </c>
      <c r="V57" s="283">
        <v>1</v>
      </c>
      <c r="W57" s="283">
        <v>1</v>
      </c>
      <c r="X57" s="283" t="s">
        <v>676</v>
      </c>
    </row>
    <row r="58" spans="1:24">
      <c r="A58" s="284" t="s">
        <v>325</v>
      </c>
      <c r="B58" s="294" t="s">
        <v>433</v>
      </c>
      <c r="C58" s="286" t="s">
        <v>687</v>
      </c>
      <c r="D58" s="287" t="s">
        <v>669</v>
      </c>
      <c r="E58" s="288">
        <v>14.672000000000001</v>
      </c>
      <c r="F58" s="289">
        <v>17376</v>
      </c>
      <c r="G58" s="290">
        <v>17376</v>
      </c>
      <c r="H58" s="291" t="s">
        <v>682</v>
      </c>
      <c r="I58" s="279">
        <v>0</v>
      </c>
      <c r="J58" s="292">
        <v>0</v>
      </c>
      <c r="K58" s="292"/>
      <c r="L58" s="292">
        <v>0</v>
      </c>
      <c r="M58" s="292">
        <v>0</v>
      </c>
      <c r="N58" s="293">
        <v>0</v>
      </c>
      <c r="O58" s="235" t="str">
        <f>VLOOKUP(A58,'[1]Vendor list'!$A$3:$D$409,4,0)</f>
        <v>FOB</v>
      </c>
      <c r="Q58" s="281">
        <v>0</v>
      </c>
      <c r="R58" s="281">
        <v>0</v>
      </c>
      <c r="S58" s="281">
        <v>0</v>
      </c>
      <c r="T58" s="282">
        <v>0</v>
      </c>
      <c r="U58" s="283">
        <v>5</v>
      </c>
      <c r="V58" s="283">
        <v>18</v>
      </c>
      <c r="W58" s="283">
        <v>18</v>
      </c>
      <c r="X58" s="283" t="s">
        <v>682</v>
      </c>
    </row>
    <row r="59" spans="1:24">
      <c r="A59" s="284" t="s">
        <v>325</v>
      </c>
      <c r="B59" s="294" t="s">
        <v>434</v>
      </c>
      <c r="C59" s="286" t="s">
        <v>687</v>
      </c>
      <c r="D59" s="287" t="s">
        <v>669</v>
      </c>
      <c r="E59" s="288">
        <v>0.44600000000000001</v>
      </c>
      <c r="F59" s="289">
        <v>575</v>
      </c>
      <c r="G59" s="290">
        <v>575</v>
      </c>
      <c r="H59" s="291" t="s">
        <v>676</v>
      </c>
      <c r="I59" s="279">
        <v>0</v>
      </c>
      <c r="J59" s="292">
        <v>0</v>
      </c>
      <c r="K59" s="292"/>
      <c r="L59" s="292">
        <v>0</v>
      </c>
      <c r="M59" s="292">
        <v>0</v>
      </c>
      <c r="N59" s="293">
        <v>0</v>
      </c>
      <c r="O59" s="235" t="str">
        <f>VLOOKUP(A59,'[1]Vendor list'!$A$3:$D$409,4,0)</f>
        <v>FOB</v>
      </c>
      <c r="Q59" s="281">
        <v>0</v>
      </c>
      <c r="R59" s="281">
        <v>0</v>
      </c>
      <c r="S59" s="281">
        <v>0</v>
      </c>
      <c r="T59" s="282">
        <v>0</v>
      </c>
      <c r="U59" s="283">
        <v>1</v>
      </c>
      <c r="V59" s="283">
        <v>1</v>
      </c>
      <c r="W59" s="283">
        <v>1</v>
      </c>
      <c r="X59" s="283" t="s">
        <v>676</v>
      </c>
    </row>
    <row r="60" spans="1:24">
      <c r="A60" s="284" t="s">
        <v>325</v>
      </c>
      <c r="B60" s="285" t="s">
        <v>435</v>
      </c>
      <c r="C60" s="286" t="s">
        <v>687</v>
      </c>
      <c r="D60" s="287" t="s">
        <v>669</v>
      </c>
      <c r="E60" s="288">
        <v>0.66500000000000004</v>
      </c>
      <c r="F60" s="289">
        <v>308</v>
      </c>
      <c r="G60" s="290">
        <v>308</v>
      </c>
      <c r="H60" s="291" t="s">
        <v>676</v>
      </c>
      <c r="I60" s="279">
        <v>0</v>
      </c>
      <c r="J60" s="292">
        <v>0</v>
      </c>
      <c r="K60" s="292"/>
      <c r="L60" s="292">
        <v>0</v>
      </c>
      <c r="M60" s="292">
        <v>0</v>
      </c>
      <c r="N60" s="293">
        <v>0</v>
      </c>
      <c r="O60" s="235" t="str">
        <f>VLOOKUP(A60,'[1]Vendor list'!$A$3:$D$409,4,0)</f>
        <v>FOB</v>
      </c>
      <c r="Q60" s="281">
        <v>0</v>
      </c>
      <c r="R60" s="281">
        <v>0</v>
      </c>
      <c r="S60" s="281">
        <v>0</v>
      </c>
      <c r="T60" s="282">
        <v>0</v>
      </c>
      <c r="U60" s="283">
        <v>1</v>
      </c>
      <c r="V60" s="283">
        <v>1</v>
      </c>
      <c r="W60" s="283">
        <v>1</v>
      </c>
      <c r="X60" s="283" t="s">
        <v>676</v>
      </c>
    </row>
    <row r="61" spans="1:24">
      <c r="A61" s="284" t="s">
        <v>325</v>
      </c>
      <c r="B61" s="294" t="s">
        <v>436</v>
      </c>
      <c r="C61" s="286" t="s">
        <v>687</v>
      </c>
      <c r="D61" s="287" t="s">
        <v>669</v>
      </c>
      <c r="E61" s="288">
        <v>1.41</v>
      </c>
      <c r="F61" s="289">
        <v>1373</v>
      </c>
      <c r="G61" s="290">
        <v>1373</v>
      </c>
      <c r="H61" s="291" t="s">
        <v>675</v>
      </c>
      <c r="I61" s="279">
        <v>0</v>
      </c>
      <c r="J61" s="292">
        <v>0</v>
      </c>
      <c r="K61" s="292"/>
      <c r="L61" s="292">
        <v>0</v>
      </c>
      <c r="M61" s="292">
        <v>0</v>
      </c>
      <c r="N61" s="293">
        <v>0</v>
      </c>
      <c r="O61" s="235" t="str">
        <f>VLOOKUP(A61,'[1]Vendor list'!$A$3:$D$409,4,0)</f>
        <v>FOB</v>
      </c>
      <c r="Q61" s="281">
        <v>0</v>
      </c>
      <c r="R61" s="281">
        <v>0</v>
      </c>
      <c r="S61" s="281">
        <v>0</v>
      </c>
      <c r="T61" s="282">
        <v>0</v>
      </c>
      <c r="U61" s="283">
        <v>1</v>
      </c>
      <c r="V61" s="283">
        <v>2.5</v>
      </c>
      <c r="W61" s="283">
        <v>2.5</v>
      </c>
      <c r="X61" s="283" t="s">
        <v>675</v>
      </c>
    </row>
    <row r="62" spans="1:24">
      <c r="A62" s="284" t="s">
        <v>325</v>
      </c>
      <c r="B62" s="294" t="s">
        <v>437</v>
      </c>
      <c r="C62" s="286" t="s">
        <v>687</v>
      </c>
      <c r="D62" s="287" t="s">
        <v>669</v>
      </c>
      <c r="E62" s="288">
        <v>0.96799999999999997</v>
      </c>
      <c r="F62" s="289">
        <v>189</v>
      </c>
      <c r="G62" s="290">
        <v>322.34399999999999</v>
      </c>
      <c r="H62" s="291" t="s">
        <v>676</v>
      </c>
      <c r="I62" s="279">
        <v>0</v>
      </c>
      <c r="J62" s="292">
        <v>0</v>
      </c>
      <c r="K62" s="292"/>
      <c r="L62" s="292">
        <v>0</v>
      </c>
      <c r="M62" s="292">
        <v>0</v>
      </c>
      <c r="N62" s="293">
        <v>0</v>
      </c>
      <c r="O62" s="235" t="str">
        <f>VLOOKUP(A62,'[1]Vendor list'!$A$3:$D$409,4,0)</f>
        <v>FOB</v>
      </c>
      <c r="Q62" s="281">
        <v>0</v>
      </c>
      <c r="R62" s="281">
        <v>0</v>
      </c>
      <c r="S62" s="281">
        <v>0</v>
      </c>
      <c r="T62" s="282">
        <v>0</v>
      </c>
      <c r="U62" s="283">
        <v>1</v>
      </c>
      <c r="V62" s="283">
        <v>1</v>
      </c>
      <c r="W62" s="283">
        <v>1</v>
      </c>
      <c r="X62" s="283" t="s">
        <v>676</v>
      </c>
    </row>
    <row r="63" spans="1:24">
      <c r="A63" s="284" t="s">
        <v>85</v>
      </c>
      <c r="B63" s="285" t="s">
        <v>438</v>
      </c>
      <c r="C63" s="286" t="s">
        <v>677</v>
      </c>
      <c r="D63" s="287" t="s">
        <v>669</v>
      </c>
      <c r="E63" s="288">
        <v>23.24</v>
      </c>
      <c r="F63" s="289">
        <v>10471</v>
      </c>
      <c r="G63" s="290">
        <v>10471</v>
      </c>
      <c r="H63" s="291" t="s">
        <v>673</v>
      </c>
      <c r="I63" s="279">
        <v>752000</v>
      </c>
      <c r="J63" s="292">
        <v>752000</v>
      </c>
      <c r="K63" s="292"/>
      <c r="L63" s="292">
        <v>0</v>
      </c>
      <c r="M63" s="292">
        <v>0</v>
      </c>
      <c r="N63" s="293">
        <v>752000</v>
      </c>
      <c r="O63" s="235" t="str">
        <f>VLOOKUP(A63,'[1]Vendor list'!$A$3:$D$409,4,0)</f>
        <v>FCA</v>
      </c>
      <c r="Q63" s="281">
        <v>752000</v>
      </c>
      <c r="R63" s="281">
        <v>0</v>
      </c>
      <c r="S63" s="281">
        <v>0</v>
      </c>
      <c r="T63" s="282">
        <v>0</v>
      </c>
      <c r="U63" s="283">
        <v>10</v>
      </c>
      <c r="V63" s="283">
        <v>10</v>
      </c>
      <c r="W63" s="283">
        <v>10</v>
      </c>
      <c r="X63" s="283" t="s">
        <v>673</v>
      </c>
    </row>
    <row r="64" spans="1:24">
      <c r="A64" s="284" t="s">
        <v>94</v>
      </c>
      <c r="B64" s="294" t="s">
        <v>439</v>
      </c>
      <c r="C64" s="286" t="s">
        <v>689</v>
      </c>
      <c r="D64" s="287" t="s">
        <v>669</v>
      </c>
      <c r="E64" s="288">
        <v>41.249999999999993</v>
      </c>
      <c r="F64" s="289">
        <v>8208</v>
      </c>
      <c r="G64" s="290">
        <v>13736.249999999998</v>
      </c>
      <c r="H64" s="291" t="s">
        <v>671</v>
      </c>
      <c r="I64" s="279">
        <v>1101000</v>
      </c>
      <c r="J64" s="292">
        <v>1101000</v>
      </c>
      <c r="K64" s="292"/>
      <c r="L64" s="292">
        <v>0</v>
      </c>
      <c r="M64" s="292">
        <v>0</v>
      </c>
      <c r="N64" s="293">
        <v>1101000</v>
      </c>
      <c r="O64" s="235" t="str">
        <f>VLOOKUP(A64,'[1]Vendor list'!$A$3:$D$409,4,0)</f>
        <v>FCA</v>
      </c>
      <c r="Q64" s="281">
        <v>0</v>
      </c>
      <c r="R64" s="281">
        <v>1101000</v>
      </c>
      <c r="S64" s="281">
        <v>0</v>
      </c>
      <c r="T64" s="282">
        <v>0</v>
      </c>
      <c r="U64" s="283">
        <v>15</v>
      </c>
      <c r="V64" s="283">
        <v>15</v>
      </c>
      <c r="W64" s="283">
        <v>15</v>
      </c>
      <c r="X64" s="283" t="s">
        <v>671</v>
      </c>
    </row>
    <row r="65" spans="1:24">
      <c r="A65" s="284" t="s">
        <v>85</v>
      </c>
      <c r="B65" s="294" t="s">
        <v>440</v>
      </c>
      <c r="C65" s="286" t="s">
        <v>677</v>
      </c>
      <c r="D65" s="287" t="s">
        <v>669</v>
      </c>
      <c r="E65" s="288">
        <v>17.940000000000001</v>
      </c>
      <c r="F65" s="289">
        <v>7704</v>
      </c>
      <c r="G65" s="290">
        <v>7704</v>
      </c>
      <c r="H65" s="291" t="s">
        <v>674</v>
      </c>
      <c r="I65" s="279">
        <v>698500</v>
      </c>
      <c r="J65" s="292">
        <v>698500</v>
      </c>
      <c r="K65" s="292"/>
      <c r="L65" s="292">
        <v>0</v>
      </c>
      <c r="M65" s="292">
        <v>0</v>
      </c>
      <c r="N65" s="293">
        <v>698500</v>
      </c>
      <c r="O65" s="235" t="str">
        <f>VLOOKUP(A65,'[1]Vendor list'!$A$3:$D$409,4,0)</f>
        <v>FCA</v>
      </c>
      <c r="Q65" s="281">
        <v>698500</v>
      </c>
      <c r="R65" s="281">
        <v>0</v>
      </c>
      <c r="S65" s="281">
        <v>0</v>
      </c>
      <c r="T65" s="282">
        <v>0</v>
      </c>
      <c r="U65" s="283">
        <v>8</v>
      </c>
      <c r="V65" s="283">
        <v>8</v>
      </c>
      <c r="W65" s="283">
        <v>8</v>
      </c>
      <c r="X65" s="283" t="s">
        <v>674</v>
      </c>
    </row>
    <row r="66" spans="1:24">
      <c r="A66" s="284" t="s">
        <v>89</v>
      </c>
      <c r="B66" s="285" t="s">
        <v>441</v>
      </c>
      <c r="C66" s="286" t="s">
        <v>690</v>
      </c>
      <c r="D66" s="287" t="s">
        <v>669</v>
      </c>
      <c r="E66" s="288">
        <v>43.67</v>
      </c>
      <c r="F66" s="289">
        <v>6140.16</v>
      </c>
      <c r="G66" s="290">
        <v>14542.11</v>
      </c>
      <c r="H66" s="291" t="s">
        <v>671</v>
      </c>
      <c r="I66" s="279">
        <v>1066000</v>
      </c>
      <c r="J66" s="292">
        <v>1066000</v>
      </c>
      <c r="K66" s="292"/>
      <c r="L66" s="292">
        <v>0</v>
      </c>
      <c r="M66" s="292">
        <v>0</v>
      </c>
      <c r="N66" s="293">
        <v>1066000</v>
      </c>
      <c r="O66" s="235" t="str">
        <f>VLOOKUP(A66,'[1]Vendor list'!$A$3:$D$409,4,0)</f>
        <v>FCA</v>
      </c>
      <c r="Q66" s="281">
        <v>0</v>
      </c>
      <c r="R66" s="281">
        <v>0</v>
      </c>
      <c r="S66" s="281">
        <v>1066000</v>
      </c>
      <c r="T66" s="282">
        <v>0</v>
      </c>
      <c r="U66" s="283">
        <v>15</v>
      </c>
      <c r="V66" s="283">
        <v>15</v>
      </c>
      <c r="W66" s="283">
        <v>15</v>
      </c>
      <c r="X66" s="283" t="s">
        <v>671</v>
      </c>
    </row>
    <row r="67" spans="1:24">
      <c r="A67" s="284" t="s">
        <v>85</v>
      </c>
      <c r="B67" s="285" t="s">
        <v>442</v>
      </c>
      <c r="C67" s="286" t="s">
        <v>677</v>
      </c>
      <c r="D67" s="287" t="s">
        <v>669</v>
      </c>
      <c r="E67" s="288">
        <v>22.425000000000001</v>
      </c>
      <c r="F67" s="289">
        <v>9630</v>
      </c>
      <c r="G67" s="290">
        <v>9630</v>
      </c>
      <c r="H67" s="291" t="s">
        <v>673</v>
      </c>
      <c r="I67" s="279">
        <v>752000</v>
      </c>
      <c r="J67" s="292">
        <v>752000</v>
      </c>
      <c r="K67" s="292"/>
      <c r="L67" s="292">
        <v>0</v>
      </c>
      <c r="M67" s="292">
        <v>0</v>
      </c>
      <c r="N67" s="293">
        <v>752000</v>
      </c>
      <c r="O67" s="235" t="str">
        <f>VLOOKUP(A67,'[1]Vendor list'!$A$3:$D$409,4,0)</f>
        <v>FCA</v>
      </c>
      <c r="Q67" s="281">
        <v>752000</v>
      </c>
      <c r="R67" s="281">
        <v>0</v>
      </c>
      <c r="S67" s="281">
        <v>0</v>
      </c>
      <c r="T67" s="282">
        <v>0</v>
      </c>
      <c r="U67" s="283">
        <v>10</v>
      </c>
      <c r="V67" s="283">
        <v>10</v>
      </c>
      <c r="W67" s="283">
        <v>10</v>
      </c>
      <c r="X67" s="283" t="s">
        <v>673</v>
      </c>
    </row>
    <row r="68" spans="1:24">
      <c r="A68" s="284" t="s">
        <v>222</v>
      </c>
      <c r="B68" s="294" t="s">
        <v>443</v>
      </c>
      <c r="C68" s="286" t="s">
        <v>689</v>
      </c>
      <c r="D68" s="287" t="s">
        <v>669</v>
      </c>
      <c r="E68" s="288">
        <v>13.272</v>
      </c>
      <c r="F68" s="289">
        <v>7963</v>
      </c>
      <c r="G68" s="290">
        <v>7963</v>
      </c>
      <c r="H68" s="291" t="s">
        <v>674</v>
      </c>
      <c r="I68" s="279">
        <v>532000</v>
      </c>
      <c r="J68" s="292">
        <v>532000</v>
      </c>
      <c r="K68" s="292"/>
      <c r="L68" s="292">
        <v>0</v>
      </c>
      <c r="M68" s="292">
        <v>0</v>
      </c>
      <c r="N68" s="293">
        <v>532000</v>
      </c>
      <c r="O68" s="235" t="str">
        <f>VLOOKUP(A68,'[1]Vendor list'!$A$3:$D$409,4,0)</f>
        <v>FCA</v>
      </c>
      <c r="Q68" s="281">
        <v>532000</v>
      </c>
      <c r="R68" s="281">
        <v>0</v>
      </c>
      <c r="S68" s="281">
        <v>0</v>
      </c>
      <c r="T68" s="282">
        <v>0</v>
      </c>
      <c r="U68" s="283">
        <v>5</v>
      </c>
      <c r="V68" s="283">
        <v>8</v>
      </c>
      <c r="W68" s="283">
        <v>8</v>
      </c>
      <c r="X68" s="283" t="s">
        <v>674</v>
      </c>
    </row>
    <row r="69" spans="1:24">
      <c r="A69" s="284" t="s">
        <v>373</v>
      </c>
      <c r="B69" s="285" t="s">
        <v>444</v>
      </c>
      <c r="C69" s="286">
        <v>0</v>
      </c>
      <c r="D69" s="287" t="s">
        <v>669</v>
      </c>
      <c r="E69" s="288">
        <v>5.26</v>
      </c>
      <c r="F69" s="289">
        <v>4988</v>
      </c>
      <c r="G69" s="290">
        <v>4988</v>
      </c>
      <c r="H69" s="291" t="s">
        <v>672</v>
      </c>
      <c r="I69" s="279">
        <v>0</v>
      </c>
      <c r="J69" s="292">
        <v>0</v>
      </c>
      <c r="K69" s="292"/>
      <c r="L69" s="292">
        <v>0</v>
      </c>
      <c r="M69" s="292">
        <v>0</v>
      </c>
      <c r="N69" s="293">
        <v>0</v>
      </c>
      <c r="O69" s="235" t="str">
        <f>VLOOKUP(A69,'[1]Vendor list'!$A$3:$D$409,4,0)</f>
        <v>FOB</v>
      </c>
      <c r="Q69" s="281">
        <v>0</v>
      </c>
      <c r="R69" s="281">
        <v>0</v>
      </c>
      <c r="S69" s="281">
        <v>0</v>
      </c>
      <c r="T69" s="282">
        <v>0</v>
      </c>
      <c r="U69" s="283">
        <v>2.5</v>
      </c>
      <c r="V69" s="283">
        <v>5</v>
      </c>
      <c r="W69" s="283">
        <v>5</v>
      </c>
      <c r="X69" s="283" t="s">
        <v>672</v>
      </c>
    </row>
    <row r="70" spans="1:24">
      <c r="A70" s="284" t="s">
        <v>85</v>
      </c>
      <c r="B70" s="285" t="s">
        <v>445</v>
      </c>
      <c r="C70" s="286" t="s">
        <v>677</v>
      </c>
      <c r="D70" s="287" t="s">
        <v>669</v>
      </c>
      <c r="E70" s="288">
        <v>35.133000000000003</v>
      </c>
      <c r="F70" s="289">
        <v>15087</v>
      </c>
      <c r="G70" s="290">
        <v>15087</v>
      </c>
      <c r="H70" s="291" t="s">
        <v>671</v>
      </c>
      <c r="I70" s="279">
        <v>1384500</v>
      </c>
      <c r="J70" s="292">
        <v>1384500</v>
      </c>
      <c r="K70" s="292"/>
      <c r="L70" s="292">
        <v>0</v>
      </c>
      <c r="M70" s="292">
        <v>0</v>
      </c>
      <c r="N70" s="293">
        <v>1384500</v>
      </c>
      <c r="O70" s="235" t="str">
        <f>VLOOKUP(A70,'[1]Vendor list'!$A$3:$D$409,4,0)</f>
        <v>FCA</v>
      </c>
      <c r="Q70" s="281">
        <v>0</v>
      </c>
      <c r="R70" s="281">
        <v>1384500</v>
      </c>
      <c r="S70" s="281">
        <v>0</v>
      </c>
      <c r="T70" s="282">
        <v>0</v>
      </c>
      <c r="U70" s="283">
        <v>11</v>
      </c>
      <c r="V70" s="283">
        <v>15</v>
      </c>
      <c r="W70" s="283">
        <v>15</v>
      </c>
      <c r="X70" s="283" t="s">
        <v>671</v>
      </c>
    </row>
    <row r="71" spans="1:24">
      <c r="A71" s="284" t="s">
        <v>374</v>
      </c>
      <c r="B71" s="285" t="s">
        <v>446</v>
      </c>
      <c r="C71" s="286" t="s">
        <v>668</v>
      </c>
      <c r="D71" s="287" t="s">
        <v>669</v>
      </c>
      <c r="E71" s="288">
        <v>18.75</v>
      </c>
      <c r="F71" s="289">
        <v>2160</v>
      </c>
      <c r="G71" s="290">
        <v>6243.75</v>
      </c>
      <c r="H71" s="291" t="s">
        <v>674</v>
      </c>
      <c r="I71" s="279">
        <v>376000</v>
      </c>
      <c r="J71" s="292">
        <v>376000</v>
      </c>
      <c r="K71" s="292"/>
      <c r="L71" s="292">
        <v>0</v>
      </c>
      <c r="M71" s="292">
        <v>0</v>
      </c>
      <c r="N71" s="293">
        <v>376000</v>
      </c>
      <c r="O71" s="235" t="str">
        <f>VLOOKUP(A71,'[1]Vendor list'!$A$3:$D$409,4,0)</f>
        <v>FCA</v>
      </c>
      <c r="Q71" s="281">
        <v>376000</v>
      </c>
      <c r="R71" s="281">
        <v>0</v>
      </c>
      <c r="S71" s="281">
        <v>0</v>
      </c>
      <c r="T71" s="282">
        <v>0</v>
      </c>
      <c r="U71" s="283">
        <v>8</v>
      </c>
      <c r="V71" s="283">
        <v>8</v>
      </c>
      <c r="W71" s="283">
        <v>8</v>
      </c>
      <c r="X71" s="283" t="s">
        <v>674</v>
      </c>
    </row>
    <row r="72" spans="1:24">
      <c r="A72" s="284" t="s">
        <v>108</v>
      </c>
      <c r="B72" s="285" t="s">
        <v>447</v>
      </c>
      <c r="C72" s="286" t="s">
        <v>669</v>
      </c>
      <c r="D72" s="287" t="s">
        <v>669</v>
      </c>
      <c r="E72" s="288">
        <v>11.94</v>
      </c>
      <c r="F72" s="289">
        <v>976.8</v>
      </c>
      <c r="G72" s="290">
        <v>3976.02</v>
      </c>
      <c r="H72" s="291" t="s">
        <v>672</v>
      </c>
      <c r="I72" s="279">
        <v>238000</v>
      </c>
      <c r="J72" s="292">
        <v>238000</v>
      </c>
      <c r="K72" s="292"/>
      <c r="L72" s="292">
        <v>0</v>
      </c>
      <c r="M72" s="292">
        <v>0</v>
      </c>
      <c r="N72" s="293">
        <v>238000</v>
      </c>
      <c r="O72" s="235" t="str">
        <f>VLOOKUP(A72,'[1]Vendor list'!$A$3:$D$409,4,0)</f>
        <v>FCA</v>
      </c>
      <c r="Q72" s="281">
        <v>238000</v>
      </c>
      <c r="R72" s="281">
        <v>0</v>
      </c>
      <c r="S72" s="281">
        <v>0</v>
      </c>
      <c r="T72" s="282">
        <v>0</v>
      </c>
      <c r="U72" s="283">
        <v>5</v>
      </c>
      <c r="V72" s="283">
        <v>5</v>
      </c>
      <c r="W72" s="283">
        <v>5</v>
      </c>
      <c r="X72" s="283" t="s">
        <v>672</v>
      </c>
    </row>
    <row r="73" spans="1:24">
      <c r="A73" s="284" t="s">
        <v>85</v>
      </c>
      <c r="B73" s="294" t="s">
        <v>448</v>
      </c>
      <c r="C73" s="286" t="s">
        <v>677</v>
      </c>
      <c r="D73" s="287" t="s">
        <v>669</v>
      </c>
      <c r="E73" s="288">
        <v>14.202999999999999</v>
      </c>
      <c r="F73" s="289">
        <v>6099</v>
      </c>
      <c r="G73" s="290">
        <v>6099</v>
      </c>
      <c r="H73" s="291" t="s">
        <v>674</v>
      </c>
      <c r="I73" s="279">
        <v>698500</v>
      </c>
      <c r="J73" s="292">
        <v>698500</v>
      </c>
      <c r="K73" s="292"/>
      <c r="L73" s="292">
        <v>0</v>
      </c>
      <c r="M73" s="292">
        <v>0</v>
      </c>
      <c r="N73" s="293">
        <v>698500</v>
      </c>
      <c r="O73" s="235" t="str">
        <f>VLOOKUP(A73,'[1]Vendor list'!$A$3:$D$409,4,0)</f>
        <v>FCA</v>
      </c>
      <c r="Q73" s="281">
        <v>698500</v>
      </c>
      <c r="R73" s="281">
        <v>0</v>
      </c>
      <c r="S73" s="281">
        <v>0</v>
      </c>
      <c r="T73" s="282">
        <v>0</v>
      </c>
      <c r="U73" s="283">
        <v>5</v>
      </c>
      <c r="V73" s="283">
        <v>8</v>
      </c>
      <c r="W73" s="283">
        <v>8</v>
      </c>
      <c r="X73" s="283" t="s">
        <v>674</v>
      </c>
    </row>
    <row r="74" spans="1:24">
      <c r="A74" s="284" t="s">
        <v>85</v>
      </c>
      <c r="B74" s="294" t="s">
        <v>449</v>
      </c>
      <c r="C74" s="286" t="s">
        <v>677</v>
      </c>
      <c r="D74" s="287" t="s">
        <v>669</v>
      </c>
      <c r="E74" s="288">
        <v>3.74</v>
      </c>
      <c r="F74" s="289">
        <v>1605</v>
      </c>
      <c r="G74" s="290">
        <v>1605</v>
      </c>
      <c r="H74" s="291" t="s">
        <v>675</v>
      </c>
      <c r="I74" s="279">
        <v>478000</v>
      </c>
      <c r="J74" s="292">
        <v>478000</v>
      </c>
      <c r="K74" s="292"/>
      <c r="L74" s="292">
        <v>0</v>
      </c>
      <c r="M74" s="292">
        <v>0</v>
      </c>
      <c r="N74" s="293">
        <v>478000</v>
      </c>
      <c r="O74" s="235" t="str">
        <f>VLOOKUP(A74,'[1]Vendor list'!$A$3:$D$409,4,0)</f>
        <v>FCA</v>
      </c>
      <c r="Q74" s="281">
        <v>478000</v>
      </c>
      <c r="R74" s="281">
        <v>0</v>
      </c>
      <c r="S74" s="281">
        <v>0</v>
      </c>
      <c r="T74" s="282">
        <v>0</v>
      </c>
      <c r="U74" s="283">
        <v>2.5</v>
      </c>
      <c r="V74" s="283">
        <v>2.5</v>
      </c>
      <c r="W74" s="283">
        <v>2.5</v>
      </c>
      <c r="X74" s="283" t="s">
        <v>675</v>
      </c>
    </row>
    <row r="75" spans="1:24">
      <c r="A75" s="284" t="s">
        <v>95</v>
      </c>
      <c r="B75" s="285" t="s">
        <v>450</v>
      </c>
      <c r="C75" s="286" t="s">
        <v>687</v>
      </c>
      <c r="D75" s="287" t="s">
        <v>669</v>
      </c>
      <c r="E75" s="288">
        <v>6.4909999999999997</v>
      </c>
      <c r="F75" s="289">
        <v>2270.31</v>
      </c>
      <c r="G75" s="290">
        <v>2270.31</v>
      </c>
      <c r="H75" s="291" t="s">
        <v>675</v>
      </c>
      <c r="I75" s="279">
        <v>0</v>
      </c>
      <c r="J75" s="292">
        <v>0</v>
      </c>
      <c r="K75" s="292"/>
      <c r="L75" s="292">
        <v>0</v>
      </c>
      <c r="M75" s="292">
        <v>0</v>
      </c>
      <c r="N75" s="293">
        <v>0</v>
      </c>
      <c r="O75" s="235" t="str">
        <f>VLOOKUP(A75,'[1]Vendor list'!$A$3:$D$409,4,0)</f>
        <v>FOB</v>
      </c>
      <c r="Q75" s="281">
        <v>0</v>
      </c>
      <c r="R75" s="281">
        <v>0</v>
      </c>
      <c r="S75" s="281">
        <v>0</v>
      </c>
      <c r="T75" s="282">
        <v>0</v>
      </c>
      <c r="U75" s="283">
        <v>2.5</v>
      </c>
      <c r="V75" s="283">
        <v>2.5</v>
      </c>
      <c r="W75" s="283">
        <v>2.5</v>
      </c>
      <c r="X75" s="283" t="s">
        <v>675</v>
      </c>
    </row>
    <row r="76" spans="1:24">
      <c r="A76" s="284" t="s">
        <v>258</v>
      </c>
      <c r="B76" s="294" t="s">
        <v>451</v>
      </c>
      <c r="C76" s="286" t="s">
        <v>688</v>
      </c>
      <c r="D76" s="287" t="s">
        <v>669</v>
      </c>
      <c r="E76" s="288">
        <v>7.3869999999999996</v>
      </c>
      <c r="F76" s="289">
        <v>8240.01</v>
      </c>
      <c r="G76" s="290">
        <v>8240.01</v>
      </c>
      <c r="H76" s="291" t="s">
        <v>673</v>
      </c>
      <c r="I76" s="279">
        <v>602000</v>
      </c>
      <c r="J76" s="292">
        <v>602000</v>
      </c>
      <c r="K76" s="292"/>
      <c r="L76" s="292">
        <v>0</v>
      </c>
      <c r="M76" s="292">
        <v>0</v>
      </c>
      <c r="N76" s="293">
        <v>602000</v>
      </c>
      <c r="O76" s="235" t="str">
        <f>VLOOKUP(A76,'[1]Vendor list'!$A$3:$D$409,4,0)</f>
        <v>FCA</v>
      </c>
      <c r="Q76" s="281">
        <v>0</v>
      </c>
      <c r="R76" s="281">
        <v>602000</v>
      </c>
      <c r="S76" s="281">
        <v>0</v>
      </c>
      <c r="T76" s="282">
        <v>0</v>
      </c>
      <c r="U76" s="283">
        <v>5</v>
      </c>
      <c r="V76" s="283">
        <v>10</v>
      </c>
      <c r="W76" s="283">
        <v>10</v>
      </c>
      <c r="X76" s="283" t="s">
        <v>673</v>
      </c>
    </row>
    <row r="77" spans="1:24">
      <c r="A77" s="284" t="s">
        <v>258</v>
      </c>
      <c r="B77" s="294" t="s">
        <v>452</v>
      </c>
      <c r="C77" s="286" t="s">
        <v>688</v>
      </c>
      <c r="D77" s="287" t="s">
        <v>669</v>
      </c>
      <c r="E77" s="288">
        <v>0.94799999999999995</v>
      </c>
      <c r="F77" s="289">
        <v>603.79999999999995</v>
      </c>
      <c r="G77" s="290">
        <v>603.79999999999995</v>
      </c>
      <c r="H77" s="291" t="s">
        <v>676</v>
      </c>
      <c r="I77" s="279">
        <v>289000</v>
      </c>
      <c r="J77" s="292">
        <v>289000</v>
      </c>
      <c r="K77" s="292"/>
      <c r="L77" s="292">
        <v>0</v>
      </c>
      <c r="M77" s="292">
        <v>0</v>
      </c>
      <c r="N77" s="293">
        <v>289000</v>
      </c>
      <c r="O77" s="235" t="str">
        <f>VLOOKUP(A77,'[1]Vendor list'!$A$3:$D$409,4,0)</f>
        <v>FCA</v>
      </c>
      <c r="Q77" s="281">
        <v>0</v>
      </c>
      <c r="R77" s="281">
        <v>289000</v>
      </c>
      <c r="S77" s="281">
        <v>0</v>
      </c>
      <c r="T77" s="282">
        <v>0</v>
      </c>
      <c r="U77" s="283">
        <v>1</v>
      </c>
      <c r="V77" s="283">
        <v>1</v>
      </c>
      <c r="W77" s="283">
        <v>1</v>
      </c>
      <c r="X77" s="283" t="s">
        <v>676</v>
      </c>
    </row>
    <row r="78" spans="1:24">
      <c r="A78" s="284" t="s">
        <v>375</v>
      </c>
      <c r="B78" s="294" t="s">
        <v>453</v>
      </c>
      <c r="C78" s="286" t="s">
        <v>677</v>
      </c>
      <c r="D78" s="287" t="s">
        <v>669</v>
      </c>
      <c r="E78" s="288">
        <v>2.57</v>
      </c>
      <c r="F78" s="289">
        <v>2454</v>
      </c>
      <c r="G78" s="290">
        <v>2454</v>
      </c>
      <c r="H78" s="291" t="s">
        <v>675</v>
      </c>
      <c r="I78" s="279">
        <v>478000</v>
      </c>
      <c r="J78" s="292">
        <v>478000</v>
      </c>
      <c r="K78" s="292"/>
      <c r="L78" s="292">
        <v>0</v>
      </c>
      <c r="M78" s="292">
        <v>0</v>
      </c>
      <c r="N78" s="293">
        <v>478000</v>
      </c>
      <c r="O78" s="235" t="str">
        <f>VLOOKUP(A78,'[1]Vendor list'!$A$3:$D$409,4,0)</f>
        <v>FCA</v>
      </c>
      <c r="Q78" s="281">
        <v>478000</v>
      </c>
      <c r="R78" s="281">
        <v>0</v>
      </c>
      <c r="S78" s="281">
        <v>0</v>
      </c>
      <c r="T78" s="282">
        <v>0</v>
      </c>
      <c r="U78" s="283">
        <v>1</v>
      </c>
      <c r="V78" s="283">
        <v>2.5</v>
      </c>
      <c r="W78" s="283">
        <v>2.5</v>
      </c>
      <c r="X78" s="283" t="s">
        <v>675</v>
      </c>
    </row>
    <row r="79" spans="1:24">
      <c r="A79" s="284" t="s">
        <v>328</v>
      </c>
      <c r="B79" s="294" t="s">
        <v>454</v>
      </c>
      <c r="C79" s="286" t="s">
        <v>374</v>
      </c>
      <c r="D79" s="287" t="s">
        <v>669</v>
      </c>
      <c r="E79" s="288">
        <v>1.256</v>
      </c>
      <c r="F79" s="289">
        <v>1239.4000000000001</v>
      </c>
      <c r="G79" s="290">
        <v>1239.4000000000001</v>
      </c>
      <c r="H79" s="291" t="s">
        <v>675</v>
      </c>
      <c r="I79" s="279">
        <v>391000</v>
      </c>
      <c r="J79" s="292">
        <v>391000</v>
      </c>
      <c r="K79" s="292"/>
      <c r="L79" s="292">
        <v>0</v>
      </c>
      <c r="M79" s="292">
        <v>0</v>
      </c>
      <c r="N79" s="293">
        <v>391000</v>
      </c>
      <c r="O79" s="235" t="str">
        <f>VLOOKUP(A79,'[1]Vendor list'!$A$3:$D$409,4,0)</f>
        <v>FCA</v>
      </c>
      <c r="Q79" s="281">
        <v>391000</v>
      </c>
      <c r="R79" s="281">
        <v>0</v>
      </c>
      <c r="S79" s="281">
        <v>0</v>
      </c>
      <c r="T79" s="282">
        <v>0</v>
      </c>
      <c r="U79" s="283">
        <v>1</v>
      </c>
      <c r="V79" s="283">
        <v>2.5</v>
      </c>
      <c r="W79" s="283">
        <v>2.5</v>
      </c>
      <c r="X79" s="283" t="s">
        <v>675</v>
      </c>
    </row>
    <row r="80" spans="1:24">
      <c r="A80" s="284" t="s">
        <v>324</v>
      </c>
      <c r="B80" s="285" t="s">
        <v>455</v>
      </c>
      <c r="C80" s="286" t="s">
        <v>689</v>
      </c>
      <c r="D80" s="287" t="s">
        <v>669</v>
      </c>
      <c r="E80" s="288">
        <v>0.84</v>
      </c>
      <c r="F80" s="289">
        <v>970</v>
      </c>
      <c r="G80" s="290">
        <v>970</v>
      </c>
      <c r="H80" s="291" t="s">
        <v>676</v>
      </c>
      <c r="I80" s="279">
        <v>288000</v>
      </c>
      <c r="J80" s="292">
        <v>288000</v>
      </c>
      <c r="K80" s="292"/>
      <c r="L80" s="292">
        <v>0</v>
      </c>
      <c r="M80" s="292">
        <v>0</v>
      </c>
      <c r="N80" s="293">
        <v>288000</v>
      </c>
      <c r="O80" s="235" t="str">
        <f>VLOOKUP(A80,'[1]Vendor list'!$A$3:$D$409,4,0)</f>
        <v>FCA</v>
      </c>
      <c r="Q80" s="281">
        <v>288000</v>
      </c>
      <c r="R80" s="281">
        <v>0</v>
      </c>
      <c r="S80" s="281">
        <v>0</v>
      </c>
      <c r="T80" s="282">
        <v>0</v>
      </c>
      <c r="U80" s="283">
        <v>1</v>
      </c>
      <c r="V80" s="283">
        <v>1</v>
      </c>
      <c r="W80" s="283">
        <v>1</v>
      </c>
      <c r="X80" s="283" t="s">
        <v>676</v>
      </c>
    </row>
    <row r="81" spans="1:24">
      <c r="A81" s="284" t="s">
        <v>329</v>
      </c>
      <c r="B81" s="285" t="s">
        <v>456</v>
      </c>
      <c r="C81" s="286" t="s">
        <v>689</v>
      </c>
      <c r="D81" s="287" t="s">
        <v>669</v>
      </c>
      <c r="E81" s="288">
        <v>1.222</v>
      </c>
      <c r="F81" s="289">
        <v>483.5</v>
      </c>
      <c r="G81" s="290">
        <v>483.5</v>
      </c>
      <c r="H81" s="291" t="s">
        <v>676</v>
      </c>
      <c r="I81" s="279">
        <v>288000</v>
      </c>
      <c r="J81" s="292">
        <v>288000</v>
      </c>
      <c r="K81" s="292"/>
      <c r="L81" s="292">
        <v>0</v>
      </c>
      <c r="M81" s="292">
        <v>0</v>
      </c>
      <c r="N81" s="293">
        <v>288000</v>
      </c>
      <c r="O81" s="235" t="str">
        <f>VLOOKUP(A81,'[1]Vendor list'!$A$3:$D$409,4,0)</f>
        <v>FCA</v>
      </c>
      <c r="Q81" s="281">
        <v>288000</v>
      </c>
      <c r="R81" s="281">
        <v>0</v>
      </c>
      <c r="S81" s="281">
        <v>0</v>
      </c>
      <c r="T81" s="282">
        <v>0</v>
      </c>
      <c r="U81" s="283">
        <v>1</v>
      </c>
      <c r="V81" s="283">
        <v>1</v>
      </c>
      <c r="W81" s="283">
        <v>1</v>
      </c>
      <c r="X81" s="283" t="s">
        <v>676</v>
      </c>
    </row>
    <row r="82" spans="1:24">
      <c r="A82" s="284" t="s">
        <v>376</v>
      </c>
      <c r="B82" s="285" t="s">
        <v>457</v>
      </c>
      <c r="C82" s="286" t="s">
        <v>684</v>
      </c>
      <c r="D82" s="287" t="s">
        <v>669</v>
      </c>
      <c r="E82" s="288">
        <v>0.109</v>
      </c>
      <c r="F82" s="289">
        <v>45</v>
      </c>
      <c r="G82" s="290">
        <v>45</v>
      </c>
      <c r="H82" s="291" t="s">
        <v>676</v>
      </c>
      <c r="I82" s="279">
        <v>196500</v>
      </c>
      <c r="J82" s="292">
        <v>196500</v>
      </c>
      <c r="K82" s="292"/>
      <c r="L82" s="292">
        <v>0</v>
      </c>
      <c r="M82" s="292">
        <v>0</v>
      </c>
      <c r="N82" s="293">
        <v>196500</v>
      </c>
      <c r="O82" s="235" t="str">
        <f>VLOOKUP(A82,'[1]Vendor list'!$A$3:$D$409,4,0)</f>
        <v>FCA</v>
      </c>
      <c r="Q82" s="281">
        <v>0</v>
      </c>
      <c r="R82" s="281">
        <v>196500</v>
      </c>
      <c r="S82" s="281">
        <v>0</v>
      </c>
      <c r="T82" s="282">
        <v>0</v>
      </c>
      <c r="U82" s="283">
        <v>1</v>
      </c>
      <c r="V82" s="283">
        <v>1</v>
      </c>
      <c r="W82" s="283">
        <v>1</v>
      </c>
      <c r="X82" s="283" t="s">
        <v>676</v>
      </c>
    </row>
    <row r="83" spans="1:24">
      <c r="A83" s="284" t="s">
        <v>99</v>
      </c>
      <c r="B83" s="285" t="s">
        <v>458</v>
      </c>
      <c r="C83" s="286" t="s">
        <v>677</v>
      </c>
      <c r="D83" s="287" t="s">
        <v>669</v>
      </c>
      <c r="E83" s="288">
        <v>54.673999999999999</v>
      </c>
      <c r="F83" s="289">
        <v>3815.36</v>
      </c>
      <c r="G83" s="290">
        <v>18206.441999999999</v>
      </c>
      <c r="H83" s="291" t="s">
        <v>691</v>
      </c>
      <c r="I83" s="279">
        <v>1504000</v>
      </c>
      <c r="J83" s="292">
        <v>1504000</v>
      </c>
      <c r="K83" s="292"/>
      <c r="L83" s="292">
        <v>0</v>
      </c>
      <c r="M83" s="292">
        <v>0</v>
      </c>
      <c r="N83" s="293">
        <v>1504000</v>
      </c>
      <c r="O83" s="235" t="str">
        <f>VLOOKUP(A83,'[1]Vendor list'!$A$3:$D$409,4,0)</f>
        <v>FCA</v>
      </c>
      <c r="Q83" s="281">
        <v>0</v>
      </c>
      <c r="R83" s="281">
        <v>1504000</v>
      </c>
      <c r="S83" s="281">
        <v>0</v>
      </c>
      <c r="T83" s="282">
        <v>0</v>
      </c>
      <c r="U83" s="283">
        <v>20</v>
      </c>
      <c r="V83" s="283">
        <v>18</v>
      </c>
      <c r="W83" s="283">
        <v>20</v>
      </c>
      <c r="X83" s="283" t="s">
        <v>691</v>
      </c>
    </row>
    <row r="84" spans="1:24">
      <c r="A84" s="284" t="s">
        <v>99</v>
      </c>
      <c r="B84" s="285" t="s">
        <v>459</v>
      </c>
      <c r="C84" s="286" t="s">
        <v>677</v>
      </c>
      <c r="D84" s="287" t="s">
        <v>669</v>
      </c>
      <c r="E84" s="288">
        <v>13.667999999999999</v>
      </c>
      <c r="F84" s="289">
        <v>953.84</v>
      </c>
      <c r="G84" s="290">
        <v>4551.4439999999995</v>
      </c>
      <c r="H84" s="291" t="s">
        <v>672</v>
      </c>
      <c r="I84" s="279">
        <v>632500</v>
      </c>
      <c r="J84" s="292">
        <v>632500</v>
      </c>
      <c r="K84" s="292"/>
      <c r="L84" s="292">
        <v>0</v>
      </c>
      <c r="M84" s="292">
        <v>0</v>
      </c>
      <c r="N84" s="293">
        <v>632500</v>
      </c>
      <c r="O84" s="235" t="str">
        <f>VLOOKUP(A84,'[1]Vendor list'!$A$3:$D$409,4,0)</f>
        <v>FCA</v>
      </c>
      <c r="Q84" s="281">
        <v>632500</v>
      </c>
      <c r="R84" s="281">
        <v>0</v>
      </c>
      <c r="S84" s="281">
        <v>0</v>
      </c>
      <c r="T84" s="282">
        <v>0</v>
      </c>
      <c r="U84" s="283">
        <v>5</v>
      </c>
      <c r="V84" s="283">
        <v>5</v>
      </c>
      <c r="W84" s="283">
        <v>5</v>
      </c>
      <c r="X84" s="283" t="s">
        <v>672</v>
      </c>
    </row>
    <row r="85" spans="1:24">
      <c r="A85" s="284" t="s">
        <v>99</v>
      </c>
      <c r="B85" s="285" t="s">
        <v>460</v>
      </c>
      <c r="C85" s="286" t="s">
        <v>677</v>
      </c>
      <c r="D85" s="287" t="s">
        <v>669</v>
      </c>
      <c r="E85" s="288">
        <v>32.055999999999997</v>
      </c>
      <c r="F85" s="289">
        <v>2788.41</v>
      </c>
      <c r="G85" s="290">
        <v>10674.647999999999</v>
      </c>
      <c r="H85" s="291" t="s">
        <v>673</v>
      </c>
      <c r="I85" s="279">
        <v>752000</v>
      </c>
      <c r="J85" s="292">
        <v>752000</v>
      </c>
      <c r="K85" s="292"/>
      <c r="L85" s="292">
        <v>0</v>
      </c>
      <c r="M85" s="292">
        <v>0</v>
      </c>
      <c r="N85" s="293">
        <v>752000</v>
      </c>
      <c r="O85" s="235" t="str">
        <f>VLOOKUP(A85,'[1]Vendor list'!$A$3:$D$409,4,0)</f>
        <v>FCA</v>
      </c>
      <c r="Q85" s="281">
        <v>752000</v>
      </c>
      <c r="R85" s="281">
        <v>0</v>
      </c>
      <c r="S85" s="281">
        <v>0</v>
      </c>
      <c r="T85" s="282">
        <v>0</v>
      </c>
      <c r="U85" s="283">
        <v>10</v>
      </c>
      <c r="V85" s="283">
        <v>10</v>
      </c>
      <c r="W85" s="283">
        <v>10</v>
      </c>
      <c r="X85" s="283" t="s">
        <v>673</v>
      </c>
    </row>
    <row r="86" spans="1:24">
      <c r="A86" s="284" t="s">
        <v>99</v>
      </c>
      <c r="B86" s="285" t="s">
        <v>461</v>
      </c>
      <c r="C86" s="286" t="s">
        <v>677</v>
      </c>
      <c r="D86" s="287" t="s">
        <v>669</v>
      </c>
      <c r="E86" s="288">
        <v>8.9049999999999994</v>
      </c>
      <c r="F86" s="289">
        <v>684.09</v>
      </c>
      <c r="G86" s="290">
        <v>2965.3649999999998</v>
      </c>
      <c r="H86" s="291" t="s">
        <v>672</v>
      </c>
      <c r="I86" s="279">
        <v>632500</v>
      </c>
      <c r="J86" s="292">
        <v>632500</v>
      </c>
      <c r="K86" s="292"/>
      <c r="L86" s="292">
        <v>0</v>
      </c>
      <c r="M86" s="292">
        <v>0</v>
      </c>
      <c r="N86" s="293">
        <v>632500</v>
      </c>
      <c r="O86" s="235" t="str">
        <f>VLOOKUP(A86,'[1]Vendor list'!$A$3:$D$409,4,0)</f>
        <v>FCA</v>
      </c>
      <c r="Q86" s="281">
        <v>632500</v>
      </c>
      <c r="R86" s="281">
        <v>0</v>
      </c>
      <c r="S86" s="281">
        <v>0</v>
      </c>
      <c r="T86" s="282">
        <v>0</v>
      </c>
      <c r="U86" s="283">
        <v>5</v>
      </c>
      <c r="V86" s="283">
        <v>5</v>
      </c>
      <c r="W86" s="283">
        <v>5</v>
      </c>
      <c r="X86" s="283" t="s">
        <v>672</v>
      </c>
    </row>
    <row r="87" spans="1:24">
      <c r="A87" s="284" t="s">
        <v>109</v>
      </c>
      <c r="B87" s="285" t="s">
        <v>462</v>
      </c>
      <c r="C87" s="286" t="s">
        <v>683</v>
      </c>
      <c r="D87" s="287" t="s">
        <v>669</v>
      </c>
      <c r="E87" s="288">
        <v>0.58199999999999996</v>
      </c>
      <c r="F87" s="289">
        <v>379.8</v>
      </c>
      <c r="G87" s="290">
        <v>379.8</v>
      </c>
      <c r="H87" s="291" t="s">
        <v>676</v>
      </c>
      <c r="I87" s="279">
        <v>275000</v>
      </c>
      <c r="J87" s="292">
        <v>275000</v>
      </c>
      <c r="K87" s="292"/>
      <c r="L87" s="292">
        <v>0</v>
      </c>
      <c r="M87" s="292">
        <v>0</v>
      </c>
      <c r="N87" s="293">
        <v>275000</v>
      </c>
      <c r="O87" s="235" t="str">
        <f>VLOOKUP(A87,'[1]Vendor list'!$A$3:$D$409,4,0)</f>
        <v>FCA</v>
      </c>
      <c r="Q87" s="281">
        <v>275000</v>
      </c>
      <c r="R87" s="281">
        <v>0</v>
      </c>
      <c r="S87" s="281">
        <v>0</v>
      </c>
      <c r="T87" s="282">
        <v>0</v>
      </c>
      <c r="U87" s="283">
        <v>1</v>
      </c>
      <c r="V87" s="283">
        <v>1</v>
      </c>
      <c r="W87" s="283">
        <v>1</v>
      </c>
      <c r="X87" s="283" t="s">
        <v>676</v>
      </c>
    </row>
    <row r="88" spans="1:24">
      <c r="A88" s="284" t="s">
        <v>105</v>
      </c>
      <c r="B88" s="285" t="s">
        <v>463</v>
      </c>
      <c r="C88" s="286" t="s">
        <v>689</v>
      </c>
      <c r="D88" s="287" t="s">
        <v>669</v>
      </c>
      <c r="E88" s="288">
        <v>0.47199999999999998</v>
      </c>
      <c r="F88" s="289">
        <v>31</v>
      </c>
      <c r="G88" s="290">
        <v>157.17599999999999</v>
      </c>
      <c r="H88" s="291" t="s">
        <v>676</v>
      </c>
      <c r="I88" s="279">
        <v>288000</v>
      </c>
      <c r="J88" s="292">
        <v>288000</v>
      </c>
      <c r="K88" s="292"/>
      <c r="L88" s="292">
        <v>0</v>
      </c>
      <c r="M88" s="292">
        <v>0</v>
      </c>
      <c r="N88" s="293">
        <v>288000</v>
      </c>
      <c r="O88" s="235" t="str">
        <f>VLOOKUP(A88,'[1]Vendor list'!$A$3:$D$409,4,0)</f>
        <v>FCA</v>
      </c>
      <c r="Q88" s="281">
        <v>288000</v>
      </c>
      <c r="R88" s="281">
        <v>0</v>
      </c>
      <c r="S88" s="281">
        <v>0</v>
      </c>
      <c r="T88" s="282">
        <v>0</v>
      </c>
      <c r="U88" s="283">
        <v>1</v>
      </c>
      <c r="V88" s="283">
        <v>1</v>
      </c>
      <c r="W88" s="283">
        <v>1</v>
      </c>
      <c r="X88" s="283" t="s">
        <v>676</v>
      </c>
    </row>
    <row r="89" spans="1:24">
      <c r="A89" s="284" t="s">
        <v>91</v>
      </c>
      <c r="B89" s="285" t="s">
        <v>464</v>
      </c>
      <c r="C89" s="286" t="s">
        <v>692</v>
      </c>
      <c r="D89" s="287" t="s">
        <v>669</v>
      </c>
      <c r="E89" s="288">
        <v>23.359000000000002</v>
      </c>
      <c r="F89" s="289">
        <v>4979</v>
      </c>
      <c r="G89" s="290">
        <v>7778.5470000000005</v>
      </c>
      <c r="H89" s="291" t="s">
        <v>673</v>
      </c>
      <c r="I89" s="279">
        <v>635000</v>
      </c>
      <c r="J89" s="292">
        <v>635000</v>
      </c>
      <c r="K89" s="292"/>
      <c r="L89" s="292">
        <v>0</v>
      </c>
      <c r="M89" s="292">
        <v>0</v>
      </c>
      <c r="N89" s="293">
        <v>635000</v>
      </c>
      <c r="O89" s="235" t="str">
        <f>VLOOKUP(A89,'[1]Vendor list'!$A$3:$D$409,4,0)</f>
        <v>FCA</v>
      </c>
      <c r="Q89" s="281">
        <v>0</v>
      </c>
      <c r="R89" s="281">
        <v>0</v>
      </c>
      <c r="S89" s="281">
        <v>0</v>
      </c>
      <c r="T89" s="282">
        <v>635000</v>
      </c>
      <c r="U89" s="283">
        <v>10</v>
      </c>
      <c r="V89" s="283">
        <v>8</v>
      </c>
      <c r="W89" s="283">
        <v>10</v>
      </c>
      <c r="X89" s="283" t="s">
        <v>673</v>
      </c>
    </row>
    <row r="90" spans="1:24">
      <c r="A90" s="284" t="s">
        <v>377</v>
      </c>
      <c r="B90" s="285" t="s">
        <v>465</v>
      </c>
      <c r="C90" s="286">
        <v>0</v>
      </c>
      <c r="D90" s="287" t="s">
        <v>669</v>
      </c>
      <c r="E90" s="288">
        <v>39.200000000000003</v>
      </c>
      <c r="F90" s="289">
        <v>1970.3999999999999</v>
      </c>
      <c r="G90" s="290">
        <v>13053.6</v>
      </c>
      <c r="H90" s="291" t="s">
        <v>680</v>
      </c>
      <c r="I90" s="279">
        <v>0</v>
      </c>
      <c r="J90" s="292">
        <v>0</v>
      </c>
      <c r="K90" s="292"/>
      <c r="L90" s="292">
        <v>0</v>
      </c>
      <c r="M90" s="292">
        <v>0</v>
      </c>
      <c r="N90" s="293">
        <v>0</v>
      </c>
      <c r="O90" s="235" t="str">
        <f>VLOOKUP(A90,'[1]Vendor list'!$A$3:$D$409,4,0)</f>
        <v>FOB</v>
      </c>
      <c r="Q90" s="281">
        <v>0</v>
      </c>
      <c r="R90" s="281">
        <v>0</v>
      </c>
      <c r="S90" s="281">
        <v>0</v>
      </c>
      <c r="T90" s="282">
        <v>0</v>
      </c>
      <c r="U90" s="283">
        <v>12.5</v>
      </c>
      <c r="V90" s="283">
        <v>12.5</v>
      </c>
      <c r="W90" s="283">
        <v>12.5</v>
      </c>
      <c r="X90" s="283" t="s">
        <v>680</v>
      </c>
    </row>
    <row r="91" spans="1:24">
      <c r="A91" s="284" t="s">
        <v>214</v>
      </c>
      <c r="B91" s="285" t="s">
        <v>466</v>
      </c>
      <c r="C91" s="286" t="s">
        <v>689</v>
      </c>
      <c r="D91" s="287" t="s">
        <v>669</v>
      </c>
      <c r="E91" s="288">
        <v>15.984</v>
      </c>
      <c r="F91" s="289">
        <v>5257.6</v>
      </c>
      <c r="G91" s="290">
        <v>5322.6719999999996</v>
      </c>
      <c r="H91" s="291" t="s">
        <v>674</v>
      </c>
      <c r="I91" s="279">
        <v>532000</v>
      </c>
      <c r="J91" s="292">
        <v>532000</v>
      </c>
      <c r="K91" s="292"/>
      <c r="L91" s="292">
        <v>0</v>
      </c>
      <c r="M91" s="292">
        <v>0</v>
      </c>
      <c r="N91" s="293">
        <v>532000</v>
      </c>
      <c r="O91" s="235" t="str">
        <f>VLOOKUP(A91,'[1]Vendor list'!$A$3:$D$409,4,0)</f>
        <v>FCA</v>
      </c>
      <c r="Q91" s="281">
        <v>532000</v>
      </c>
      <c r="R91" s="281">
        <v>0</v>
      </c>
      <c r="S91" s="281">
        <v>0</v>
      </c>
      <c r="T91" s="282">
        <v>0</v>
      </c>
      <c r="U91" s="283">
        <v>8</v>
      </c>
      <c r="V91" s="283">
        <v>8</v>
      </c>
      <c r="W91" s="283">
        <v>8</v>
      </c>
      <c r="X91" s="283" t="s">
        <v>674</v>
      </c>
    </row>
    <row r="92" spans="1:24">
      <c r="A92" s="284" t="s">
        <v>214</v>
      </c>
      <c r="B92" s="285" t="s">
        <v>467</v>
      </c>
      <c r="C92" s="286" t="s">
        <v>689</v>
      </c>
      <c r="D92" s="287" t="s">
        <v>669</v>
      </c>
      <c r="E92" s="288">
        <v>17.414000000000001</v>
      </c>
      <c r="F92" s="289">
        <v>5608</v>
      </c>
      <c r="G92" s="290">
        <v>5798.8620000000001</v>
      </c>
      <c r="H92" s="291" t="s">
        <v>674</v>
      </c>
      <c r="I92" s="279">
        <v>532000</v>
      </c>
      <c r="J92" s="292">
        <v>532000</v>
      </c>
      <c r="K92" s="292"/>
      <c r="L92" s="292">
        <v>0</v>
      </c>
      <c r="M92" s="292">
        <v>0</v>
      </c>
      <c r="N92" s="293">
        <v>532000</v>
      </c>
      <c r="O92" s="235" t="str">
        <f>VLOOKUP(A92,'[1]Vendor list'!$A$3:$D$409,4,0)</f>
        <v>FCA</v>
      </c>
      <c r="Q92" s="281">
        <v>532000</v>
      </c>
      <c r="R92" s="281">
        <v>0</v>
      </c>
      <c r="S92" s="281">
        <v>0</v>
      </c>
      <c r="T92" s="282">
        <v>0</v>
      </c>
      <c r="U92" s="283">
        <v>8</v>
      </c>
      <c r="V92" s="283">
        <v>8</v>
      </c>
      <c r="W92" s="283">
        <v>8</v>
      </c>
      <c r="X92" s="283" t="s">
        <v>674</v>
      </c>
    </row>
    <row r="93" spans="1:24">
      <c r="A93" s="284" t="s">
        <v>374</v>
      </c>
      <c r="B93" s="285" t="s">
        <v>468</v>
      </c>
      <c r="C93" s="286" t="s">
        <v>668</v>
      </c>
      <c r="D93" s="287" t="s">
        <v>669</v>
      </c>
      <c r="E93" s="288">
        <v>21.25</v>
      </c>
      <c r="F93" s="289">
        <v>2448</v>
      </c>
      <c r="G93" s="290">
        <v>7076.25</v>
      </c>
      <c r="H93" s="291" t="s">
        <v>673</v>
      </c>
      <c r="I93" s="279">
        <v>392000</v>
      </c>
      <c r="J93" s="292">
        <v>392000</v>
      </c>
      <c r="K93" s="292"/>
      <c r="L93" s="292">
        <v>0</v>
      </c>
      <c r="M93" s="292">
        <v>0</v>
      </c>
      <c r="N93" s="293">
        <v>392000</v>
      </c>
      <c r="O93" s="235" t="str">
        <f>VLOOKUP(A93,'[1]Vendor list'!$A$3:$D$409,4,0)</f>
        <v>FCA</v>
      </c>
      <c r="Q93" s="281">
        <v>392000</v>
      </c>
      <c r="R93" s="281">
        <v>0</v>
      </c>
      <c r="S93" s="281">
        <v>0</v>
      </c>
      <c r="T93" s="282">
        <v>0</v>
      </c>
      <c r="U93" s="283">
        <v>10</v>
      </c>
      <c r="V93" s="283">
        <v>8</v>
      </c>
      <c r="W93" s="283">
        <v>10</v>
      </c>
      <c r="X93" s="283" t="s">
        <v>673</v>
      </c>
    </row>
    <row r="94" spans="1:24">
      <c r="A94" s="284" t="s">
        <v>92</v>
      </c>
      <c r="B94" s="285" t="s">
        <v>469</v>
      </c>
      <c r="C94" s="286" t="s">
        <v>693</v>
      </c>
      <c r="D94" s="287" t="s">
        <v>669</v>
      </c>
      <c r="E94" s="288">
        <v>2.6819999999999999</v>
      </c>
      <c r="F94" s="289">
        <v>1632</v>
      </c>
      <c r="G94" s="290">
        <v>1632</v>
      </c>
      <c r="H94" s="291" t="s">
        <v>675</v>
      </c>
      <c r="I94" s="279">
        <v>221000</v>
      </c>
      <c r="J94" s="292">
        <v>221000</v>
      </c>
      <c r="K94" s="292"/>
      <c r="L94" s="292">
        <v>0</v>
      </c>
      <c r="M94" s="292">
        <v>0</v>
      </c>
      <c r="N94" s="293">
        <v>221000</v>
      </c>
      <c r="O94" s="235" t="str">
        <f>VLOOKUP(A94,'[1]Vendor list'!$A$3:$D$409,4,0)</f>
        <v>FCA</v>
      </c>
      <c r="Q94" s="281">
        <v>221000</v>
      </c>
      <c r="R94" s="281">
        <v>0</v>
      </c>
      <c r="S94" s="281">
        <v>0</v>
      </c>
      <c r="T94" s="282">
        <v>0</v>
      </c>
      <c r="U94" s="283">
        <v>1</v>
      </c>
      <c r="V94" s="283">
        <v>2.5</v>
      </c>
      <c r="W94" s="283">
        <v>2.5</v>
      </c>
      <c r="X94" s="283" t="s">
        <v>675</v>
      </c>
    </row>
    <row r="95" spans="1:24">
      <c r="A95" s="284" t="s">
        <v>319</v>
      </c>
      <c r="B95" s="285" t="s">
        <v>470</v>
      </c>
      <c r="C95" s="286" t="s">
        <v>668</v>
      </c>
      <c r="D95" s="287" t="s">
        <v>669</v>
      </c>
      <c r="E95" s="288">
        <v>28.047999999999998</v>
      </c>
      <c r="F95" s="289">
        <v>18616</v>
      </c>
      <c r="G95" s="290">
        <v>18616</v>
      </c>
      <c r="H95" s="291" t="s">
        <v>682</v>
      </c>
      <c r="I95" s="279">
        <v>768000</v>
      </c>
      <c r="J95" s="292">
        <v>768000</v>
      </c>
      <c r="K95" s="292"/>
      <c r="L95" s="292">
        <v>0</v>
      </c>
      <c r="M95" s="292">
        <v>0</v>
      </c>
      <c r="N95" s="293">
        <v>768000</v>
      </c>
      <c r="O95" s="235" t="str">
        <f>VLOOKUP(A95,'[1]Vendor list'!$A$3:$D$409,4,0)</f>
        <v>FCA</v>
      </c>
      <c r="Q95" s="281">
        <v>0</v>
      </c>
      <c r="R95" s="281">
        <v>0</v>
      </c>
      <c r="S95" s="281">
        <v>768000</v>
      </c>
      <c r="T95" s="282">
        <v>0</v>
      </c>
      <c r="U95" s="283">
        <v>10</v>
      </c>
      <c r="V95" s="283">
        <v>18</v>
      </c>
      <c r="W95" s="283">
        <v>18</v>
      </c>
      <c r="X95" s="283" t="s">
        <v>682</v>
      </c>
    </row>
    <row r="96" spans="1:24">
      <c r="A96" s="284" t="s">
        <v>319</v>
      </c>
      <c r="B96" s="285" t="s">
        <v>471</v>
      </c>
      <c r="C96" s="286" t="s">
        <v>668</v>
      </c>
      <c r="D96" s="287" t="s">
        <v>669</v>
      </c>
      <c r="E96" s="288">
        <v>22.65</v>
      </c>
      <c r="F96" s="289">
        <v>3330.18</v>
      </c>
      <c r="G96" s="290">
        <v>7542.45</v>
      </c>
      <c r="H96" s="291" t="s">
        <v>673</v>
      </c>
      <c r="I96" s="279">
        <v>392000</v>
      </c>
      <c r="J96" s="292">
        <v>392000</v>
      </c>
      <c r="K96" s="292"/>
      <c r="L96" s="292">
        <v>0</v>
      </c>
      <c r="M96" s="292">
        <v>0</v>
      </c>
      <c r="N96" s="293">
        <v>392000</v>
      </c>
      <c r="O96" s="235" t="str">
        <f>VLOOKUP(A96,'[1]Vendor list'!$A$3:$D$409,4,0)</f>
        <v>FCA</v>
      </c>
      <c r="Q96" s="281">
        <v>392000</v>
      </c>
      <c r="R96" s="281">
        <v>0</v>
      </c>
      <c r="S96" s="281">
        <v>0</v>
      </c>
      <c r="T96" s="282">
        <v>0</v>
      </c>
      <c r="U96" s="283">
        <v>10</v>
      </c>
      <c r="V96" s="283">
        <v>8</v>
      </c>
      <c r="W96" s="283">
        <v>10</v>
      </c>
      <c r="X96" s="283" t="s">
        <v>673</v>
      </c>
    </row>
    <row r="97" spans="1:24">
      <c r="A97" s="284" t="s">
        <v>319</v>
      </c>
      <c r="B97" s="285" t="s">
        <v>472</v>
      </c>
      <c r="C97" s="286" t="s">
        <v>668</v>
      </c>
      <c r="D97" s="287" t="s">
        <v>669</v>
      </c>
      <c r="E97" s="288">
        <v>5.4</v>
      </c>
      <c r="F97" s="289">
        <v>424.4</v>
      </c>
      <c r="G97" s="290">
        <v>1798.2</v>
      </c>
      <c r="H97" s="291" t="s">
        <v>675</v>
      </c>
      <c r="I97" s="279">
        <v>291100</v>
      </c>
      <c r="J97" s="292">
        <v>291100</v>
      </c>
      <c r="K97" s="292"/>
      <c r="L97" s="292">
        <v>0</v>
      </c>
      <c r="M97" s="292">
        <v>0</v>
      </c>
      <c r="N97" s="293">
        <v>291100</v>
      </c>
      <c r="O97" s="235" t="str">
        <f>VLOOKUP(A97,'[1]Vendor list'!$A$3:$D$409,4,0)</f>
        <v>FCA</v>
      </c>
      <c r="Q97" s="281">
        <v>291100</v>
      </c>
      <c r="R97" s="281">
        <v>0</v>
      </c>
      <c r="S97" s="281">
        <v>0</v>
      </c>
      <c r="T97" s="282">
        <v>0</v>
      </c>
      <c r="U97" s="283">
        <v>2.5</v>
      </c>
      <c r="V97" s="283">
        <v>2.5</v>
      </c>
      <c r="W97" s="283">
        <v>2.5</v>
      </c>
      <c r="X97" s="283" t="s">
        <v>675</v>
      </c>
    </row>
    <row r="98" spans="1:24">
      <c r="A98" s="284" t="s">
        <v>319</v>
      </c>
      <c r="B98" s="285" t="s">
        <v>473</v>
      </c>
      <c r="C98" s="286" t="s">
        <v>668</v>
      </c>
      <c r="D98" s="287" t="s">
        <v>669</v>
      </c>
      <c r="E98" s="288">
        <v>33.19</v>
      </c>
      <c r="F98" s="289">
        <v>4291.99</v>
      </c>
      <c r="G98" s="290">
        <v>11052.269999999999</v>
      </c>
      <c r="H98" s="291" t="s">
        <v>670</v>
      </c>
      <c r="I98" s="279">
        <v>624000</v>
      </c>
      <c r="J98" s="292">
        <v>624000</v>
      </c>
      <c r="K98" s="292"/>
      <c r="L98" s="292">
        <v>0</v>
      </c>
      <c r="M98" s="292">
        <v>0</v>
      </c>
      <c r="N98" s="293">
        <v>624000</v>
      </c>
      <c r="O98" s="235" t="str">
        <f>VLOOKUP(A98,'[1]Vendor list'!$A$3:$D$409,4,0)</f>
        <v>FCA</v>
      </c>
      <c r="Q98" s="281">
        <v>0</v>
      </c>
      <c r="R98" s="281">
        <v>0</v>
      </c>
      <c r="S98" s="281">
        <v>0</v>
      </c>
      <c r="T98" s="282">
        <v>624000</v>
      </c>
      <c r="U98" s="283">
        <v>11</v>
      </c>
      <c r="V98" s="283">
        <v>10</v>
      </c>
      <c r="W98" s="283">
        <v>11</v>
      </c>
      <c r="X98" s="283" t="s">
        <v>670</v>
      </c>
    </row>
    <row r="99" spans="1:24">
      <c r="A99" s="284" t="s">
        <v>319</v>
      </c>
      <c r="B99" s="285" t="s">
        <v>474</v>
      </c>
      <c r="C99" s="286" t="s">
        <v>668</v>
      </c>
      <c r="D99" s="287" t="s">
        <v>669</v>
      </c>
      <c r="E99" s="288">
        <v>18.34</v>
      </c>
      <c r="F99" s="289">
        <v>15718.2</v>
      </c>
      <c r="G99" s="290">
        <v>15718.2</v>
      </c>
      <c r="H99" s="291" t="s">
        <v>671</v>
      </c>
      <c r="I99" s="279">
        <v>724000</v>
      </c>
      <c r="J99" s="292">
        <v>724000</v>
      </c>
      <c r="K99" s="292"/>
      <c r="L99" s="292">
        <v>0</v>
      </c>
      <c r="M99" s="292">
        <v>0</v>
      </c>
      <c r="N99" s="293">
        <v>724000</v>
      </c>
      <c r="O99" s="235" t="str">
        <f>VLOOKUP(A99,'[1]Vendor list'!$A$3:$D$409,4,0)</f>
        <v>FCA</v>
      </c>
      <c r="Q99" s="281">
        <v>0</v>
      </c>
      <c r="R99" s="281">
        <v>724000</v>
      </c>
      <c r="S99" s="281">
        <v>0</v>
      </c>
      <c r="T99" s="282">
        <v>0</v>
      </c>
      <c r="U99" s="283">
        <v>8</v>
      </c>
      <c r="V99" s="283">
        <v>15</v>
      </c>
      <c r="W99" s="283">
        <v>15</v>
      </c>
      <c r="X99" s="283" t="s">
        <v>671</v>
      </c>
    </row>
    <row r="100" spans="1:24">
      <c r="A100" s="284" t="s">
        <v>319</v>
      </c>
      <c r="B100" s="285" t="s">
        <v>475</v>
      </c>
      <c r="C100" s="286" t="s">
        <v>668</v>
      </c>
      <c r="D100" s="287" t="s">
        <v>669</v>
      </c>
      <c r="E100" s="288">
        <v>8.6300000000000008</v>
      </c>
      <c r="F100" s="289">
        <v>1074.72</v>
      </c>
      <c r="G100" s="290">
        <v>2873.7900000000004</v>
      </c>
      <c r="H100" s="291" t="s">
        <v>672</v>
      </c>
      <c r="I100" s="279">
        <v>332000</v>
      </c>
      <c r="J100" s="292">
        <v>332000</v>
      </c>
      <c r="K100" s="292"/>
      <c r="L100" s="292">
        <v>0</v>
      </c>
      <c r="M100" s="292">
        <v>0</v>
      </c>
      <c r="N100" s="293">
        <v>332000</v>
      </c>
      <c r="O100" s="235" t="str">
        <f>VLOOKUP(A100,'[1]Vendor list'!$A$3:$D$409,4,0)</f>
        <v>FCA</v>
      </c>
      <c r="Q100" s="281">
        <v>332000</v>
      </c>
      <c r="R100" s="281">
        <v>0</v>
      </c>
      <c r="S100" s="281">
        <v>0</v>
      </c>
      <c r="T100" s="282">
        <v>0</v>
      </c>
      <c r="U100" s="283">
        <v>5</v>
      </c>
      <c r="V100" s="283">
        <v>5</v>
      </c>
      <c r="W100" s="283">
        <v>5</v>
      </c>
      <c r="X100" s="283" t="s">
        <v>672</v>
      </c>
    </row>
    <row r="101" spans="1:24" s="300" customFormat="1">
      <c r="A101" s="284" t="s">
        <v>319</v>
      </c>
      <c r="B101" s="285" t="s">
        <v>476</v>
      </c>
      <c r="C101" s="286" t="s">
        <v>668</v>
      </c>
      <c r="D101" s="287" t="s">
        <v>669</v>
      </c>
      <c r="E101" s="288">
        <v>27.42</v>
      </c>
      <c r="F101" s="289">
        <v>3545.55</v>
      </c>
      <c r="G101" s="290">
        <v>9130.86</v>
      </c>
      <c r="H101" s="291" t="s">
        <v>673</v>
      </c>
      <c r="I101" s="277">
        <v>392000</v>
      </c>
      <c r="J101" s="290">
        <v>392000</v>
      </c>
      <c r="K101" s="290"/>
      <c r="L101" s="290">
        <v>0</v>
      </c>
      <c r="M101" s="290">
        <v>0</v>
      </c>
      <c r="N101" s="299">
        <v>392000</v>
      </c>
      <c r="O101" s="300" t="str">
        <f>VLOOKUP(A101,'[1]Vendor list'!$A$3:$D$409,4,0)</f>
        <v>FCA</v>
      </c>
      <c r="Q101" s="301">
        <v>392000</v>
      </c>
      <c r="R101" s="301">
        <v>0</v>
      </c>
      <c r="S101" s="301">
        <v>0</v>
      </c>
      <c r="T101" s="282">
        <v>0</v>
      </c>
      <c r="U101" s="302">
        <v>10</v>
      </c>
      <c r="V101" s="302">
        <v>10</v>
      </c>
      <c r="W101" s="302">
        <v>10</v>
      </c>
      <c r="X101" s="302" t="s">
        <v>673</v>
      </c>
    </row>
    <row r="102" spans="1:24">
      <c r="A102" s="284" t="s">
        <v>319</v>
      </c>
      <c r="B102" s="285" t="s">
        <v>477</v>
      </c>
      <c r="C102" s="286" t="s">
        <v>668</v>
      </c>
      <c r="D102" s="287" t="s">
        <v>669</v>
      </c>
      <c r="E102" s="288">
        <v>18.34</v>
      </c>
      <c r="F102" s="289">
        <v>15718.2</v>
      </c>
      <c r="G102" s="290">
        <v>15718.2</v>
      </c>
      <c r="H102" s="291" t="s">
        <v>671</v>
      </c>
      <c r="I102" s="279">
        <v>724000</v>
      </c>
      <c r="J102" s="292">
        <v>724000</v>
      </c>
      <c r="K102" s="292"/>
      <c r="L102" s="292">
        <v>0</v>
      </c>
      <c r="M102" s="292">
        <v>0</v>
      </c>
      <c r="N102" s="293">
        <v>724000</v>
      </c>
      <c r="O102" s="235" t="str">
        <f>VLOOKUP(A102,'[1]Vendor list'!$A$3:$D$409,4,0)</f>
        <v>FCA</v>
      </c>
      <c r="Q102" s="281">
        <v>0</v>
      </c>
      <c r="R102" s="281">
        <v>724000</v>
      </c>
      <c r="S102" s="281">
        <v>0</v>
      </c>
      <c r="T102" s="282">
        <v>0</v>
      </c>
      <c r="U102" s="283">
        <v>8</v>
      </c>
      <c r="V102" s="283">
        <v>15</v>
      </c>
      <c r="W102" s="283">
        <v>15</v>
      </c>
      <c r="X102" s="283" t="s">
        <v>671</v>
      </c>
    </row>
    <row r="103" spans="1:24">
      <c r="A103" s="284" t="s">
        <v>319</v>
      </c>
      <c r="B103" s="294" t="s">
        <v>478</v>
      </c>
      <c r="C103" s="286" t="s">
        <v>668</v>
      </c>
      <c r="D103" s="287" t="s">
        <v>669</v>
      </c>
      <c r="E103" s="288">
        <v>15.1</v>
      </c>
      <c r="F103" s="289">
        <v>1880.76</v>
      </c>
      <c r="G103" s="290">
        <v>5028.3</v>
      </c>
      <c r="H103" s="291" t="s">
        <v>672</v>
      </c>
      <c r="I103" s="279">
        <v>332000</v>
      </c>
      <c r="J103" s="292">
        <v>332000</v>
      </c>
      <c r="K103" s="292"/>
      <c r="L103" s="292">
        <v>0</v>
      </c>
      <c r="M103" s="292">
        <v>0</v>
      </c>
      <c r="N103" s="293">
        <v>332000</v>
      </c>
      <c r="O103" s="235" t="str">
        <f>VLOOKUP(A103,'[1]Vendor list'!$A$3:$D$409,4,0)</f>
        <v>FCA</v>
      </c>
      <c r="Q103" s="281">
        <v>332000</v>
      </c>
      <c r="R103" s="281">
        <v>0</v>
      </c>
      <c r="S103" s="281">
        <v>0</v>
      </c>
      <c r="T103" s="282">
        <v>0</v>
      </c>
      <c r="U103" s="283">
        <v>5</v>
      </c>
      <c r="V103" s="283">
        <v>5</v>
      </c>
      <c r="W103" s="283">
        <v>5</v>
      </c>
      <c r="X103" s="283" t="s">
        <v>672</v>
      </c>
    </row>
    <row r="104" spans="1:24">
      <c r="A104" s="284" t="s">
        <v>319</v>
      </c>
      <c r="B104" s="285" t="s">
        <v>479</v>
      </c>
      <c r="C104" s="286" t="s">
        <v>668</v>
      </c>
      <c r="D104" s="287" t="s">
        <v>669</v>
      </c>
      <c r="E104" s="288">
        <v>40.99</v>
      </c>
      <c r="F104" s="289">
        <v>5104.92</v>
      </c>
      <c r="G104" s="290">
        <v>13649.67</v>
      </c>
      <c r="H104" s="291" t="s">
        <v>671</v>
      </c>
      <c r="I104" s="279">
        <v>724000</v>
      </c>
      <c r="J104" s="292">
        <v>724000</v>
      </c>
      <c r="K104" s="292"/>
      <c r="L104" s="292">
        <v>0</v>
      </c>
      <c r="M104" s="292">
        <v>0</v>
      </c>
      <c r="N104" s="293">
        <v>724000</v>
      </c>
      <c r="O104" s="235" t="str">
        <f>VLOOKUP(A104,'[1]Vendor list'!$A$3:$D$409,4,0)</f>
        <v>FCA</v>
      </c>
      <c r="Q104" s="281">
        <v>0</v>
      </c>
      <c r="R104" s="281">
        <v>724000</v>
      </c>
      <c r="S104" s="281">
        <v>0</v>
      </c>
      <c r="T104" s="282">
        <v>0</v>
      </c>
      <c r="U104" s="283">
        <v>15</v>
      </c>
      <c r="V104" s="283">
        <v>12.5</v>
      </c>
      <c r="W104" s="283">
        <v>15</v>
      </c>
      <c r="X104" s="283" t="s">
        <v>671</v>
      </c>
    </row>
    <row r="105" spans="1:24">
      <c r="A105" s="284" t="s">
        <v>319</v>
      </c>
      <c r="B105" s="285" t="s">
        <v>480</v>
      </c>
      <c r="C105" s="286" t="s">
        <v>668</v>
      </c>
      <c r="D105" s="287" t="s">
        <v>669</v>
      </c>
      <c r="E105" s="288">
        <v>10.79</v>
      </c>
      <c r="F105" s="289">
        <v>8614</v>
      </c>
      <c r="G105" s="290">
        <v>8614</v>
      </c>
      <c r="H105" s="291" t="s">
        <v>673</v>
      </c>
      <c r="I105" s="279">
        <v>392000</v>
      </c>
      <c r="J105" s="292">
        <v>392000</v>
      </c>
      <c r="K105" s="292"/>
      <c r="L105" s="292">
        <v>0</v>
      </c>
      <c r="M105" s="292">
        <v>0</v>
      </c>
      <c r="N105" s="293">
        <v>392000</v>
      </c>
      <c r="O105" s="235" t="str">
        <f>VLOOKUP(A105,'[1]Vendor list'!$A$3:$D$409,4,0)</f>
        <v>FCA</v>
      </c>
      <c r="Q105" s="281">
        <v>392000</v>
      </c>
      <c r="R105" s="281">
        <v>0</v>
      </c>
      <c r="S105" s="281">
        <v>0</v>
      </c>
      <c r="T105" s="282">
        <v>0</v>
      </c>
      <c r="U105" s="283">
        <v>5</v>
      </c>
      <c r="V105" s="283">
        <v>10</v>
      </c>
      <c r="W105" s="283">
        <v>10</v>
      </c>
      <c r="X105" s="283" t="s">
        <v>673</v>
      </c>
    </row>
    <row r="106" spans="1:24">
      <c r="A106" s="284" t="s">
        <v>319</v>
      </c>
      <c r="B106" s="285" t="s">
        <v>481</v>
      </c>
      <c r="C106" s="286" t="s">
        <v>668</v>
      </c>
      <c r="D106" s="287" t="s">
        <v>669</v>
      </c>
      <c r="E106" s="288">
        <v>10.79</v>
      </c>
      <c r="F106" s="289">
        <v>8614</v>
      </c>
      <c r="G106" s="290">
        <v>8614</v>
      </c>
      <c r="H106" s="291" t="s">
        <v>673</v>
      </c>
      <c r="I106" s="279">
        <v>392000</v>
      </c>
      <c r="J106" s="292">
        <v>392000</v>
      </c>
      <c r="K106" s="292"/>
      <c r="L106" s="292">
        <v>0</v>
      </c>
      <c r="M106" s="292">
        <v>0</v>
      </c>
      <c r="N106" s="293">
        <v>392000</v>
      </c>
      <c r="O106" s="235" t="str">
        <f>VLOOKUP(A106,'[1]Vendor list'!$A$3:$D$409,4,0)</f>
        <v>FCA</v>
      </c>
      <c r="Q106" s="281">
        <v>392000</v>
      </c>
      <c r="R106" s="281">
        <v>0</v>
      </c>
      <c r="S106" s="281">
        <v>0</v>
      </c>
      <c r="T106" s="282">
        <v>0</v>
      </c>
      <c r="U106" s="283">
        <v>5</v>
      </c>
      <c r="V106" s="283">
        <v>10</v>
      </c>
      <c r="W106" s="283">
        <v>10</v>
      </c>
      <c r="X106" s="283" t="s">
        <v>673</v>
      </c>
    </row>
    <row r="107" spans="1:24">
      <c r="A107" s="284" t="s">
        <v>319</v>
      </c>
      <c r="B107" s="285" t="s">
        <v>482</v>
      </c>
      <c r="C107" s="286" t="s">
        <v>668</v>
      </c>
      <c r="D107" s="287" t="s">
        <v>669</v>
      </c>
      <c r="E107" s="288">
        <v>7.55</v>
      </c>
      <c r="F107" s="289">
        <v>4228</v>
      </c>
      <c r="G107" s="290">
        <v>4228</v>
      </c>
      <c r="H107" s="291" t="s">
        <v>672</v>
      </c>
      <c r="I107" s="279">
        <v>332000</v>
      </c>
      <c r="J107" s="292">
        <v>332000</v>
      </c>
      <c r="K107" s="292"/>
      <c r="L107" s="292">
        <v>0</v>
      </c>
      <c r="M107" s="292">
        <v>0</v>
      </c>
      <c r="N107" s="293">
        <v>332000</v>
      </c>
      <c r="O107" s="235" t="str">
        <f>VLOOKUP(A107,'[1]Vendor list'!$A$3:$D$409,4,0)</f>
        <v>FCA</v>
      </c>
      <c r="Q107" s="281">
        <v>332000</v>
      </c>
      <c r="R107" s="281">
        <v>0</v>
      </c>
      <c r="S107" s="281">
        <v>0</v>
      </c>
      <c r="T107" s="282">
        <v>0</v>
      </c>
      <c r="U107" s="283">
        <v>5</v>
      </c>
      <c r="V107" s="283">
        <v>5</v>
      </c>
      <c r="W107" s="283">
        <v>5</v>
      </c>
      <c r="X107" s="283" t="s">
        <v>672</v>
      </c>
    </row>
    <row r="108" spans="1:24">
      <c r="A108" s="284" t="s">
        <v>319</v>
      </c>
      <c r="B108" s="285" t="s">
        <v>483</v>
      </c>
      <c r="C108" s="286" t="s">
        <v>668</v>
      </c>
      <c r="D108" s="287" t="s">
        <v>669</v>
      </c>
      <c r="E108" s="288">
        <v>0.63</v>
      </c>
      <c r="F108" s="289">
        <v>46.5</v>
      </c>
      <c r="G108" s="290">
        <v>209.79</v>
      </c>
      <c r="H108" s="291" t="s">
        <v>676</v>
      </c>
      <c r="I108" s="279">
        <v>232000</v>
      </c>
      <c r="J108" s="292">
        <v>232000</v>
      </c>
      <c r="K108" s="292"/>
      <c r="L108" s="292">
        <v>0</v>
      </c>
      <c r="M108" s="292">
        <v>0</v>
      </c>
      <c r="N108" s="293">
        <v>232000</v>
      </c>
      <c r="O108" s="235" t="str">
        <f>VLOOKUP(A108,'[1]Vendor list'!$A$3:$D$409,4,0)</f>
        <v>FCA</v>
      </c>
      <c r="Q108" s="281">
        <v>232000</v>
      </c>
      <c r="R108" s="281">
        <v>0</v>
      </c>
      <c r="S108" s="281">
        <v>0</v>
      </c>
      <c r="T108" s="282">
        <v>0</v>
      </c>
      <c r="U108" s="283">
        <v>1</v>
      </c>
      <c r="V108" s="283">
        <v>1</v>
      </c>
      <c r="W108" s="283">
        <v>1</v>
      </c>
      <c r="X108" s="283" t="s">
        <v>676</v>
      </c>
    </row>
    <row r="109" spans="1:24">
      <c r="A109" s="284" t="s">
        <v>319</v>
      </c>
      <c r="B109" s="285" t="s">
        <v>484</v>
      </c>
      <c r="C109" s="286" t="s">
        <v>668</v>
      </c>
      <c r="D109" s="287" t="s">
        <v>669</v>
      </c>
      <c r="E109" s="288">
        <v>31.29</v>
      </c>
      <c r="F109" s="289">
        <v>5278</v>
      </c>
      <c r="G109" s="290">
        <v>10419.57</v>
      </c>
      <c r="H109" s="291" t="s">
        <v>673</v>
      </c>
      <c r="I109" s="279">
        <v>392000</v>
      </c>
      <c r="J109" s="292">
        <v>392000</v>
      </c>
      <c r="K109" s="292"/>
      <c r="L109" s="292">
        <v>0</v>
      </c>
      <c r="M109" s="292">
        <v>0</v>
      </c>
      <c r="N109" s="293">
        <v>392000</v>
      </c>
      <c r="O109" s="235" t="str">
        <f>VLOOKUP(A109,'[1]Vendor list'!$A$3:$D$409,4,0)</f>
        <v>FCA</v>
      </c>
      <c r="Q109" s="281">
        <v>392000</v>
      </c>
      <c r="R109" s="281">
        <v>0</v>
      </c>
      <c r="S109" s="281">
        <v>0</v>
      </c>
      <c r="T109" s="282">
        <v>0</v>
      </c>
      <c r="U109" s="283">
        <v>10</v>
      </c>
      <c r="V109" s="283">
        <v>10</v>
      </c>
      <c r="W109" s="283">
        <v>10</v>
      </c>
      <c r="X109" s="283" t="s">
        <v>673</v>
      </c>
    </row>
    <row r="110" spans="1:24">
      <c r="A110" s="284" t="s">
        <v>319</v>
      </c>
      <c r="B110" s="285" t="s">
        <v>485</v>
      </c>
      <c r="C110" s="286" t="s">
        <v>668</v>
      </c>
      <c r="D110" s="287" t="s">
        <v>669</v>
      </c>
      <c r="E110" s="288">
        <v>22.66</v>
      </c>
      <c r="F110" s="289">
        <v>6741</v>
      </c>
      <c r="G110" s="290">
        <v>7545.78</v>
      </c>
      <c r="H110" s="291" t="s">
        <v>673</v>
      </c>
      <c r="I110" s="279">
        <v>392000</v>
      </c>
      <c r="J110" s="292">
        <v>392000</v>
      </c>
      <c r="K110" s="292"/>
      <c r="L110" s="292">
        <v>0</v>
      </c>
      <c r="M110" s="292">
        <v>0</v>
      </c>
      <c r="N110" s="293">
        <v>392000</v>
      </c>
      <c r="O110" s="235" t="str">
        <f>VLOOKUP(A110,'[1]Vendor list'!$A$3:$D$409,4,0)</f>
        <v>FCA</v>
      </c>
      <c r="Q110" s="281">
        <v>392000</v>
      </c>
      <c r="R110" s="281">
        <v>0</v>
      </c>
      <c r="S110" s="281">
        <v>0</v>
      </c>
      <c r="T110" s="282">
        <v>0</v>
      </c>
      <c r="U110" s="283">
        <v>10</v>
      </c>
      <c r="V110" s="283">
        <v>8</v>
      </c>
      <c r="W110" s="283">
        <v>10</v>
      </c>
      <c r="X110" s="283" t="s">
        <v>673</v>
      </c>
    </row>
    <row r="111" spans="1:24">
      <c r="A111" s="284" t="s">
        <v>319</v>
      </c>
      <c r="B111" s="285" t="s">
        <v>486</v>
      </c>
      <c r="C111" s="286" t="s">
        <v>668</v>
      </c>
      <c r="D111" s="287" t="s">
        <v>669</v>
      </c>
      <c r="E111" s="288">
        <v>8.6449999999999996</v>
      </c>
      <c r="F111" s="289">
        <v>4832</v>
      </c>
      <c r="G111" s="290">
        <v>4832</v>
      </c>
      <c r="H111" s="291" t="s">
        <v>672</v>
      </c>
      <c r="I111" s="279">
        <v>332000</v>
      </c>
      <c r="J111" s="292">
        <v>332000</v>
      </c>
      <c r="K111" s="292"/>
      <c r="L111" s="292">
        <v>0</v>
      </c>
      <c r="M111" s="292">
        <v>0</v>
      </c>
      <c r="N111" s="293">
        <v>332000</v>
      </c>
      <c r="O111" s="235" t="str">
        <f>VLOOKUP(A111,'[1]Vendor list'!$A$3:$D$409,4,0)</f>
        <v>FCA</v>
      </c>
      <c r="Q111" s="281">
        <v>332000</v>
      </c>
      <c r="R111" s="281">
        <v>0</v>
      </c>
      <c r="S111" s="281">
        <v>0</v>
      </c>
      <c r="T111" s="282">
        <v>0</v>
      </c>
      <c r="U111" s="283">
        <v>5</v>
      </c>
      <c r="V111" s="283">
        <v>5</v>
      </c>
      <c r="W111" s="283">
        <v>5</v>
      </c>
      <c r="X111" s="283" t="s">
        <v>672</v>
      </c>
    </row>
    <row r="112" spans="1:24">
      <c r="A112" s="284" t="s">
        <v>319</v>
      </c>
      <c r="B112" s="285" t="s">
        <v>487</v>
      </c>
      <c r="C112" s="286" t="s">
        <v>668</v>
      </c>
      <c r="D112" s="287" t="s">
        <v>669</v>
      </c>
      <c r="E112" s="288">
        <v>31.29</v>
      </c>
      <c r="F112" s="289">
        <v>5278</v>
      </c>
      <c r="G112" s="290">
        <v>10419.57</v>
      </c>
      <c r="H112" s="291" t="s">
        <v>673</v>
      </c>
      <c r="I112" s="279">
        <v>392000</v>
      </c>
      <c r="J112" s="292">
        <v>392000</v>
      </c>
      <c r="K112" s="292"/>
      <c r="L112" s="292">
        <v>0</v>
      </c>
      <c r="M112" s="292">
        <v>0</v>
      </c>
      <c r="N112" s="293">
        <v>392000</v>
      </c>
      <c r="O112" s="235" t="str">
        <f>VLOOKUP(A112,'[1]Vendor list'!$A$3:$D$409,4,0)</f>
        <v>FCA</v>
      </c>
      <c r="Q112" s="281">
        <v>392000</v>
      </c>
      <c r="R112" s="281">
        <v>0</v>
      </c>
      <c r="S112" s="281">
        <v>0</v>
      </c>
      <c r="T112" s="282">
        <v>0</v>
      </c>
      <c r="U112" s="283">
        <v>10</v>
      </c>
      <c r="V112" s="283">
        <v>10</v>
      </c>
      <c r="W112" s="283">
        <v>10</v>
      </c>
      <c r="X112" s="283" t="s">
        <v>673</v>
      </c>
    </row>
    <row r="113" spans="1:24">
      <c r="A113" s="284" t="s">
        <v>319</v>
      </c>
      <c r="B113" s="285" t="s">
        <v>488</v>
      </c>
      <c r="C113" s="286" t="s">
        <v>668</v>
      </c>
      <c r="D113" s="287" t="s">
        <v>669</v>
      </c>
      <c r="E113" s="288">
        <v>22.66</v>
      </c>
      <c r="F113" s="289">
        <v>6741</v>
      </c>
      <c r="G113" s="290">
        <v>7545.78</v>
      </c>
      <c r="H113" s="291" t="s">
        <v>673</v>
      </c>
      <c r="I113" s="279">
        <v>392000</v>
      </c>
      <c r="J113" s="292">
        <v>392000</v>
      </c>
      <c r="K113" s="292"/>
      <c r="L113" s="292">
        <v>0</v>
      </c>
      <c r="M113" s="292">
        <v>0</v>
      </c>
      <c r="N113" s="293">
        <v>392000</v>
      </c>
      <c r="O113" s="235" t="str">
        <f>VLOOKUP(A113,'[1]Vendor list'!$A$3:$D$409,4,0)</f>
        <v>FCA</v>
      </c>
      <c r="Q113" s="281">
        <v>392000</v>
      </c>
      <c r="R113" s="281">
        <v>0</v>
      </c>
      <c r="S113" s="281">
        <v>0</v>
      </c>
      <c r="T113" s="282">
        <v>0</v>
      </c>
      <c r="U113" s="283">
        <v>10</v>
      </c>
      <c r="V113" s="283">
        <v>8</v>
      </c>
      <c r="W113" s="283">
        <v>10</v>
      </c>
      <c r="X113" s="283" t="s">
        <v>673</v>
      </c>
    </row>
    <row r="114" spans="1:24">
      <c r="A114" s="284" t="s">
        <v>319</v>
      </c>
      <c r="B114" s="285" t="s">
        <v>489</v>
      </c>
      <c r="C114" s="286" t="s">
        <v>668</v>
      </c>
      <c r="D114" s="287" t="s">
        <v>669</v>
      </c>
      <c r="E114" s="288">
        <v>22.78</v>
      </c>
      <c r="F114" s="289">
        <v>3795.2</v>
      </c>
      <c r="G114" s="290">
        <v>7585.7400000000007</v>
      </c>
      <c r="H114" s="291" t="s">
        <v>673</v>
      </c>
      <c r="I114" s="279">
        <v>392000</v>
      </c>
      <c r="J114" s="292">
        <v>392000</v>
      </c>
      <c r="K114" s="292"/>
      <c r="L114" s="292">
        <v>0</v>
      </c>
      <c r="M114" s="292">
        <v>0</v>
      </c>
      <c r="N114" s="293">
        <v>392000</v>
      </c>
      <c r="O114" s="235" t="str">
        <f>VLOOKUP(A114,'[1]Vendor list'!$A$3:$D$409,4,0)</f>
        <v>FCA</v>
      </c>
      <c r="Q114" s="281">
        <v>392000</v>
      </c>
      <c r="R114" s="281">
        <v>0</v>
      </c>
      <c r="S114" s="281">
        <v>0</v>
      </c>
      <c r="T114" s="282">
        <v>0</v>
      </c>
      <c r="U114" s="283">
        <v>10</v>
      </c>
      <c r="V114" s="283">
        <v>8</v>
      </c>
      <c r="W114" s="283">
        <v>10</v>
      </c>
      <c r="X114" s="283" t="s">
        <v>673</v>
      </c>
    </row>
    <row r="115" spans="1:24">
      <c r="A115" s="284" t="s">
        <v>319</v>
      </c>
      <c r="B115" s="285" t="s">
        <v>490</v>
      </c>
      <c r="C115" s="286" t="s">
        <v>668</v>
      </c>
      <c r="D115" s="287" t="s">
        <v>669</v>
      </c>
      <c r="E115" s="288">
        <v>28.48</v>
      </c>
      <c r="F115" s="289">
        <v>4338.88</v>
      </c>
      <c r="G115" s="290">
        <v>9483.84</v>
      </c>
      <c r="H115" s="291" t="s">
        <v>673</v>
      </c>
      <c r="I115" s="279">
        <v>392000</v>
      </c>
      <c r="J115" s="292">
        <v>392000</v>
      </c>
      <c r="K115" s="292"/>
      <c r="L115" s="292">
        <v>0</v>
      </c>
      <c r="M115" s="292">
        <v>0</v>
      </c>
      <c r="N115" s="293">
        <v>392000</v>
      </c>
      <c r="O115" s="235" t="str">
        <f>VLOOKUP(A115,'[1]Vendor list'!$A$3:$D$409,4,0)</f>
        <v>FCA</v>
      </c>
      <c r="Q115" s="281">
        <v>392000</v>
      </c>
      <c r="R115" s="281">
        <v>0</v>
      </c>
      <c r="S115" s="281">
        <v>0</v>
      </c>
      <c r="T115" s="282">
        <v>0</v>
      </c>
      <c r="U115" s="283">
        <v>10</v>
      </c>
      <c r="V115" s="283">
        <v>10</v>
      </c>
      <c r="W115" s="283">
        <v>10</v>
      </c>
      <c r="X115" s="283" t="s">
        <v>673</v>
      </c>
    </row>
    <row r="116" spans="1:24">
      <c r="A116" s="284" t="s">
        <v>319</v>
      </c>
      <c r="B116" s="285" t="s">
        <v>491</v>
      </c>
      <c r="C116" s="286" t="s">
        <v>668</v>
      </c>
      <c r="D116" s="287" t="s">
        <v>669</v>
      </c>
      <c r="E116" s="288">
        <v>16.61</v>
      </c>
      <c r="F116" s="289">
        <v>2838</v>
      </c>
      <c r="G116" s="290">
        <v>5531.13</v>
      </c>
      <c r="H116" s="291" t="s">
        <v>674</v>
      </c>
      <c r="I116" s="279">
        <v>376000</v>
      </c>
      <c r="J116" s="292">
        <v>376000</v>
      </c>
      <c r="K116" s="292"/>
      <c r="L116" s="292">
        <v>0</v>
      </c>
      <c r="M116" s="292">
        <v>0</v>
      </c>
      <c r="N116" s="293">
        <v>376000</v>
      </c>
      <c r="O116" s="235" t="str">
        <f>VLOOKUP(A116,'[1]Vendor list'!$A$3:$D$409,4,0)</f>
        <v>FCA</v>
      </c>
      <c r="Q116" s="281">
        <v>376000</v>
      </c>
      <c r="R116" s="281">
        <v>0</v>
      </c>
      <c r="S116" s="281">
        <v>0</v>
      </c>
      <c r="T116" s="282">
        <v>0</v>
      </c>
      <c r="U116" s="283">
        <v>8</v>
      </c>
      <c r="V116" s="283">
        <v>8</v>
      </c>
      <c r="W116" s="283">
        <v>8</v>
      </c>
      <c r="X116" s="283" t="s">
        <v>674</v>
      </c>
    </row>
    <row r="117" spans="1:24">
      <c r="A117" s="284" t="s">
        <v>319</v>
      </c>
      <c r="B117" s="285" t="s">
        <v>492</v>
      </c>
      <c r="C117" s="286" t="s">
        <v>668</v>
      </c>
      <c r="D117" s="287" t="s">
        <v>669</v>
      </c>
      <c r="E117" s="288">
        <v>66.430000000000007</v>
      </c>
      <c r="F117" s="289">
        <v>11352</v>
      </c>
      <c r="G117" s="290">
        <v>22121.190000000002</v>
      </c>
      <c r="H117" s="291" t="s">
        <v>681</v>
      </c>
      <c r="I117" s="279">
        <v>1016000</v>
      </c>
      <c r="J117" s="292">
        <v>1016000</v>
      </c>
      <c r="K117" s="292"/>
      <c r="L117" s="292">
        <v>0</v>
      </c>
      <c r="M117" s="292">
        <v>0</v>
      </c>
      <c r="N117" s="293">
        <v>1016000</v>
      </c>
      <c r="O117" s="235" t="str">
        <f>VLOOKUP(A117,'[1]Vendor list'!$A$3:$D$409,4,0)</f>
        <v>FCA</v>
      </c>
      <c r="Q117" s="281">
        <v>0</v>
      </c>
      <c r="R117" s="281">
        <v>0</v>
      </c>
      <c r="S117" s="281">
        <v>0</v>
      </c>
      <c r="T117" s="282">
        <v>1016000</v>
      </c>
      <c r="U117" s="283">
        <v>21</v>
      </c>
      <c r="V117" s="283">
        <v>20</v>
      </c>
      <c r="W117" s="283">
        <v>21</v>
      </c>
      <c r="X117" s="283" t="s">
        <v>681</v>
      </c>
    </row>
    <row r="118" spans="1:24">
      <c r="A118" s="284" t="s">
        <v>319</v>
      </c>
      <c r="B118" s="285" t="s">
        <v>493</v>
      </c>
      <c r="C118" s="286" t="s">
        <v>668</v>
      </c>
      <c r="D118" s="287" t="s">
        <v>669</v>
      </c>
      <c r="E118" s="288">
        <v>29.06</v>
      </c>
      <c r="F118" s="289">
        <v>4966.5</v>
      </c>
      <c r="G118" s="290">
        <v>9676.98</v>
      </c>
      <c r="H118" s="291" t="s">
        <v>673</v>
      </c>
      <c r="I118" s="279">
        <v>392000</v>
      </c>
      <c r="J118" s="292">
        <v>392000</v>
      </c>
      <c r="K118" s="292"/>
      <c r="L118" s="292">
        <v>0</v>
      </c>
      <c r="M118" s="292">
        <v>0</v>
      </c>
      <c r="N118" s="293">
        <v>392000</v>
      </c>
      <c r="O118" s="235" t="str">
        <f>VLOOKUP(A118,'[1]Vendor list'!$A$3:$D$409,4,0)</f>
        <v>FCA</v>
      </c>
      <c r="Q118" s="281">
        <v>392000</v>
      </c>
      <c r="R118" s="281">
        <v>0</v>
      </c>
      <c r="S118" s="281">
        <v>0</v>
      </c>
      <c r="T118" s="282">
        <v>0</v>
      </c>
      <c r="U118" s="283">
        <v>10</v>
      </c>
      <c r="V118" s="283">
        <v>10</v>
      </c>
      <c r="W118" s="283">
        <v>10</v>
      </c>
      <c r="X118" s="283" t="s">
        <v>673</v>
      </c>
    </row>
    <row r="119" spans="1:24">
      <c r="A119" s="284" t="s">
        <v>323</v>
      </c>
      <c r="B119" s="285" t="s">
        <v>494</v>
      </c>
      <c r="C119" s="286" t="s">
        <v>684</v>
      </c>
      <c r="D119" s="287" t="s">
        <v>669</v>
      </c>
      <c r="E119" s="288">
        <v>26.257000000000001</v>
      </c>
      <c r="F119" s="289">
        <v>3570</v>
      </c>
      <c r="G119" s="290">
        <v>8743.5810000000001</v>
      </c>
      <c r="H119" s="291" t="s">
        <v>673</v>
      </c>
      <c r="I119" s="279">
        <v>370000</v>
      </c>
      <c r="J119" s="292">
        <v>370000</v>
      </c>
      <c r="K119" s="292"/>
      <c r="L119" s="292">
        <v>0</v>
      </c>
      <c r="M119" s="292">
        <v>0</v>
      </c>
      <c r="N119" s="293">
        <v>370000</v>
      </c>
      <c r="O119" s="235" t="str">
        <f>VLOOKUP(A119,'[1]Vendor list'!$A$3:$D$409,4,0)</f>
        <v>FCA</v>
      </c>
      <c r="Q119" s="281">
        <v>0</v>
      </c>
      <c r="R119" s="281">
        <v>370000</v>
      </c>
      <c r="S119" s="281">
        <v>0</v>
      </c>
      <c r="T119" s="282">
        <v>0</v>
      </c>
      <c r="U119" s="283">
        <v>10</v>
      </c>
      <c r="V119" s="283">
        <v>10</v>
      </c>
      <c r="W119" s="283">
        <v>10</v>
      </c>
      <c r="X119" s="283" t="s">
        <v>673</v>
      </c>
    </row>
    <row r="120" spans="1:24">
      <c r="A120" s="284" t="s">
        <v>326</v>
      </c>
      <c r="B120" s="285" t="s">
        <v>495</v>
      </c>
      <c r="C120" s="286">
        <v>0</v>
      </c>
      <c r="D120" s="287" t="s">
        <v>669</v>
      </c>
      <c r="E120" s="288">
        <v>6.27</v>
      </c>
      <c r="F120" s="289">
        <v>1251</v>
      </c>
      <c r="G120" s="290">
        <v>2087.91</v>
      </c>
      <c r="H120" s="291" t="s">
        <v>675</v>
      </c>
      <c r="I120" s="279">
        <v>0</v>
      </c>
      <c r="J120" s="292">
        <v>0</v>
      </c>
      <c r="K120" s="292"/>
      <c r="L120" s="292">
        <v>0</v>
      </c>
      <c r="M120" s="292">
        <v>0</v>
      </c>
      <c r="N120" s="293">
        <v>0</v>
      </c>
      <c r="O120" s="235" t="str">
        <f>VLOOKUP(A120,'[1]Vendor list'!$A$3:$D$409,4,0)</f>
        <v>FOB</v>
      </c>
      <c r="Q120" s="281">
        <v>0</v>
      </c>
      <c r="R120" s="281">
        <v>0</v>
      </c>
      <c r="S120" s="281">
        <v>0</v>
      </c>
      <c r="T120" s="282">
        <v>0</v>
      </c>
      <c r="U120" s="283">
        <v>2.5</v>
      </c>
      <c r="V120" s="283">
        <v>2.5</v>
      </c>
      <c r="W120" s="283">
        <v>2.5</v>
      </c>
      <c r="X120" s="283" t="s">
        <v>675</v>
      </c>
    </row>
    <row r="121" spans="1:24">
      <c r="A121" s="284" t="s">
        <v>319</v>
      </c>
      <c r="B121" s="285" t="s">
        <v>496</v>
      </c>
      <c r="C121" s="286" t="s">
        <v>668</v>
      </c>
      <c r="D121" s="287" t="s">
        <v>669</v>
      </c>
      <c r="E121" s="288">
        <v>11.064</v>
      </c>
      <c r="F121" s="289">
        <v>1892</v>
      </c>
      <c r="G121" s="290">
        <v>3684.3119999999999</v>
      </c>
      <c r="H121" s="291" t="s">
        <v>672</v>
      </c>
      <c r="I121" s="279">
        <v>332000</v>
      </c>
      <c r="J121" s="292">
        <v>332000</v>
      </c>
      <c r="K121" s="292"/>
      <c r="L121" s="292">
        <v>0</v>
      </c>
      <c r="M121" s="292">
        <v>0</v>
      </c>
      <c r="N121" s="293">
        <v>332000</v>
      </c>
      <c r="O121" s="235" t="str">
        <f>VLOOKUP(A121,'[1]Vendor list'!$A$3:$D$409,4,0)</f>
        <v>FCA</v>
      </c>
      <c r="Q121" s="281">
        <v>332000</v>
      </c>
      <c r="R121" s="281">
        <v>0</v>
      </c>
      <c r="S121" s="281">
        <v>0</v>
      </c>
      <c r="T121" s="282">
        <v>0</v>
      </c>
      <c r="U121" s="283">
        <v>5</v>
      </c>
      <c r="V121" s="283">
        <v>5</v>
      </c>
      <c r="W121" s="283">
        <v>5</v>
      </c>
      <c r="X121" s="283" t="s">
        <v>672</v>
      </c>
    </row>
    <row r="122" spans="1:24">
      <c r="A122" s="284" t="s">
        <v>220</v>
      </c>
      <c r="B122" s="285" t="s">
        <v>497</v>
      </c>
      <c r="C122" s="286" t="s">
        <v>694</v>
      </c>
      <c r="D122" s="287" t="s">
        <v>669</v>
      </c>
      <c r="E122" s="288">
        <v>18.335999999999999</v>
      </c>
      <c r="F122" s="289">
        <v>8612</v>
      </c>
      <c r="G122" s="290">
        <v>8612</v>
      </c>
      <c r="H122" s="291" t="s">
        <v>673</v>
      </c>
      <c r="I122" s="279">
        <v>551000</v>
      </c>
      <c r="J122" s="292">
        <v>551000</v>
      </c>
      <c r="K122" s="292"/>
      <c r="L122" s="292">
        <v>0</v>
      </c>
      <c r="M122" s="292">
        <v>0</v>
      </c>
      <c r="N122" s="293">
        <v>551000</v>
      </c>
      <c r="O122" s="235" t="str">
        <f>VLOOKUP(A122,'[1]Vendor list'!$A$3:$D$409,4,0)</f>
        <v>FCA</v>
      </c>
      <c r="Q122" s="281">
        <v>551000</v>
      </c>
      <c r="R122" s="281">
        <v>0</v>
      </c>
      <c r="S122" s="281">
        <v>0</v>
      </c>
      <c r="T122" s="282">
        <v>0</v>
      </c>
      <c r="U122" s="283">
        <v>8</v>
      </c>
      <c r="V122" s="283">
        <v>10</v>
      </c>
      <c r="W122" s="283">
        <v>10</v>
      </c>
      <c r="X122" s="283" t="s">
        <v>673</v>
      </c>
    </row>
    <row r="123" spans="1:24">
      <c r="A123" s="284" t="s">
        <v>220</v>
      </c>
      <c r="B123" s="285" t="s">
        <v>498</v>
      </c>
      <c r="C123" s="286" t="s">
        <v>694</v>
      </c>
      <c r="D123" s="287" t="s">
        <v>669</v>
      </c>
      <c r="E123" s="288">
        <v>8.9960000000000004</v>
      </c>
      <c r="F123" s="289">
        <v>4185</v>
      </c>
      <c r="G123" s="290">
        <v>4185</v>
      </c>
      <c r="H123" s="291" t="s">
        <v>672</v>
      </c>
      <c r="I123" s="279">
        <v>435000</v>
      </c>
      <c r="J123" s="292">
        <v>435000</v>
      </c>
      <c r="K123" s="292"/>
      <c r="L123" s="292">
        <v>0</v>
      </c>
      <c r="M123" s="292">
        <v>0</v>
      </c>
      <c r="N123" s="293">
        <v>435000</v>
      </c>
      <c r="O123" s="235" t="str">
        <f>VLOOKUP(A123,'[1]Vendor list'!$A$3:$D$409,4,0)</f>
        <v>FCA</v>
      </c>
      <c r="Q123" s="281">
        <v>435000</v>
      </c>
      <c r="R123" s="281">
        <v>0</v>
      </c>
      <c r="S123" s="281">
        <v>0</v>
      </c>
      <c r="T123" s="282">
        <v>0</v>
      </c>
      <c r="U123" s="283">
        <v>5</v>
      </c>
      <c r="V123" s="283">
        <v>5</v>
      </c>
      <c r="W123" s="283">
        <v>5</v>
      </c>
      <c r="X123" s="283" t="s">
        <v>672</v>
      </c>
    </row>
    <row r="124" spans="1:24">
      <c r="A124" s="284" t="s">
        <v>97</v>
      </c>
      <c r="B124" s="285" t="s">
        <v>499</v>
      </c>
      <c r="C124" s="286" t="s">
        <v>679</v>
      </c>
      <c r="D124" s="287" t="s">
        <v>669</v>
      </c>
      <c r="E124" s="288">
        <v>4.2140000000000004</v>
      </c>
      <c r="F124" s="289">
        <v>992.28</v>
      </c>
      <c r="G124" s="290">
        <v>1403.2620000000002</v>
      </c>
      <c r="H124" s="291" t="s">
        <v>675</v>
      </c>
      <c r="I124" s="279">
        <v>235000</v>
      </c>
      <c r="J124" s="292">
        <v>235000</v>
      </c>
      <c r="K124" s="292"/>
      <c r="L124" s="292">
        <v>0</v>
      </c>
      <c r="M124" s="292">
        <v>0</v>
      </c>
      <c r="N124" s="293">
        <v>235000</v>
      </c>
      <c r="O124" s="235" t="str">
        <f>VLOOKUP(A124,'[1]Vendor list'!$A$3:$D$409,4,0)</f>
        <v>FCA</v>
      </c>
      <c r="Q124" s="281">
        <v>0</v>
      </c>
      <c r="R124" s="281">
        <v>235000</v>
      </c>
      <c r="S124" s="281">
        <v>0</v>
      </c>
      <c r="T124" s="282">
        <v>0</v>
      </c>
      <c r="U124" s="283">
        <v>2.5</v>
      </c>
      <c r="V124" s="283">
        <v>2.5</v>
      </c>
      <c r="W124" s="283">
        <v>2.5</v>
      </c>
      <c r="X124" s="283" t="s">
        <v>675</v>
      </c>
    </row>
    <row r="125" spans="1:24">
      <c r="A125" s="284" t="s">
        <v>97</v>
      </c>
      <c r="B125" s="285" t="s">
        <v>500</v>
      </c>
      <c r="C125" s="286" t="s">
        <v>679</v>
      </c>
      <c r="D125" s="287" t="s">
        <v>669</v>
      </c>
      <c r="E125" s="288">
        <v>0.86499999999999999</v>
      </c>
      <c r="F125" s="289">
        <v>388.68</v>
      </c>
      <c r="G125" s="290">
        <v>388.68</v>
      </c>
      <c r="H125" s="291" t="s">
        <v>676</v>
      </c>
      <c r="I125" s="279">
        <v>198000</v>
      </c>
      <c r="J125" s="292">
        <v>198000</v>
      </c>
      <c r="K125" s="292"/>
      <c r="L125" s="292">
        <v>0</v>
      </c>
      <c r="M125" s="292">
        <v>0</v>
      </c>
      <c r="N125" s="293">
        <v>198000</v>
      </c>
      <c r="O125" s="235" t="str">
        <f>VLOOKUP(A125,'[1]Vendor list'!$A$3:$D$409,4,0)</f>
        <v>FCA</v>
      </c>
      <c r="Q125" s="281">
        <v>0</v>
      </c>
      <c r="R125" s="281">
        <v>198000</v>
      </c>
      <c r="S125" s="281">
        <v>0</v>
      </c>
      <c r="T125" s="282">
        <v>0</v>
      </c>
      <c r="U125" s="283">
        <v>1</v>
      </c>
      <c r="V125" s="283">
        <v>1</v>
      </c>
      <c r="W125" s="283">
        <v>1</v>
      </c>
      <c r="X125" s="283" t="s">
        <v>676</v>
      </c>
    </row>
    <row r="126" spans="1:24">
      <c r="A126" s="284" t="s">
        <v>321</v>
      </c>
      <c r="B126" s="285" t="s">
        <v>501</v>
      </c>
      <c r="C126" s="286">
        <v>0</v>
      </c>
      <c r="D126" s="287" t="s">
        <v>669</v>
      </c>
      <c r="E126" s="288">
        <v>9.66</v>
      </c>
      <c r="F126" s="289">
        <v>3300</v>
      </c>
      <c r="G126" s="290">
        <v>3300</v>
      </c>
      <c r="H126" s="291" t="s">
        <v>672</v>
      </c>
      <c r="I126" s="279">
        <v>0</v>
      </c>
      <c r="J126" s="292">
        <v>0</v>
      </c>
      <c r="K126" s="292"/>
      <c r="L126" s="292">
        <v>0</v>
      </c>
      <c r="M126" s="292">
        <v>0</v>
      </c>
      <c r="N126" s="293">
        <v>0</v>
      </c>
      <c r="O126" s="235" t="str">
        <f>VLOOKUP(A126,'[1]Vendor list'!$A$3:$D$409,4,0)</f>
        <v>FOB</v>
      </c>
      <c r="Q126" s="281">
        <v>0</v>
      </c>
      <c r="R126" s="281">
        <v>0</v>
      </c>
      <c r="S126" s="281">
        <v>0</v>
      </c>
      <c r="T126" s="282">
        <v>0</v>
      </c>
      <c r="U126" s="283">
        <v>5</v>
      </c>
      <c r="V126" s="283">
        <v>5</v>
      </c>
      <c r="W126" s="283">
        <v>5</v>
      </c>
      <c r="X126" s="283" t="s">
        <v>672</v>
      </c>
    </row>
    <row r="127" spans="1:24">
      <c r="A127" s="284" t="s">
        <v>378</v>
      </c>
      <c r="B127" s="285" t="s">
        <v>502</v>
      </c>
      <c r="C127" s="286">
        <v>0</v>
      </c>
      <c r="D127" s="287" t="s">
        <v>669</v>
      </c>
      <c r="E127" s="288">
        <v>5.71</v>
      </c>
      <c r="F127" s="289">
        <v>1095</v>
      </c>
      <c r="G127" s="290">
        <v>1901.43</v>
      </c>
      <c r="H127" s="291" t="s">
        <v>675</v>
      </c>
      <c r="I127" s="279">
        <v>0</v>
      </c>
      <c r="J127" s="292">
        <v>0</v>
      </c>
      <c r="K127" s="292"/>
      <c r="L127" s="292">
        <v>0</v>
      </c>
      <c r="M127" s="292">
        <v>0</v>
      </c>
      <c r="N127" s="293">
        <v>0</v>
      </c>
      <c r="O127" s="235" t="str">
        <f>VLOOKUP(A127,'[1]Vendor list'!$A$3:$D$409,4,0)</f>
        <v>FOB</v>
      </c>
      <c r="Q127" s="281">
        <v>0</v>
      </c>
      <c r="R127" s="281">
        <v>0</v>
      </c>
      <c r="S127" s="281">
        <v>0</v>
      </c>
      <c r="T127" s="282">
        <v>0</v>
      </c>
      <c r="U127" s="283">
        <v>2.5</v>
      </c>
      <c r="V127" s="283">
        <v>2.5</v>
      </c>
      <c r="W127" s="283">
        <v>2.5</v>
      </c>
      <c r="X127" s="283" t="s">
        <v>675</v>
      </c>
    </row>
    <row r="128" spans="1:24">
      <c r="A128" s="284" t="s">
        <v>379</v>
      </c>
      <c r="B128" s="285" t="s">
        <v>503</v>
      </c>
      <c r="C128" s="286">
        <v>0</v>
      </c>
      <c r="D128" s="287" t="s">
        <v>669</v>
      </c>
      <c r="E128" s="288">
        <v>0.83199999999999996</v>
      </c>
      <c r="F128" s="289">
        <v>534</v>
      </c>
      <c r="G128" s="290">
        <v>534</v>
      </c>
      <c r="H128" s="291" t="s">
        <v>676</v>
      </c>
      <c r="I128" s="279">
        <v>0</v>
      </c>
      <c r="J128" s="292">
        <v>0</v>
      </c>
      <c r="K128" s="292"/>
      <c r="L128" s="292">
        <v>0</v>
      </c>
      <c r="M128" s="292">
        <v>0</v>
      </c>
      <c r="N128" s="293">
        <v>0</v>
      </c>
      <c r="O128" s="235" t="str">
        <f>VLOOKUP(A128,'[1]Vendor list'!$A$3:$D$409,4,0)</f>
        <v>FOB</v>
      </c>
      <c r="Q128" s="281">
        <v>0</v>
      </c>
      <c r="R128" s="281">
        <v>0</v>
      </c>
      <c r="S128" s="281">
        <v>0</v>
      </c>
      <c r="T128" s="282">
        <v>0</v>
      </c>
      <c r="U128" s="283">
        <v>1</v>
      </c>
      <c r="V128" s="283">
        <v>1</v>
      </c>
      <c r="W128" s="283">
        <v>1</v>
      </c>
      <c r="X128" s="283" t="s">
        <v>676</v>
      </c>
    </row>
    <row r="129" spans="1:24" s="300" customFormat="1">
      <c r="A129" s="284" t="s">
        <v>319</v>
      </c>
      <c r="B129" s="285" t="s">
        <v>504</v>
      </c>
      <c r="C129" s="286" t="s">
        <v>668</v>
      </c>
      <c r="D129" s="287" t="s">
        <v>669</v>
      </c>
      <c r="E129" s="288">
        <v>1.1859999999999999</v>
      </c>
      <c r="F129" s="289">
        <v>385</v>
      </c>
      <c r="G129" s="290">
        <v>394.93799999999999</v>
      </c>
      <c r="H129" s="291" t="s">
        <v>676</v>
      </c>
      <c r="I129" s="279">
        <v>232000</v>
      </c>
      <c r="J129" s="290">
        <v>232000</v>
      </c>
      <c r="K129" s="290"/>
      <c r="L129" s="290">
        <v>0</v>
      </c>
      <c r="M129" s="290">
        <v>0</v>
      </c>
      <c r="N129" s="299">
        <v>232000</v>
      </c>
      <c r="O129" s="300" t="str">
        <f>VLOOKUP(A129,'[1]Vendor list'!$A$3:$D$409,4,0)</f>
        <v>FCA</v>
      </c>
      <c r="Q129" s="281">
        <v>232000</v>
      </c>
      <c r="R129" s="281">
        <v>0</v>
      </c>
      <c r="S129" s="281">
        <v>0</v>
      </c>
      <c r="T129" s="282">
        <v>0</v>
      </c>
      <c r="U129" s="302">
        <v>1</v>
      </c>
      <c r="V129" s="302">
        <v>1</v>
      </c>
      <c r="W129" s="302">
        <v>1</v>
      </c>
      <c r="X129" s="302" t="s">
        <v>676</v>
      </c>
    </row>
    <row r="130" spans="1:24" s="300" customFormat="1">
      <c r="A130" s="284" t="s">
        <v>319</v>
      </c>
      <c r="B130" s="285" t="s">
        <v>505</v>
      </c>
      <c r="C130" s="286" t="s">
        <v>668</v>
      </c>
      <c r="D130" s="287" t="s">
        <v>669</v>
      </c>
      <c r="E130" s="288">
        <v>9.4860000000000007</v>
      </c>
      <c r="F130" s="289">
        <v>3080</v>
      </c>
      <c r="G130" s="290">
        <v>3158.8380000000002</v>
      </c>
      <c r="H130" s="291" t="s">
        <v>672</v>
      </c>
      <c r="I130" s="279">
        <v>332000</v>
      </c>
      <c r="J130" s="290">
        <v>332000</v>
      </c>
      <c r="K130" s="290"/>
      <c r="L130" s="290">
        <v>0</v>
      </c>
      <c r="M130" s="290">
        <v>0</v>
      </c>
      <c r="N130" s="299">
        <v>332000</v>
      </c>
      <c r="O130" s="300" t="str">
        <f>VLOOKUP(A130,'[1]Vendor list'!$A$3:$D$409,4,0)</f>
        <v>FCA</v>
      </c>
      <c r="Q130" s="281">
        <v>332000</v>
      </c>
      <c r="R130" s="281">
        <v>0</v>
      </c>
      <c r="S130" s="281">
        <v>0</v>
      </c>
      <c r="T130" s="282">
        <v>0</v>
      </c>
      <c r="U130" s="302">
        <v>5</v>
      </c>
      <c r="V130" s="302">
        <v>5</v>
      </c>
      <c r="W130" s="302">
        <v>5</v>
      </c>
      <c r="X130" s="302" t="s">
        <v>672</v>
      </c>
    </row>
    <row r="131" spans="1:24">
      <c r="A131" s="284" t="s">
        <v>89</v>
      </c>
      <c r="B131" s="285" t="s">
        <v>506</v>
      </c>
      <c r="C131" s="286" t="s">
        <v>690</v>
      </c>
      <c r="D131" s="287" t="s">
        <v>669</v>
      </c>
      <c r="E131" s="288">
        <v>50.39</v>
      </c>
      <c r="F131" s="289">
        <v>7084.8</v>
      </c>
      <c r="G131" s="290">
        <v>16779.87</v>
      </c>
      <c r="H131" s="291" t="s">
        <v>682</v>
      </c>
      <c r="I131" s="279">
        <v>1135000</v>
      </c>
      <c r="J131" s="292">
        <v>1135000</v>
      </c>
      <c r="K131" s="292"/>
      <c r="L131" s="292">
        <v>0</v>
      </c>
      <c r="M131" s="292">
        <v>0</v>
      </c>
      <c r="N131" s="293">
        <v>1135000</v>
      </c>
      <c r="O131" s="235" t="str">
        <f>VLOOKUP(A131,'[1]Vendor list'!$A$3:$D$409,4,0)</f>
        <v>FCA</v>
      </c>
      <c r="Q131" s="281">
        <v>0</v>
      </c>
      <c r="R131" s="281">
        <v>1135000</v>
      </c>
      <c r="S131" s="281">
        <v>0</v>
      </c>
      <c r="T131" s="282">
        <v>0</v>
      </c>
      <c r="U131" s="283">
        <v>18</v>
      </c>
      <c r="V131" s="283">
        <v>18</v>
      </c>
      <c r="W131" s="283">
        <v>18</v>
      </c>
      <c r="X131" s="283" t="s">
        <v>682</v>
      </c>
    </row>
    <row r="132" spans="1:24">
      <c r="A132" s="284" t="s">
        <v>90</v>
      </c>
      <c r="B132" s="285" t="s">
        <v>507</v>
      </c>
      <c r="C132" s="286" t="s">
        <v>678</v>
      </c>
      <c r="D132" s="287" t="s">
        <v>669</v>
      </c>
      <c r="E132" s="288">
        <v>0.45600000000000002</v>
      </c>
      <c r="F132" s="289">
        <v>85</v>
      </c>
      <c r="G132" s="290">
        <v>151.84800000000001</v>
      </c>
      <c r="H132" s="291" t="s">
        <v>676</v>
      </c>
      <c r="I132" s="279">
        <v>265000</v>
      </c>
      <c r="J132" s="292">
        <v>265000</v>
      </c>
      <c r="K132" s="292"/>
      <c r="L132" s="292">
        <v>0</v>
      </c>
      <c r="M132" s="292">
        <v>0</v>
      </c>
      <c r="N132" s="293">
        <v>265000</v>
      </c>
      <c r="O132" s="235" t="str">
        <f>VLOOKUP(A132,'[1]Vendor list'!$A$3:$D$409,4,0)</f>
        <v>FCA</v>
      </c>
      <c r="Q132" s="281">
        <v>265000</v>
      </c>
      <c r="R132" s="281">
        <v>0</v>
      </c>
      <c r="S132" s="281">
        <v>0</v>
      </c>
      <c r="T132" s="282">
        <v>0</v>
      </c>
      <c r="U132" s="283">
        <v>1</v>
      </c>
      <c r="V132" s="283">
        <v>1</v>
      </c>
      <c r="W132" s="283">
        <v>1</v>
      </c>
      <c r="X132" s="283" t="s">
        <v>676</v>
      </c>
    </row>
    <row r="133" spans="1:24">
      <c r="A133" s="284" t="s">
        <v>319</v>
      </c>
      <c r="B133" s="285" t="s">
        <v>508</v>
      </c>
      <c r="C133" s="286" t="s">
        <v>668</v>
      </c>
      <c r="D133" s="287" t="s">
        <v>669</v>
      </c>
      <c r="E133" s="288">
        <v>12.667999999999999</v>
      </c>
      <c r="F133" s="289">
        <v>5225</v>
      </c>
      <c r="G133" s="290">
        <v>5225</v>
      </c>
      <c r="H133" s="291" t="s">
        <v>674</v>
      </c>
      <c r="I133" s="279">
        <v>376000</v>
      </c>
      <c r="J133" s="292">
        <v>376000</v>
      </c>
      <c r="K133" s="292"/>
      <c r="L133" s="292">
        <v>0</v>
      </c>
      <c r="M133" s="292">
        <v>0</v>
      </c>
      <c r="N133" s="293">
        <v>376000</v>
      </c>
      <c r="O133" s="235" t="str">
        <f>VLOOKUP(A133,'[1]Vendor list'!$A$3:$D$409,4,0)</f>
        <v>FCA</v>
      </c>
      <c r="Q133" s="281">
        <v>376000</v>
      </c>
      <c r="R133" s="281">
        <v>0</v>
      </c>
      <c r="S133" s="281">
        <v>0</v>
      </c>
      <c r="T133" s="282">
        <v>0</v>
      </c>
      <c r="U133" s="283">
        <v>5</v>
      </c>
      <c r="V133" s="283">
        <v>8</v>
      </c>
      <c r="W133" s="283">
        <v>8</v>
      </c>
      <c r="X133" s="283" t="s">
        <v>674</v>
      </c>
    </row>
    <row r="134" spans="1:24">
      <c r="A134" s="284" t="s">
        <v>319</v>
      </c>
      <c r="B134" s="285" t="s">
        <v>509</v>
      </c>
      <c r="C134" s="286" t="s">
        <v>668</v>
      </c>
      <c r="D134" s="287" t="s">
        <v>669</v>
      </c>
      <c r="E134" s="288">
        <v>18.850000000000001</v>
      </c>
      <c r="F134" s="289">
        <v>6745</v>
      </c>
      <c r="G134" s="290">
        <v>6745</v>
      </c>
      <c r="H134" s="291" t="s">
        <v>674</v>
      </c>
      <c r="I134" s="279">
        <v>376000</v>
      </c>
      <c r="J134" s="292">
        <v>376000</v>
      </c>
      <c r="K134" s="292"/>
      <c r="L134" s="292">
        <v>0</v>
      </c>
      <c r="M134" s="292">
        <v>0</v>
      </c>
      <c r="N134" s="293">
        <v>376000</v>
      </c>
      <c r="O134" s="235" t="str">
        <f>VLOOKUP(A134,'[1]Vendor list'!$A$3:$D$409,4,0)</f>
        <v>FCA</v>
      </c>
      <c r="Q134" s="281">
        <v>376000</v>
      </c>
      <c r="R134" s="281">
        <v>0</v>
      </c>
      <c r="S134" s="281">
        <v>0</v>
      </c>
      <c r="T134" s="282">
        <v>0</v>
      </c>
      <c r="U134" s="283">
        <v>8</v>
      </c>
      <c r="V134" s="283">
        <v>8</v>
      </c>
      <c r="W134" s="283">
        <v>8</v>
      </c>
      <c r="X134" s="283" t="s">
        <v>674</v>
      </c>
    </row>
    <row r="135" spans="1:24">
      <c r="A135" s="284" t="s">
        <v>319</v>
      </c>
      <c r="B135" s="285" t="s">
        <v>510</v>
      </c>
      <c r="C135" s="286" t="s">
        <v>668</v>
      </c>
      <c r="D135" s="287" t="s">
        <v>669</v>
      </c>
      <c r="E135" s="288">
        <v>11.35</v>
      </c>
      <c r="F135" s="289">
        <v>4658</v>
      </c>
      <c r="G135" s="290">
        <v>4658</v>
      </c>
      <c r="H135" s="291" t="s">
        <v>672</v>
      </c>
      <c r="I135" s="279">
        <v>332000</v>
      </c>
      <c r="J135" s="292">
        <v>332000</v>
      </c>
      <c r="K135" s="292"/>
      <c r="L135" s="292">
        <v>0</v>
      </c>
      <c r="M135" s="292">
        <v>0</v>
      </c>
      <c r="N135" s="293">
        <v>332000</v>
      </c>
      <c r="O135" s="235" t="str">
        <f>VLOOKUP(A135,'[1]Vendor list'!$A$3:$D$409,4,0)</f>
        <v>FCA</v>
      </c>
      <c r="Q135" s="281">
        <v>332000</v>
      </c>
      <c r="R135" s="281">
        <v>0</v>
      </c>
      <c r="S135" s="281">
        <v>0</v>
      </c>
      <c r="T135" s="282">
        <v>0</v>
      </c>
      <c r="U135" s="283">
        <v>5</v>
      </c>
      <c r="V135" s="283">
        <v>5</v>
      </c>
      <c r="W135" s="283">
        <v>5</v>
      </c>
      <c r="X135" s="283" t="s">
        <v>672</v>
      </c>
    </row>
    <row r="136" spans="1:24">
      <c r="A136" s="284" t="s">
        <v>98</v>
      </c>
      <c r="B136" s="285" t="s">
        <v>511</v>
      </c>
      <c r="C136" s="286" t="s">
        <v>687</v>
      </c>
      <c r="D136" s="287" t="s">
        <v>669</v>
      </c>
      <c r="E136" s="288">
        <v>14.747</v>
      </c>
      <c r="F136" s="289">
        <v>3012</v>
      </c>
      <c r="G136" s="290">
        <v>4910.7510000000002</v>
      </c>
      <c r="H136" s="291" t="s">
        <v>672</v>
      </c>
      <c r="I136" s="279">
        <v>216500</v>
      </c>
      <c r="J136" s="292">
        <v>216500</v>
      </c>
      <c r="K136" s="292"/>
      <c r="L136" s="292">
        <v>0</v>
      </c>
      <c r="M136" s="292">
        <v>0</v>
      </c>
      <c r="N136" s="293">
        <v>216500</v>
      </c>
      <c r="O136" s="235" t="str">
        <f>VLOOKUP(A136,'[1]Vendor list'!$A$3:$D$409,4,0)</f>
        <v>FCA</v>
      </c>
      <c r="Q136" s="281">
        <v>216500</v>
      </c>
      <c r="R136" s="281">
        <v>0</v>
      </c>
      <c r="S136" s="281">
        <v>0</v>
      </c>
      <c r="T136" s="282">
        <v>0</v>
      </c>
      <c r="U136" s="283">
        <v>5</v>
      </c>
      <c r="V136" s="283">
        <v>5</v>
      </c>
      <c r="W136" s="283">
        <v>5</v>
      </c>
      <c r="X136" s="283" t="s">
        <v>672</v>
      </c>
    </row>
    <row r="137" spans="1:24">
      <c r="A137" s="284" t="s">
        <v>380</v>
      </c>
      <c r="B137" s="285" t="s">
        <v>512</v>
      </c>
      <c r="C137" s="286" t="s">
        <v>695</v>
      </c>
      <c r="D137" s="287" t="s">
        <v>669</v>
      </c>
      <c r="E137" s="288">
        <v>2.4289999999999998</v>
      </c>
      <c r="F137" s="289">
        <v>269.88</v>
      </c>
      <c r="G137" s="290">
        <v>808.85699999999997</v>
      </c>
      <c r="H137" s="291" t="s">
        <v>676</v>
      </c>
      <c r="I137" s="279">
        <v>282000</v>
      </c>
      <c r="J137" s="292">
        <v>282000</v>
      </c>
      <c r="K137" s="292"/>
      <c r="L137" s="292">
        <v>0</v>
      </c>
      <c r="M137" s="292">
        <v>0</v>
      </c>
      <c r="N137" s="293">
        <v>282000</v>
      </c>
      <c r="O137" s="235" t="str">
        <f>VLOOKUP(A137,'[1]Vendor list'!$A$3:$D$409,4,0)</f>
        <v>FCA</v>
      </c>
      <c r="Q137" s="281">
        <v>0</v>
      </c>
      <c r="R137" s="281">
        <v>282000</v>
      </c>
      <c r="S137" s="281">
        <v>0</v>
      </c>
      <c r="T137" s="282">
        <v>0</v>
      </c>
      <c r="U137" s="283">
        <v>1</v>
      </c>
      <c r="V137" s="283">
        <v>1</v>
      </c>
      <c r="W137" s="283">
        <v>1</v>
      </c>
      <c r="X137" s="283" t="s">
        <v>676</v>
      </c>
    </row>
    <row r="138" spans="1:24">
      <c r="A138" s="284" t="s">
        <v>105</v>
      </c>
      <c r="B138" s="285" t="s">
        <v>513</v>
      </c>
      <c r="C138" s="286" t="s">
        <v>689</v>
      </c>
      <c r="D138" s="287" t="s">
        <v>669</v>
      </c>
      <c r="E138" s="288">
        <v>0.47699999999999998</v>
      </c>
      <c r="F138" s="289">
        <v>14</v>
      </c>
      <c r="G138" s="290">
        <v>158.84099999999998</v>
      </c>
      <c r="H138" s="291" t="s">
        <v>676</v>
      </c>
      <c r="I138" s="279">
        <v>288000</v>
      </c>
      <c r="J138" s="292">
        <v>288000</v>
      </c>
      <c r="K138" s="292"/>
      <c r="L138" s="292">
        <v>0</v>
      </c>
      <c r="M138" s="292">
        <v>0</v>
      </c>
      <c r="N138" s="293">
        <v>288000</v>
      </c>
      <c r="O138" s="235" t="str">
        <f>VLOOKUP(A138,'[1]Vendor list'!$A$3:$D$409,4,0)</f>
        <v>FCA</v>
      </c>
      <c r="Q138" s="281">
        <v>288000</v>
      </c>
      <c r="R138" s="281">
        <v>0</v>
      </c>
      <c r="S138" s="281">
        <v>0</v>
      </c>
      <c r="T138" s="282">
        <v>0</v>
      </c>
      <c r="U138" s="283">
        <v>1</v>
      </c>
      <c r="V138" s="283">
        <v>1</v>
      </c>
      <c r="W138" s="283">
        <v>1</v>
      </c>
      <c r="X138" s="283" t="s">
        <v>676</v>
      </c>
    </row>
    <row r="139" spans="1:24">
      <c r="A139" s="284" t="s">
        <v>381</v>
      </c>
      <c r="B139" s="285" t="s">
        <v>514</v>
      </c>
      <c r="C139" s="286">
        <v>0</v>
      </c>
      <c r="D139" s="287" t="s">
        <v>669</v>
      </c>
      <c r="E139" s="288">
        <v>0.81</v>
      </c>
      <c r="F139" s="289">
        <v>284</v>
      </c>
      <c r="G139" s="290">
        <v>284</v>
      </c>
      <c r="H139" s="291" t="s">
        <v>676</v>
      </c>
      <c r="I139" s="279">
        <v>0</v>
      </c>
      <c r="J139" s="292">
        <v>0</v>
      </c>
      <c r="K139" s="292"/>
      <c r="L139" s="292">
        <v>0</v>
      </c>
      <c r="M139" s="292">
        <v>0</v>
      </c>
      <c r="N139" s="293">
        <v>0</v>
      </c>
      <c r="O139" s="235" t="str">
        <f>VLOOKUP(A139,'[1]Vendor list'!$A$3:$D$409,4,0)</f>
        <v>FOB</v>
      </c>
      <c r="Q139" s="281">
        <v>0</v>
      </c>
      <c r="R139" s="281">
        <v>0</v>
      </c>
      <c r="S139" s="281">
        <v>0</v>
      </c>
      <c r="T139" s="282">
        <v>0</v>
      </c>
      <c r="U139" s="283">
        <v>1</v>
      </c>
      <c r="V139" s="283">
        <v>1</v>
      </c>
      <c r="W139" s="283">
        <v>1</v>
      </c>
      <c r="X139" s="283" t="s">
        <v>676</v>
      </c>
    </row>
    <row r="140" spans="1:24">
      <c r="A140" s="284" t="s">
        <v>99</v>
      </c>
      <c r="B140" s="285" t="s">
        <v>515</v>
      </c>
      <c r="C140" s="286" t="s">
        <v>677</v>
      </c>
      <c r="D140" s="287" t="s">
        <v>669</v>
      </c>
      <c r="E140" s="288">
        <v>54.673999999999999</v>
      </c>
      <c r="F140" s="289">
        <v>3815.36</v>
      </c>
      <c r="G140" s="290">
        <v>18206.441999999999</v>
      </c>
      <c r="H140" s="291" t="s">
        <v>691</v>
      </c>
      <c r="I140" s="279">
        <v>1504000</v>
      </c>
      <c r="J140" s="292">
        <v>1504000</v>
      </c>
      <c r="K140" s="292"/>
      <c r="L140" s="292">
        <v>0</v>
      </c>
      <c r="M140" s="292">
        <v>0</v>
      </c>
      <c r="N140" s="293">
        <v>1504000</v>
      </c>
      <c r="O140" s="235" t="str">
        <f>VLOOKUP(A140,'[1]Vendor list'!$A$3:$D$409,4,0)</f>
        <v>FCA</v>
      </c>
      <c r="Q140" s="281">
        <v>0</v>
      </c>
      <c r="R140" s="281">
        <v>1504000</v>
      </c>
      <c r="S140" s="281">
        <v>0</v>
      </c>
      <c r="T140" s="282">
        <v>0</v>
      </c>
      <c r="U140" s="283">
        <v>20</v>
      </c>
      <c r="V140" s="283">
        <v>18</v>
      </c>
      <c r="W140" s="283">
        <v>20</v>
      </c>
      <c r="X140" s="283" t="s">
        <v>691</v>
      </c>
    </row>
    <row r="141" spans="1:24">
      <c r="A141" s="284" t="s">
        <v>99</v>
      </c>
      <c r="B141" s="285" t="s">
        <v>516</v>
      </c>
      <c r="C141" s="286" t="s">
        <v>677</v>
      </c>
      <c r="D141" s="287" t="s">
        <v>669</v>
      </c>
      <c r="E141" s="288">
        <v>13.667999999999999</v>
      </c>
      <c r="F141" s="289">
        <v>953.84</v>
      </c>
      <c r="G141" s="290">
        <v>4551.4439999999995</v>
      </c>
      <c r="H141" s="291" t="s">
        <v>672</v>
      </c>
      <c r="I141" s="279">
        <v>632500</v>
      </c>
      <c r="J141" s="292">
        <v>632500</v>
      </c>
      <c r="K141" s="292"/>
      <c r="L141" s="292">
        <v>0</v>
      </c>
      <c r="M141" s="292">
        <v>0</v>
      </c>
      <c r="N141" s="293">
        <v>632500</v>
      </c>
      <c r="O141" s="235" t="str">
        <f>VLOOKUP(A141,'[1]Vendor list'!$A$3:$D$409,4,0)</f>
        <v>FCA</v>
      </c>
      <c r="Q141" s="281">
        <v>632500</v>
      </c>
      <c r="R141" s="281">
        <v>0</v>
      </c>
      <c r="S141" s="281">
        <v>0</v>
      </c>
      <c r="T141" s="282">
        <v>0</v>
      </c>
      <c r="U141" s="283">
        <v>5</v>
      </c>
      <c r="V141" s="283">
        <v>5</v>
      </c>
      <c r="W141" s="283">
        <v>5</v>
      </c>
      <c r="X141" s="283" t="s">
        <v>672</v>
      </c>
    </row>
    <row r="142" spans="1:24">
      <c r="A142" s="284" t="s">
        <v>99</v>
      </c>
      <c r="B142" s="285" t="s">
        <v>517</v>
      </c>
      <c r="C142" s="286" t="s">
        <v>677</v>
      </c>
      <c r="D142" s="287" t="s">
        <v>669</v>
      </c>
      <c r="E142" s="288">
        <v>32.055999999999997</v>
      </c>
      <c r="F142" s="289">
        <v>2788.41</v>
      </c>
      <c r="G142" s="290">
        <v>10674.647999999999</v>
      </c>
      <c r="H142" s="291" t="s">
        <v>673</v>
      </c>
      <c r="I142" s="279">
        <v>752000</v>
      </c>
      <c r="J142" s="292">
        <v>752000</v>
      </c>
      <c r="K142" s="292"/>
      <c r="L142" s="292">
        <v>0</v>
      </c>
      <c r="M142" s="292">
        <v>0</v>
      </c>
      <c r="N142" s="293">
        <v>752000</v>
      </c>
      <c r="O142" s="235" t="str">
        <f>VLOOKUP(A142,'[1]Vendor list'!$A$3:$D$409,4,0)</f>
        <v>FCA</v>
      </c>
      <c r="Q142" s="281">
        <v>752000</v>
      </c>
      <c r="R142" s="281">
        <v>0</v>
      </c>
      <c r="S142" s="281">
        <v>0</v>
      </c>
      <c r="T142" s="282">
        <v>0</v>
      </c>
      <c r="U142" s="283">
        <v>10</v>
      </c>
      <c r="V142" s="283">
        <v>10</v>
      </c>
      <c r="W142" s="283">
        <v>10</v>
      </c>
      <c r="X142" s="283" t="s">
        <v>673</v>
      </c>
    </row>
    <row r="143" spans="1:24">
      <c r="A143" s="284" t="s">
        <v>99</v>
      </c>
      <c r="B143" s="285" t="s">
        <v>518</v>
      </c>
      <c r="C143" s="286" t="s">
        <v>677</v>
      </c>
      <c r="D143" s="287" t="s">
        <v>669</v>
      </c>
      <c r="E143" s="288">
        <v>8.9049999999999994</v>
      </c>
      <c r="F143" s="289">
        <v>684.09</v>
      </c>
      <c r="G143" s="290">
        <v>2965.3649999999998</v>
      </c>
      <c r="H143" s="291" t="s">
        <v>672</v>
      </c>
      <c r="I143" s="279">
        <v>632500</v>
      </c>
      <c r="J143" s="292">
        <v>632500</v>
      </c>
      <c r="K143" s="292"/>
      <c r="L143" s="292">
        <v>0</v>
      </c>
      <c r="M143" s="292">
        <v>0</v>
      </c>
      <c r="N143" s="293">
        <v>632500</v>
      </c>
      <c r="O143" s="235" t="str">
        <f>VLOOKUP(A143,'[1]Vendor list'!$A$3:$D$409,4,0)</f>
        <v>FCA</v>
      </c>
      <c r="Q143" s="281">
        <v>632500</v>
      </c>
      <c r="R143" s="281">
        <v>0</v>
      </c>
      <c r="S143" s="281">
        <v>0</v>
      </c>
      <c r="T143" s="282">
        <v>0</v>
      </c>
      <c r="U143" s="283">
        <v>5</v>
      </c>
      <c r="V143" s="283">
        <v>5</v>
      </c>
      <c r="W143" s="283">
        <v>5</v>
      </c>
      <c r="X143" s="283" t="s">
        <v>672</v>
      </c>
    </row>
    <row r="144" spans="1:24">
      <c r="A144" s="284" t="s">
        <v>109</v>
      </c>
      <c r="B144" s="285" t="s">
        <v>519</v>
      </c>
      <c r="C144" s="286" t="s">
        <v>683</v>
      </c>
      <c r="D144" s="287" t="s">
        <v>669</v>
      </c>
      <c r="E144" s="288">
        <v>0.58199999999999996</v>
      </c>
      <c r="F144" s="289">
        <v>379.8</v>
      </c>
      <c r="G144" s="290">
        <v>379.8</v>
      </c>
      <c r="H144" s="291" t="s">
        <v>676</v>
      </c>
      <c r="I144" s="279">
        <v>275000</v>
      </c>
      <c r="J144" s="292">
        <v>275000</v>
      </c>
      <c r="K144" s="292"/>
      <c r="L144" s="292">
        <v>0</v>
      </c>
      <c r="M144" s="292">
        <v>0</v>
      </c>
      <c r="N144" s="293">
        <v>275000</v>
      </c>
      <c r="O144" s="235" t="str">
        <f>VLOOKUP(A144,'[1]Vendor list'!$A$3:$D$409,4,0)</f>
        <v>FCA</v>
      </c>
      <c r="Q144" s="281">
        <v>275000</v>
      </c>
      <c r="R144" s="281">
        <v>0</v>
      </c>
      <c r="S144" s="281">
        <v>0</v>
      </c>
      <c r="T144" s="282">
        <v>0</v>
      </c>
      <c r="U144" s="283">
        <v>1</v>
      </c>
      <c r="V144" s="283">
        <v>1</v>
      </c>
      <c r="W144" s="283">
        <v>1</v>
      </c>
      <c r="X144" s="283" t="s">
        <v>676</v>
      </c>
    </row>
    <row r="145" spans="1:24">
      <c r="A145" s="284" t="s">
        <v>91</v>
      </c>
      <c r="B145" s="285" t="s">
        <v>520</v>
      </c>
      <c r="C145" s="286" t="s">
        <v>692</v>
      </c>
      <c r="D145" s="287" t="s">
        <v>669</v>
      </c>
      <c r="E145" s="288">
        <v>16.495000000000001</v>
      </c>
      <c r="F145" s="289">
        <v>3291</v>
      </c>
      <c r="G145" s="290">
        <v>5492.835</v>
      </c>
      <c r="H145" s="291" t="s">
        <v>674</v>
      </c>
      <c r="I145" s="279">
        <v>562000</v>
      </c>
      <c r="J145" s="292">
        <v>562000</v>
      </c>
      <c r="K145" s="292"/>
      <c r="L145" s="292">
        <v>0</v>
      </c>
      <c r="M145" s="292">
        <v>0</v>
      </c>
      <c r="N145" s="293">
        <v>562000</v>
      </c>
      <c r="O145" s="235" t="str">
        <f>VLOOKUP(A145,'[1]Vendor list'!$A$3:$D$409,4,0)</f>
        <v>FCA</v>
      </c>
      <c r="Q145" s="281">
        <v>0</v>
      </c>
      <c r="R145" s="281">
        <v>0</v>
      </c>
      <c r="S145" s="281">
        <v>0</v>
      </c>
      <c r="T145" s="282">
        <v>562000</v>
      </c>
      <c r="U145" s="283">
        <v>8</v>
      </c>
      <c r="V145" s="283">
        <v>8</v>
      </c>
      <c r="W145" s="283">
        <v>8</v>
      </c>
      <c r="X145" s="283" t="s">
        <v>674</v>
      </c>
    </row>
    <row r="146" spans="1:24">
      <c r="A146" s="284" t="s">
        <v>325</v>
      </c>
      <c r="B146" s="285" t="s">
        <v>521</v>
      </c>
      <c r="C146" s="286" t="s">
        <v>687</v>
      </c>
      <c r="D146" s="287" t="s">
        <v>669</v>
      </c>
      <c r="E146" s="288">
        <v>22.34</v>
      </c>
      <c r="F146" s="289">
        <v>8920</v>
      </c>
      <c r="G146" s="290">
        <v>8920</v>
      </c>
      <c r="H146" s="291" t="s">
        <v>673</v>
      </c>
      <c r="I146" s="279">
        <v>0</v>
      </c>
      <c r="J146" s="292">
        <v>0</v>
      </c>
      <c r="K146" s="292"/>
      <c r="L146" s="292">
        <v>0</v>
      </c>
      <c r="M146" s="292">
        <v>0</v>
      </c>
      <c r="N146" s="293">
        <v>0</v>
      </c>
      <c r="O146" s="235" t="str">
        <f>VLOOKUP(A146,'[1]Vendor list'!$A$3:$D$409,4,0)</f>
        <v>FOB</v>
      </c>
      <c r="Q146" s="281">
        <v>0</v>
      </c>
      <c r="R146" s="281">
        <v>0</v>
      </c>
      <c r="S146" s="281">
        <v>0</v>
      </c>
      <c r="T146" s="282">
        <v>0</v>
      </c>
      <c r="U146" s="283">
        <v>10</v>
      </c>
      <c r="V146" s="283">
        <v>10</v>
      </c>
      <c r="W146" s="283">
        <v>10</v>
      </c>
      <c r="X146" s="283" t="s">
        <v>673</v>
      </c>
    </row>
    <row r="147" spans="1:24">
      <c r="A147" s="284" t="s">
        <v>325</v>
      </c>
      <c r="B147" s="285" t="s">
        <v>522</v>
      </c>
      <c r="C147" s="286" t="s">
        <v>687</v>
      </c>
      <c r="D147" s="287" t="s">
        <v>669</v>
      </c>
      <c r="E147" s="288">
        <v>17.87</v>
      </c>
      <c r="F147" s="289">
        <v>6480</v>
      </c>
      <c r="G147" s="290">
        <v>6480</v>
      </c>
      <c r="H147" s="291" t="s">
        <v>674</v>
      </c>
      <c r="I147" s="279">
        <v>0</v>
      </c>
      <c r="J147" s="292">
        <v>0</v>
      </c>
      <c r="K147" s="292"/>
      <c r="L147" s="292">
        <v>0</v>
      </c>
      <c r="M147" s="292">
        <v>0</v>
      </c>
      <c r="N147" s="293">
        <v>0</v>
      </c>
      <c r="O147" s="235" t="str">
        <f>VLOOKUP(A147,'[1]Vendor list'!$A$3:$D$409,4,0)</f>
        <v>FOB</v>
      </c>
      <c r="Q147" s="281">
        <v>0</v>
      </c>
      <c r="R147" s="281">
        <v>0</v>
      </c>
      <c r="S147" s="281">
        <v>0</v>
      </c>
      <c r="T147" s="282">
        <v>0</v>
      </c>
      <c r="U147" s="283">
        <v>8</v>
      </c>
      <c r="V147" s="283">
        <v>8</v>
      </c>
      <c r="W147" s="283">
        <v>8</v>
      </c>
      <c r="X147" s="283" t="s">
        <v>674</v>
      </c>
    </row>
    <row r="148" spans="1:24">
      <c r="A148" s="284" t="s">
        <v>325</v>
      </c>
      <c r="B148" s="285" t="s">
        <v>523</v>
      </c>
      <c r="C148" s="286" t="s">
        <v>687</v>
      </c>
      <c r="D148" s="287" t="s">
        <v>669</v>
      </c>
      <c r="E148" s="288">
        <v>2.06</v>
      </c>
      <c r="F148" s="289">
        <v>2501</v>
      </c>
      <c r="G148" s="290">
        <v>2501</v>
      </c>
      <c r="H148" s="291" t="s">
        <v>675</v>
      </c>
      <c r="I148" s="279">
        <v>0</v>
      </c>
      <c r="J148" s="292">
        <v>0</v>
      </c>
      <c r="K148" s="292"/>
      <c r="L148" s="292">
        <v>0</v>
      </c>
      <c r="M148" s="292">
        <v>0</v>
      </c>
      <c r="N148" s="293">
        <v>0</v>
      </c>
      <c r="O148" s="235" t="str">
        <f>VLOOKUP(A148,'[1]Vendor list'!$A$3:$D$409,4,0)</f>
        <v>FOB</v>
      </c>
      <c r="Q148" s="281">
        <v>0</v>
      </c>
      <c r="R148" s="281">
        <v>0</v>
      </c>
      <c r="S148" s="281">
        <v>0</v>
      </c>
      <c r="T148" s="282">
        <v>0</v>
      </c>
      <c r="U148" s="283">
        <v>1</v>
      </c>
      <c r="V148" s="283">
        <v>2.5</v>
      </c>
      <c r="W148" s="283">
        <v>2.5</v>
      </c>
      <c r="X148" s="283" t="s">
        <v>675</v>
      </c>
    </row>
    <row r="149" spans="1:24">
      <c r="A149" s="284" t="s">
        <v>325</v>
      </c>
      <c r="B149" s="285" t="s">
        <v>524</v>
      </c>
      <c r="C149" s="286" t="s">
        <v>687</v>
      </c>
      <c r="D149" s="287" t="s">
        <v>669</v>
      </c>
      <c r="E149" s="288">
        <v>0.115</v>
      </c>
      <c r="F149" s="289">
        <v>90</v>
      </c>
      <c r="G149" s="290">
        <v>90</v>
      </c>
      <c r="H149" s="291" t="s">
        <v>676</v>
      </c>
      <c r="I149" s="279">
        <v>0</v>
      </c>
      <c r="J149" s="292">
        <v>0</v>
      </c>
      <c r="K149" s="292"/>
      <c r="L149" s="292">
        <v>0</v>
      </c>
      <c r="M149" s="292">
        <v>0</v>
      </c>
      <c r="N149" s="293">
        <v>0</v>
      </c>
      <c r="O149" s="235" t="str">
        <f>VLOOKUP(A149,'[1]Vendor list'!$A$3:$D$409,4,0)</f>
        <v>FOB</v>
      </c>
      <c r="Q149" s="281">
        <v>0</v>
      </c>
      <c r="R149" s="281">
        <v>0</v>
      </c>
      <c r="S149" s="281">
        <v>0</v>
      </c>
      <c r="T149" s="282">
        <v>0</v>
      </c>
      <c r="U149" s="283">
        <v>1</v>
      </c>
      <c r="V149" s="283">
        <v>1</v>
      </c>
      <c r="W149" s="283">
        <v>1</v>
      </c>
      <c r="X149" s="283" t="s">
        <v>676</v>
      </c>
    </row>
    <row r="150" spans="1:24" s="300" customFormat="1">
      <c r="A150" s="284" t="s">
        <v>94</v>
      </c>
      <c r="B150" s="285" t="s">
        <v>525</v>
      </c>
      <c r="C150" s="286" t="s">
        <v>689</v>
      </c>
      <c r="D150" s="287" t="s">
        <v>669</v>
      </c>
      <c r="E150" s="288">
        <v>51.87</v>
      </c>
      <c r="F150" s="289">
        <v>10550</v>
      </c>
      <c r="G150" s="290">
        <v>17272.71</v>
      </c>
      <c r="H150" s="291" t="s">
        <v>682</v>
      </c>
      <c r="I150" s="279">
        <v>1148000</v>
      </c>
      <c r="J150" s="290">
        <v>1148000</v>
      </c>
      <c r="K150" s="290"/>
      <c r="L150" s="290">
        <v>0</v>
      </c>
      <c r="M150" s="290">
        <v>0</v>
      </c>
      <c r="N150" s="299">
        <v>1148000</v>
      </c>
      <c r="O150" s="300" t="str">
        <f>VLOOKUP(A150,'[1]Vendor list'!$A$3:$D$409,4,0)</f>
        <v>FCA</v>
      </c>
      <c r="Q150" s="281">
        <v>0</v>
      </c>
      <c r="R150" s="281">
        <v>1148000</v>
      </c>
      <c r="S150" s="281">
        <v>0</v>
      </c>
      <c r="T150" s="282">
        <v>0</v>
      </c>
      <c r="U150" s="302">
        <v>18</v>
      </c>
      <c r="V150" s="302">
        <v>18</v>
      </c>
      <c r="W150" s="302">
        <v>18</v>
      </c>
      <c r="X150" s="302" t="s">
        <v>682</v>
      </c>
    </row>
    <row r="151" spans="1:24" s="300" customFormat="1">
      <c r="A151" s="284" t="s">
        <v>95</v>
      </c>
      <c r="B151" s="285" t="s">
        <v>526</v>
      </c>
      <c r="C151" s="286" t="s">
        <v>687</v>
      </c>
      <c r="D151" s="287" t="s">
        <v>669</v>
      </c>
      <c r="E151" s="288">
        <v>6.4909999999999997</v>
      </c>
      <c r="F151" s="289">
        <v>2270.31</v>
      </c>
      <c r="G151" s="290">
        <v>2270.31</v>
      </c>
      <c r="H151" s="291" t="s">
        <v>675</v>
      </c>
      <c r="I151" s="279">
        <v>0</v>
      </c>
      <c r="J151" s="290">
        <v>0</v>
      </c>
      <c r="K151" s="290"/>
      <c r="L151" s="290">
        <v>0</v>
      </c>
      <c r="M151" s="290">
        <v>0</v>
      </c>
      <c r="N151" s="299">
        <v>0</v>
      </c>
      <c r="O151" s="300" t="str">
        <f>VLOOKUP(A151,'[1]Vendor list'!$A$3:$D$409,4,0)</f>
        <v>FOB</v>
      </c>
      <c r="Q151" s="281">
        <v>0</v>
      </c>
      <c r="R151" s="281">
        <v>0</v>
      </c>
      <c r="S151" s="281">
        <v>0</v>
      </c>
      <c r="T151" s="282">
        <v>0</v>
      </c>
      <c r="U151" s="302">
        <v>2.5</v>
      </c>
      <c r="V151" s="302">
        <v>2.5</v>
      </c>
      <c r="W151" s="302">
        <v>2.5</v>
      </c>
      <c r="X151" s="302" t="s">
        <v>675</v>
      </c>
    </row>
    <row r="152" spans="1:24" s="300" customFormat="1">
      <c r="A152" s="284" t="s">
        <v>108</v>
      </c>
      <c r="B152" s="285" t="s">
        <v>527</v>
      </c>
      <c r="C152" s="286" t="s">
        <v>669</v>
      </c>
      <c r="D152" s="287" t="s">
        <v>669</v>
      </c>
      <c r="E152" s="288">
        <v>11.94</v>
      </c>
      <c r="F152" s="289">
        <v>976.8</v>
      </c>
      <c r="G152" s="290">
        <v>3976.02</v>
      </c>
      <c r="H152" s="291" t="s">
        <v>672</v>
      </c>
      <c r="I152" s="279">
        <v>238000</v>
      </c>
      <c r="J152" s="290">
        <v>238000</v>
      </c>
      <c r="K152" s="290"/>
      <c r="L152" s="290">
        <v>0</v>
      </c>
      <c r="M152" s="290">
        <v>0</v>
      </c>
      <c r="N152" s="299">
        <v>238000</v>
      </c>
      <c r="O152" s="300" t="str">
        <f>VLOOKUP(A152,'[1]Vendor list'!$A$3:$D$409,4,0)</f>
        <v>FCA</v>
      </c>
      <c r="Q152" s="281">
        <v>238000</v>
      </c>
      <c r="R152" s="281">
        <v>0</v>
      </c>
      <c r="S152" s="281">
        <v>0</v>
      </c>
      <c r="T152" s="282">
        <v>0</v>
      </c>
      <c r="U152" s="302">
        <v>5</v>
      </c>
      <c r="V152" s="302">
        <v>5</v>
      </c>
      <c r="W152" s="302">
        <v>5</v>
      </c>
      <c r="X152" s="302" t="s">
        <v>672</v>
      </c>
    </row>
    <row r="153" spans="1:24" s="300" customFormat="1">
      <c r="A153" s="284" t="s">
        <v>320</v>
      </c>
      <c r="B153" s="285" t="s">
        <v>528</v>
      </c>
      <c r="C153" s="286" t="s">
        <v>677</v>
      </c>
      <c r="D153" s="287" t="s">
        <v>669</v>
      </c>
      <c r="E153" s="288">
        <v>8.0570000000000004</v>
      </c>
      <c r="F153" s="289">
        <v>8476</v>
      </c>
      <c r="G153" s="290">
        <v>8476</v>
      </c>
      <c r="H153" s="291" t="s">
        <v>673</v>
      </c>
      <c r="I153" s="279">
        <v>752000</v>
      </c>
      <c r="J153" s="290">
        <v>752000</v>
      </c>
      <c r="K153" s="290"/>
      <c r="L153" s="290">
        <v>0</v>
      </c>
      <c r="M153" s="290">
        <v>0</v>
      </c>
      <c r="N153" s="299">
        <v>752000</v>
      </c>
      <c r="O153" s="300" t="str">
        <f>VLOOKUP(A153,'[1]Vendor list'!$A$3:$D$409,4,0)</f>
        <v>FCA</v>
      </c>
      <c r="Q153" s="281">
        <v>752000</v>
      </c>
      <c r="R153" s="281">
        <v>0</v>
      </c>
      <c r="S153" s="281">
        <v>0</v>
      </c>
      <c r="T153" s="282">
        <v>0</v>
      </c>
      <c r="U153" s="302">
        <v>5</v>
      </c>
      <c r="V153" s="302">
        <v>10</v>
      </c>
      <c r="W153" s="302">
        <v>10</v>
      </c>
      <c r="X153" s="302" t="s">
        <v>673</v>
      </c>
    </row>
    <row r="154" spans="1:24" s="300" customFormat="1">
      <c r="A154" s="284" t="s">
        <v>258</v>
      </c>
      <c r="B154" s="285" t="s">
        <v>529</v>
      </c>
      <c r="C154" s="286" t="s">
        <v>688</v>
      </c>
      <c r="D154" s="287" t="s">
        <v>669</v>
      </c>
      <c r="E154" s="288">
        <v>6.84</v>
      </c>
      <c r="F154" s="289">
        <v>7388.05</v>
      </c>
      <c r="G154" s="290">
        <v>7388.05</v>
      </c>
      <c r="H154" s="291" t="s">
        <v>674</v>
      </c>
      <c r="I154" s="279">
        <v>535000</v>
      </c>
      <c r="J154" s="290">
        <v>535000</v>
      </c>
      <c r="K154" s="290"/>
      <c r="L154" s="290">
        <v>0</v>
      </c>
      <c r="M154" s="290">
        <v>0</v>
      </c>
      <c r="N154" s="299">
        <v>535000</v>
      </c>
      <c r="O154" s="300" t="str">
        <f>VLOOKUP(A154,'[1]Vendor list'!$A$3:$D$409,4,0)</f>
        <v>FCA</v>
      </c>
      <c r="Q154" s="281">
        <v>0</v>
      </c>
      <c r="R154" s="281">
        <v>535000</v>
      </c>
      <c r="S154" s="281">
        <v>0</v>
      </c>
      <c r="T154" s="282">
        <v>0</v>
      </c>
      <c r="U154" s="302">
        <v>2.5</v>
      </c>
      <c r="V154" s="302">
        <v>8</v>
      </c>
      <c r="W154" s="302">
        <v>8</v>
      </c>
      <c r="X154" s="302" t="s">
        <v>674</v>
      </c>
    </row>
    <row r="155" spans="1:24">
      <c r="A155" s="284" t="s">
        <v>103</v>
      </c>
      <c r="B155" s="285" t="s">
        <v>530</v>
      </c>
      <c r="C155" s="286" t="s">
        <v>374</v>
      </c>
      <c r="D155" s="287" t="s">
        <v>669</v>
      </c>
      <c r="E155" s="288">
        <v>1.58</v>
      </c>
      <c r="F155" s="289">
        <v>1722.73</v>
      </c>
      <c r="G155" s="290">
        <v>1722.73</v>
      </c>
      <c r="H155" s="291" t="s">
        <v>675</v>
      </c>
      <c r="I155" s="279">
        <v>391000</v>
      </c>
      <c r="J155" s="292">
        <v>391000</v>
      </c>
      <c r="K155" s="292"/>
      <c r="L155" s="292">
        <v>0</v>
      </c>
      <c r="M155" s="292">
        <v>0</v>
      </c>
      <c r="N155" s="293">
        <v>391000</v>
      </c>
      <c r="O155" s="235" t="str">
        <f>VLOOKUP(A155,'[1]Vendor list'!$A$3:$D$409,4,0)</f>
        <v>FCA</v>
      </c>
      <c r="Q155" s="281">
        <v>391000</v>
      </c>
      <c r="R155" s="281">
        <v>0</v>
      </c>
      <c r="S155" s="281">
        <v>0</v>
      </c>
      <c r="T155" s="282">
        <v>0</v>
      </c>
      <c r="U155" s="283">
        <v>1</v>
      </c>
      <c r="V155" s="283">
        <v>2.5</v>
      </c>
      <c r="W155" s="283">
        <v>2.5</v>
      </c>
      <c r="X155" s="283" t="s">
        <v>675</v>
      </c>
    </row>
    <row r="156" spans="1:24">
      <c r="A156" s="284" t="s">
        <v>382</v>
      </c>
      <c r="B156" s="285" t="s">
        <v>531</v>
      </c>
      <c r="C156" s="286" t="s">
        <v>374</v>
      </c>
      <c r="D156" s="287" t="s">
        <v>669</v>
      </c>
      <c r="E156" s="288">
        <v>2.1779999999999999</v>
      </c>
      <c r="F156" s="289">
        <v>1743.57</v>
      </c>
      <c r="G156" s="290">
        <v>1743.57</v>
      </c>
      <c r="H156" s="291" t="s">
        <v>675</v>
      </c>
      <c r="I156" s="279">
        <v>391000</v>
      </c>
      <c r="J156" s="292">
        <v>391000</v>
      </c>
      <c r="K156" s="292"/>
      <c r="L156" s="292">
        <v>0</v>
      </c>
      <c r="M156" s="292">
        <v>0</v>
      </c>
      <c r="N156" s="293">
        <v>391000</v>
      </c>
      <c r="O156" s="235" t="str">
        <f>VLOOKUP(A156,'[1]Vendor list'!$A$3:$D$409,4,0)</f>
        <v>FCA</v>
      </c>
      <c r="Q156" s="281">
        <v>391000</v>
      </c>
      <c r="R156" s="281">
        <v>0</v>
      </c>
      <c r="S156" s="281">
        <v>0</v>
      </c>
      <c r="T156" s="282">
        <v>0</v>
      </c>
      <c r="U156" s="283">
        <v>1</v>
      </c>
      <c r="V156" s="283">
        <v>2.5</v>
      </c>
      <c r="W156" s="283">
        <v>2.5</v>
      </c>
      <c r="X156" s="283" t="s">
        <v>675</v>
      </c>
    </row>
    <row r="157" spans="1:24">
      <c r="A157" s="284" t="s">
        <v>324</v>
      </c>
      <c r="B157" s="285" t="s">
        <v>532</v>
      </c>
      <c r="C157" s="286" t="s">
        <v>689</v>
      </c>
      <c r="D157" s="287" t="s">
        <v>669</v>
      </c>
      <c r="E157" s="288">
        <v>1.68</v>
      </c>
      <c r="F157" s="289">
        <v>2134</v>
      </c>
      <c r="G157" s="290">
        <v>2134</v>
      </c>
      <c r="H157" s="291" t="s">
        <v>675</v>
      </c>
      <c r="I157" s="279">
        <v>408000</v>
      </c>
      <c r="J157" s="292">
        <v>408000</v>
      </c>
      <c r="K157" s="292"/>
      <c r="L157" s="292">
        <v>0</v>
      </c>
      <c r="M157" s="292">
        <v>0</v>
      </c>
      <c r="N157" s="293">
        <v>408000</v>
      </c>
      <c r="O157" s="235" t="str">
        <f>VLOOKUP(A157,'[1]Vendor list'!$A$3:$D$409,4,0)</f>
        <v>FCA</v>
      </c>
      <c r="Q157" s="281">
        <v>408000</v>
      </c>
      <c r="R157" s="281">
        <v>0</v>
      </c>
      <c r="S157" s="281">
        <v>0</v>
      </c>
      <c r="T157" s="282">
        <v>0</v>
      </c>
      <c r="U157" s="283">
        <v>1</v>
      </c>
      <c r="V157" s="283">
        <v>2.5</v>
      </c>
      <c r="W157" s="283">
        <v>2.5</v>
      </c>
      <c r="X157" s="283" t="s">
        <v>675</v>
      </c>
    </row>
    <row r="158" spans="1:24">
      <c r="A158" s="284" t="s">
        <v>329</v>
      </c>
      <c r="B158" s="285" t="s">
        <v>533</v>
      </c>
      <c r="C158" s="286" t="s">
        <v>689</v>
      </c>
      <c r="D158" s="287" t="s">
        <v>669</v>
      </c>
      <c r="E158" s="288">
        <v>1.222</v>
      </c>
      <c r="F158" s="289">
        <v>484</v>
      </c>
      <c r="G158" s="290">
        <v>484</v>
      </c>
      <c r="H158" s="291" t="s">
        <v>676</v>
      </c>
      <c r="I158" s="279">
        <v>288000</v>
      </c>
      <c r="J158" s="292">
        <v>288000</v>
      </c>
      <c r="K158" s="292"/>
      <c r="L158" s="292">
        <v>0</v>
      </c>
      <c r="M158" s="292">
        <v>0</v>
      </c>
      <c r="N158" s="293">
        <v>288000</v>
      </c>
      <c r="O158" s="235" t="str">
        <f>VLOOKUP(A158,'[1]Vendor list'!$A$3:$D$409,4,0)</f>
        <v>FCA</v>
      </c>
      <c r="Q158" s="281">
        <v>288000</v>
      </c>
      <c r="R158" s="281">
        <v>0</v>
      </c>
      <c r="S158" s="281">
        <v>0</v>
      </c>
      <c r="T158" s="282">
        <v>0</v>
      </c>
      <c r="U158" s="283">
        <v>1</v>
      </c>
      <c r="V158" s="283">
        <v>1</v>
      </c>
      <c r="W158" s="283">
        <v>1</v>
      </c>
      <c r="X158" s="283" t="s">
        <v>676</v>
      </c>
    </row>
    <row r="159" spans="1:24">
      <c r="A159" s="284" t="s">
        <v>376</v>
      </c>
      <c r="B159" s="285" t="s">
        <v>534</v>
      </c>
      <c r="C159" s="286" t="s">
        <v>684</v>
      </c>
      <c r="D159" s="287" t="s">
        <v>669</v>
      </c>
      <c r="E159" s="288">
        <v>0.109</v>
      </c>
      <c r="F159" s="289">
        <v>45</v>
      </c>
      <c r="G159" s="290">
        <v>45</v>
      </c>
      <c r="H159" s="291" t="s">
        <v>676</v>
      </c>
      <c r="I159" s="279">
        <v>196500</v>
      </c>
      <c r="J159" s="292">
        <v>196500</v>
      </c>
      <c r="K159" s="292"/>
      <c r="L159" s="292">
        <v>0</v>
      </c>
      <c r="M159" s="292">
        <v>0</v>
      </c>
      <c r="N159" s="293">
        <v>196500</v>
      </c>
      <c r="O159" s="235" t="str">
        <f>VLOOKUP(A159,'[1]Vendor list'!$A$3:$D$409,4,0)</f>
        <v>FCA</v>
      </c>
      <c r="Q159" s="281">
        <v>0</v>
      </c>
      <c r="R159" s="281">
        <v>196500</v>
      </c>
      <c r="S159" s="281">
        <v>0</v>
      </c>
      <c r="T159" s="282">
        <v>0</v>
      </c>
      <c r="U159" s="283">
        <v>1</v>
      </c>
      <c r="V159" s="283">
        <v>1</v>
      </c>
      <c r="W159" s="283">
        <v>1</v>
      </c>
      <c r="X159" s="283" t="s">
        <v>676</v>
      </c>
    </row>
    <row r="160" spans="1:24" ht="15" thickBot="1">
      <c r="A160" s="284" t="s">
        <v>106</v>
      </c>
      <c r="B160" s="303" t="s">
        <v>535</v>
      </c>
      <c r="C160" s="286" t="s">
        <v>688</v>
      </c>
      <c r="D160" s="287" t="s">
        <v>669</v>
      </c>
      <c r="E160" s="288">
        <v>4.9000000000000002E-2</v>
      </c>
      <c r="F160" s="289">
        <v>26</v>
      </c>
      <c r="G160" s="304">
        <v>26</v>
      </c>
      <c r="H160" s="291" t="s">
        <v>676</v>
      </c>
      <c r="I160" s="295">
        <v>289000</v>
      </c>
      <c r="J160" s="305">
        <v>289000</v>
      </c>
      <c r="K160" s="305"/>
      <c r="L160" s="305">
        <v>0</v>
      </c>
      <c r="M160" s="305">
        <v>0</v>
      </c>
      <c r="N160" s="296">
        <v>289000</v>
      </c>
      <c r="O160" s="235" t="str">
        <f>VLOOKUP(A160,'[1]Vendor list'!$A$3:$D$409,4,0)</f>
        <v>FCA</v>
      </c>
      <c r="Q160" s="281">
        <v>0</v>
      </c>
      <c r="R160" s="281">
        <v>289000</v>
      </c>
      <c r="S160" s="281">
        <v>0</v>
      </c>
      <c r="T160" s="282">
        <v>0</v>
      </c>
      <c r="U160" s="283">
        <v>1</v>
      </c>
      <c r="V160" s="283">
        <v>1</v>
      </c>
      <c r="W160" s="283">
        <v>1</v>
      </c>
      <c r="X160" s="283" t="s">
        <v>676</v>
      </c>
    </row>
    <row r="161" spans="1:14" ht="15" thickBot="1">
      <c r="A161" s="306" t="s">
        <v>633</v>
      </c>
      <c r="B161" s="307"/>
      <c r="C161" s="307"/>
      <c r="D161" s="308"/>
      <c r="E161" s="309">
        <f>SUM(E7:E160)</f>
        <v>2296.2600000000002</v>
      </c>
      <c r="F161" s="309">
        <f>SUM(F7:F160)</f>
        <v>671332.49000000022</v>
      </c>
      <c r="G161" s="310"/>
      <c r="H161" s="311"/>
      <c r="I161" s="312">
        <f t="shared" ref="I135:I189" si="0">IF(AND(Q161&gt;R161,Q161&gt;S161),Q161,IF(AND(R161&gt;Q161,R161&gt;S161),R161,IF(AND(S161&gt;Q161,S161&gt;R161),S161,IF(AND(T161&gt;Q161,T161&gt;R161,T161&gt;S161),T161,0))))</f>
        <v>0</v>
      </c>
      <c r="J161" s="313">
        <f t="shared" ref="J135:J190" si="1">I161</f>
        <v>0</v>
      </c>
      <c r="K161" s="313"/>
      <c r="L161" s="313"/>
      <c r="M161" s="313"/>
      <c r="N161" s="314">
        <f>SUM(N7:N160)</f>
        <v>65240800</v>
      </c>
    </row>
    <row r="162" spans="1:14">
      <c r="A162" s="241"/>
      <c r="E162" s="315">
        <f>[1]АКТ!H160</f>
        <v>2296.2600000000002</v>
      </c>
      <c r="F162" s="315">
        <f>SUM(F7:F160)</f>
        <v>671332.49000000022</v>
      </c>
      <c r="G162" s="316"/>
      <c r="H162" s="316"/>
      <c r="I162" s="316"/>
      <c r="J162" s="316"/>
      <c r="K162" s="316"/>
      <c r="L162" s="316"/>
      <c r="M162" s="316"/>
      <c r="N162" s="317">
        <f>[1]АКТ!M160</f>
        <v>65240800</v>
      </c>
    </row>
    <row r="163" spans="1:14">
      <c r="A163" s="241"/>
      <c r="E163" s="315">
        <f>E161-E162</f>
        <v>0</v>
      </c>
      <c r="F163" s="318">
        <f>F161-F162</f>
        <v>0</v>
      </c>
      <c r="G163" s="316"/>
      <c r="H163" s="316"/>
      <c r="I163" s="316"/>
      <c r="J163" s="316"/>
      <c r="K163" s="316"/>
      <c r="L163" s="316"/>
      <c r="M163" s="316"/>
      <c r="N163" s="319">
        <f>N161-N162</f>
        <v>0</v>
      </c>
    </row>
    <row r="164" spans="1:14" ht="36" customHeight="1">
      <c r="A164" s="320" t="s">
        <v>661</v>
      </c>
      <c r="B164" s="320"/>
      <c r="C164" s="321"/>
      <c r="D164" s="321"/>
      <c r="E164" s="322" t="s">
        <v>662</v>
      </c>
      <c r="F164" s="322"/>
      <c r="G164" s="322"/>
      <c r="H164" s="322"/>
      <c r="I164" s="322"/>
      <c r="J164" s="322"/>
      <c r="K164" s="322"/>
      <c r="L164" s="322"/>
      <c r="M164" s="322"/>
      <c r="N164" s="322"/>
    </row>
    <row r="165" spans="1:14" ht="54.75" customHeight="1">
      <c r="A165" s="323"/>
      <c r="B165" s="324"/>
      <c r="C165" s="325"/>
      <c r="D165" s="326"/>
      <c r="E165" s="323"/>
      <c r="F165" s="327"/>
      <c r="G165" s="326"/>
      <c r="H165" s="327"/>
      <c r="I165" s="326"/>
      <c r="J165" s="326"/>
      <c r="N165" s="328"/>
    </row>
    <row r="166" spans="1:14" ht="40.5" customHeight="1">
      <c r="A166" s="329" t="s">
        <v>663</v>
      </c>
      <c r="B166" s="330"/>
      <c r="C166" s="330"/>
      <c r="D166" s="330"/>
      <c r="E166" s="329" t="s">
        <v>664</v>
      </c>
      <c r="F166" s="331"/>
      <c r="G166" s="331"/>
      <c r="H166" s="332"/>
      <c r="I166" s="332"/>
      <c r="J166" s="332"/>
    </row>
    <row r="167" spans="1:14" ht="40.5" customHeight="1">
      <c r="A167" s="329" t="s">
        <v>665</v>
      </c>
      <c r="B167" s="329"/>
      <c r="C167" s="333"/>
      <c r="D167" s="334"/>
      <c r="E167" s="329" t="s">
        <v>666</v>
      </c>
      <c r="F167" s="335"/>
      <c r="G167" s="335"/>
      <c r="H167" s="326"/>
      <c r="I167" s="326"/>
      <c r="J167" s="326"/>
    </row>
    <row r="168" spans="1:14" ht="40.5" customHeight="1">
      <c r="A168" s="329" t="s">
        <v>667</v>
      </c>
      <c r="B168" s="334"/>
      <c r="C168" s="334"/>
      <c r="D168" s="334"/>
      <c r="E168" s="336"/>
      <c r="F168" s="337"/>
      <c r="G168" s="334"/>
      <c r="H168" s="334"/>
      <c r="I168" s="334"/>
      <c r="J168" s="334"/>
      <c r="K168" s="338"/>
      <c r="L168" s="338"/>
      <c r="M168" s="338"/>
      <c r="N168" s="338"/>
    </row>
  </sheetData>
  <autoFilter ref="A5:O164" xr:uid="{00000000-0009-0000-0000-000002000000}">
    <filterColumn colId="10" showButton="0"/>
    <filterColumn colId="11" showButton="0"/>
  </autoFilter>
  <mergeCells count="22">
    <mergeCell ref="S5:S6"/>
    <mergeCell ref="T5:T6"/>
    <mergeCell ref="U5:W6"/>
    <mergeCell ref="X5:X6"/>
    <mergeCell ref="A164:B164"/>
    <mergeCell ref="E164:N164"/>
    <mergeCell ref="J5:J6"/>
    <mergeCell ref="K5:M5"/>
    <mergeCell ref="N5:N6"/>
    <mergeCell ref="O5:O6"/>
    <mergeCell ref="Q5:Q6"/>
    <mergeCell ref="R5:R6"/>
    <mergeCell ref="A1:E1"/>
    <mergeCell ref="A2:N2"/>
    <mergeCell ref="A5:A6"/>
    <mergeCell ref="B5:B6"/>
    <mergeCell ref="C5:C6"/>
    <mergeCell ref="D5:D6"/>
    <mergeCell ref="E5:E6"/>
    <mergeCell ref="F5:F6"/>
    <mergeCell ref="H5:H6"/>
    <mergeCell ref="I5:I6"/>
  </mergeCells>
  <conditionalFormatting sqref="B165:B1048576 B3:B163">
    <cfRule type="duplicateValues" dxfId="21" priority="1"/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65" fitToHeight="7" orientation="landscape" r:id="rId1"/>
  <headerFooter>
    <oddFooter>&amp;LAppendix to the Act of Executed Works&amp;C&amp;P / &amp;N&amp;RNo. 477 LCL</oddFooter>
  </headerFooter>
  <rowBreaks count="1" manualBreakCount="1">
    <brk id="117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ColWidth="8.88671875" defaultRowHeight="14.4"/>
  <cols>
    <col min="1" max="1" width="21.109375" style="22" bestFit="1" customWidth="1"/>
    <col min="2" max="2" width="80.88671875" style="22" customWidth="1"/>
    <col min="3" max="3" width="13.33203125" style="22" bestFit="1" customWidth="1"/>
    <col min="4" max="16384" width="8.88671875" style="22"/>
  </cols>
  <sheetData>
    <row r="1" spans="1:3" ht="24" customHeight="1">
      <c r="A1" s="23" t="s">
        <v>22</v>
      </c>
      <c r="B1" s="24" t="str" cm="1">
        <f t="array" aca="1" ref="B1" ca="1">CELL("имяфайла")</f>
        <v>C:\Users\z.radjabmukhamedov\Desktop\[477 LCL GM.xlsx]Appendix</v>
      </c>
    </row>
    <row r="2" spans="1:3" ht="24" customHeight="1">
      <c r="A2" s="23" t="s">
        <v>29</v>
      </c>
      <c r="B2" s="25" t="str">
        <f ca="1">LEFT(B1,SEARCH("[",B1,1)-1)&amp;B3</f>
        <v>C:\Users\z.radjabmukhamedov\Desktop\(АВР от Центрум) AWC 426 Asaka (LCL)_FEBRUARY_1.xlsx</v>
      </c>
    </row>
    <row r="3" spans="1:3" ht="24" customHeight="1">
      <c r="A3" s="23" t="s">
        <v>28</v>
      </c>
      <c r="B3" s="26" t="s">
        <v>149</v>
      </c>
    </row>
    <row r="4" spans="1:3" ht="24" customHeight="1"/>
    <row r="5" spans="1:3" ht="29.4" customHeight="1">
      <c r="A5" s="47" t="s">
        <v>137</v>
      </c>
      <c r="B5" s="48" t="str">
        <f ca="1">LEFT(B1,SEARCH("[",B1,1)-1)&amp;"Справочник курсов.xlsx"</f>
        <v>C:\Users\z.radjabmukhamedov\Desktop\Справочник курсов.xlsx</v>
      </c>
    </row>
    <row r="7" spans="1:3">
      <c r="A7" s="22" t="s">
        <v>134</v>
      </c>
    </row>
    <row r="8" spans="1:3">
      <c r="A8" s="43" t="s">
        <v>110</v>
      </c>
      <c r="B8" s="43"/>
      <c r="C8" s="4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 codeName="Лист3">
    <tabColor rgb="FFC00000"/>
  </sheetPr>
  <dimension ref="A1:E27"/>
  <sheetViews>
    <sheetView workbookViewId="0">
      <selection activeCell="C8" sqref="C8"/>
    </sheetView>
  </sheetViews>
  <sheetFormatPr defaultRowHeight="14.4"/>
  <cols>
    <col min="1" max="1" width="17.6640625" bestFit="1" customWidth="1"/>
    <col min="2" max="2" width="17.33203125" bestFit="1" customWidth="1"/>
    <col min="3" max="3" width="17.33203125" style="3" bestFit="1" customWidth="1"/>
    <col min="4" max="4" width="24" style="3" bestFit="1" customWidth="1"/>
    <col min="5" max="5" width="21.88671875" bestFit="1" customWidth="1"/>
    <col min="6" max="6" width="24" bestFit="1" customWidth="1"/>
    <col min="7" max="7" width="13.44140625" customWidth="1"/>
  </cols>
  <sheetData>
    <row r="1" spans="1:5" s="18" customFormat="1" ht="56.4">
      <c r="A1" s="18" t="s">
        <v>138</v>
      </c>
      <c r="B1" s="18" t="s">
        <v>23</v>
      </c>
      <c r="C1" s="18" t="s">
        <v>24</v>
      </c>
      <c r="D1" s="18" t="s">
        <v>139</v>
      </c>
      <c r="E1" s="18" t="s">
        <v>140</v>
      </c>
    </row>
    <row r="2" spans="1:5" ht="15.6">
      <c r="A2" s="16">
        <f>MIN(ACT[Date of Dispatch/ 
Дата отгрузки])</f>
        <v>44965</v>
      </c>
      <c r="B2" s="16">
        <f>MAX(ACT[Date of Dispatch/ 
Дата отгрузки])</f>
        <v>44965</v>
      </c>
      <c r="C2" s="16">
        <f ca="1">IF(WORKDAY(A2,15)&gt;=TODAY(),TODAY(),WORKDAY(A2,15))</f>
        <v>44986</v>
      </c>
      <c r="D2" s="17"/>
      <c r="E2" s="10" t="s">
        <v>17</v>
      </c>
    </row>
    <row r="4" spans="1:5" ht="36" customHeight="1">
      <c r="A4" s="27" t="str">
        <f>IF(COUNT(Курс_840[Дата])=0,"Обновите курсы валюты в Справочнике","")</f>
        <v/>
      </c>
    </row>
    <row r="5" spans="1:5" s="20" customFormat="1">
      <c r="A5" s="20" t="s">
        <v>25</v>
      </c>
      <c r="B5" s="20" t="s">
        <v>26</v>
      </c>
      <c r="C5" s="20" t="s">
        <v>141</v>
      </c>
      <c r="D5" s="20" t="s">
        <v>27</v>
      </c>
    </row>
    <row r="6" spans="1:5">
      <c r="A6" s="19" t="s">
        <v>144</v>
      </c>
      <c r="B6" s="5">
        <v>44965</v>
      </c>
      <c r="C6" s="51">
        <v>11350.18</v>
      </c>
    </row>
    <row r="7" spans="1:5">
      <c r="A7" s="19" t="s">
        <v>145</v>
      </c>
      <c r="B7" s="5">
        <v>44966</v>
      </c>
      <c r="C7" s="51">
        <v>11370.11</v>
      </c>
      <c r="D7" s="3" t="s">
        <v>148</v>
      </c>
    </row>
    <row r="8" spans="1:5">
      <c r="A8" s="19" t="s">
        <v>146</v>
      </c>
      <c r="B8" s="5">
        <v>44967</v>
      </c>
      <c r="C8" s="51">
        <v>11350.12</v>
      </c>
    </row>
    <row r="9" spans="1:5">
      <c r="A9" s="19" t="s">
        <v>147</v>
      </c>
      <c r="B9" s="5">
        <v>44968</v>
      </c>
      <c r="C9" s="51">
        <v>11350.12</v>
      </c>
    </row>
    <row r="10" spans="1:5">
      <c r="A10" s="19" t="s">
        <v>136</v>
      </c>
      <c r="B10" s="5">
        <v>44969</v>
      </c>
      <c r="C10" s="51">
        <v>11350.12</v>
      </c>
    </row>
    <row r="11" spans="1:5">
      <c r="A11" s="19" t="s">
        <v>142</v>
      </c>
      <c r="B11" s="5">
        <v>44970</v>
      </c>
      <c r="C11" s="51">
        <v>11338.21</v>
      </c>
    </row>
    <row r="12" spans="1:5">
      <c r="A12" s="19" t="s">
        <v>143</v>
      </c>
      <c r="B12" s="5">
        <v>44971</v>
      </c>
      <c r="C12" s="51">
        <v>11330.04</v>
      </c>
    </row>
    <row r="13" spans="1:5">
      <c r="A13" s="19" t="s">
        <v>144</v>
      </c>
      <c r="B13" s="5">
        <v>44972</v>
      </c>
      <c r="C13" s="51">
        <v>11360.1</v>
      </c>
    </row>
    <row r="14" spans="1:5">
      <c r="A14" s="19" t="s">
        <v>145</v>
      </c>
      <c r="B14" s="5">
        <v>44973</v>
      </c>
      <c r="C14" s="51">
        <v>11368.98</v>
      </c>
    </row>
    <row r="15" spans="1:5">
      <c r="A15" s="19" t="s">
        <v>146</v>
      </c>
      <c r="B15" s="5">
        <v>44974</v>
      </c>
      <c r="C15" s="51">
        <v>11353.95</v>
      </c>
    </row>
    <row r="16" spans="1:5">
      <c r="A16" s="19" t="s">
        <v>147</v>
      </c>
      <c r="B16" s="5">
        <v>44975</v>
      </c>
      <c r="C16" s="51">
        <v>11353.95</v>
      </c>
    </row>
    <row r="17" spans="1:3">
      <c r="A17" s="19" t="s">
        <v>136</v>
      </c>
      <c r="B17" s="5">
        <v>44976</v>
      </c>
      <c r="C17" s="51">
        <v>11353.95</v>
      </c>
    </row>
    <row r="18" spans="1:3">
      <c r="A18" s="19" t="s">
        <v>142</v>
      </c>
      <c r="B18" s="5">
        <v>44977</v>
      </c>
      <c r="C18" s="51">
        <v>11342</v>
      </c>
    </row>
    <row r="19" spans="1:3">
      <c r="A19" s="19" t="s">
        <v>143</v>
      </c>
      <c r="B19" s="5">
        <v>44978</v>
      </c>
      <c r="C19" s="51">
        <v>11320.09</v>
      </c>
    </row>
    <row r="20" spans="1:3">
      <c r="A20" s="19" t="s">
        <v>144</v>
      </c>
      <c r="B20" s="5">
        <v>44979</v>
      </c>
      <c r="C20" s="51">
        <v>11302.46</v>
      </c>
    </row>
    <row r="21" spans="1:3">
      <c r="A21" s="19" t="s">
        <v>145</v>
      </c>
      <c r="B21" s="5">
        <v>44980</v>
      </c>
      <c r="C21" s="51">
        <v>11316.94</v>
      </c>
    </row>
    <row r="22" spans="1:3">
      <c r="A22" s="19" t="s">
        <v>146</v>
      </c>
      <c r="B22" s="5">
        <v>44981</v>
      </c>
      <c r="C22" s="51">
        <v>11338.09</v>
      </c>
    </row>
    <row r="23" spans="1:3">
      <c r="A23" s="19" t="s">
        <v>147</v>
      </c>
      <c r="B23" s="5">
        <v>44982</v>
      </c>
      <c r="C23" s="51">
        <v>11338.09</v>
      </c>
    </row>
    <row r="24" spans="1:3">
      <c r="A24" s="19" t="s">
        <v>136</v>
      </c>
      <c r="B24" s="5">
        <v>44983</v>
      </c>
      <c r="C24" s="51">
        <v>11338.09</v>
      </c>
    </row>
    <row r="25" spans="1:3">
      <c r="A25" s="19" t="s">
        <v>142</v>
      </c>
      <c r="B25" s="5">
        <v>44984</v>
      </c>
      <c r="C25" s="51">
        <v>11350</v>
      </c>
    </row>
    <row r="26" spans="1:3">
      <c r="A26" s="19" t="s">
        <v>143</v>
      </c>
      <c r="B26" s="5">
        <v>44985</v>
      </c>
      <c r="C26" s="51">
        <v>11320.01</v>
      </c>
    </row>
    <row r="27" spans="1:3">
      <c r="A27" s="19" t="s">
        <v>144</v>
      </c>
      <c r="B27" s="5">
        <v>44986</v>
      </c>
      <c r="C27" s="51">
        <v>11336.04</v>
      </c>
    </row>
  </sheetData>
  <phoneticPr fontId="16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150</v>
      </c>
      <c r="F1" s="14" t="s">
        <v>151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</row>
    <row r="2" spans="1:29" ht="14.4">
      <c r="A2" s="4">
        <v>1</v>
      </c>
      <c r="B2" s="4" t="s">
        <v>152</v>
      </c>
      <c r="C2" s="7" t="s">
        <v>21</v>
      </c>
      <c r="D2" s="5">
        <v>44965</v>
      </c>
      <c r="E2" s="3" t="s">
        <v>84</v>
      </c>
      <c r="F2" s="4" t="s">
        <v>153</v>
      </c>
      <c r="G2" s="4" t="s">
        <v>85</v>
      </c>
      <c r="H2" s="4">
        <v>7.48</v>
      </c>
      <c r="I2" s="4">
        <v>5776.38</v>
      </c>
      <c r="J2" s="4" t="s">
        <v>86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>
      <c r="A3" s="4">
        <v>2</v>
      </c>
      <c r="B3" s="4" t="s">
        <v>152</v>
      </c>
      <c r="C3" s="7" t="s">
        <v>21</v>
      </c>
      <c r="D3" s="5">
        <v>44965</v>
      </c>
      <c r="E3" s="3" t="s">
        <v>84</v>
      </c>
      <c r="F3" s="4" t="s">
        <v>154</v>
      </c>
      <c r="G3" s="4" t="s">
        <v>85</v>
      </c>
      <c r="H3" s="4">
        <v>8.9760000000000009</v>
      </c>
      <c r="I3" s="4">
        <v>3852</v>
      </c>
      <c r="J3" s="4" t="s">
        <v>86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>
      <c r="A4" s="4">
        <v>3</v>
      </c>
      <c r="B4" s="4" t="s">
        <v>152</v>
      </c>
      <c r="C4" s="7" t="s">
        <v>21</v>
      </c>
      <c r="D4" s="5">
        <v>44965</v>
      </c>
      <c r="E4" s="3" t="s">
        <v>84</v>
      </c>
      <c r="F4" s="4" t="s">
        <v>155</v>
      </c>
      <c r="G4" s="4" t="s">
        <v>87</v>
      </c>
      <c r="H4" s="4">
        <v>49.658000000000001</v>
      </c>
      <c r="I4" s="4">
        <v>1424.02</v>
      </c>
      <c r="J4" s="4" t="s">
        <v>86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>
      <c r="A5" s="4">
        <v>4</v>
      </c>
      <c r="B5" s="4" t="s">
        <v>156</v>
      </c>
      <c r="C5" s="7" t="s">
        <v>21</v>
      </c>
      <c r="D5" s="5">
        <v>44965</v>
      </c>
      <c r="E5" s="3" t="s">
        <v>84</v>
      </c>
      <c r="F5" s="4" t="s">
        <v>157</v>
      </c>
      <c r="G5" s="4" t="s">
        <v>85</v>
      </c>
      <c r="H5" s="4">
        <v>7.48</v>
      </c>
      <c r="I5" s="4">
        <v>5776.38</v>
      </c>
      <c r="J5" s="4" t="s">
        <v>86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>
      <c r="A6" s="4">
        <v>5</v>
      </c>
      <c r="B6" s="4" t="s">
        <v>156</v>
      </c>
      <c r="C6" s="7" t="s">
        <v>21</v>
      </c>
      <c r="D6" s="5">
        <v>44965</v>
      </c>
      <c r="E6" s="3" t="s">
        <v>84</v>
      </c>
      <c r="F6" s="4" t="s">
        <v>158</v>
      </c>
      <c r="G6" s="4" t="s">
        <v>85</v>
      </c>
      <c r="H6" s="4">
        <v>8.9760000000000009</v>
      </c>
      <c r="I6" s="4">
        <v>3852</v>
      </c>
      <c r="J6" s="4" t="s">
        <v>86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>
      <c r="A7" s="4">
        <v>6</v>
      </c>
      <c r="B7" s="4" t="s">
        <v>156</v>
      </c>
      <c r="C7" s="7" t="s">
        <v>21</v>
      </c>
      <c r="D7" s="5">
        <v>44965</v>
      </c>
      <c r="E7" s="3" t="s">
        <v>84</v>
      </c>
      <c r="F7" s="4" t="s">
        <v>159</v>
      </c>
      <c r="G7" s="4" t="s">
        <v>87</v>
      </c>
      <c r="H7" s="4">
        <v>49.658000000000001</v>
      </c>
      <c r="I7" s="4">
        <v>3027.02</v>
      </c>
      <c r="J7" s="4" t="s">
        <v>86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>
      <c r="A8" s="4">
        <v>7</v>
      </c>
      <c r="B8" s="4" t="s">
        <v>160</v>
      </c>
      <c r="C8" s="7" t="s">
        <v>21</v>
      </c>
      <c r="D8" s="5">
        <v>44965</v>
      </c>
      <c r="E8" s="3" t="s">
        <v>84</v>
      </c>
      <c r="F8" s="4" t="s">
        <v>161</v>
      </c>
      <c r="G8" s="4" t="s">
        <v>85</v>
      </c>
      <c r="H8" s="4">
        <v>7.48</v>
      </c>
      <c r="I8" s="4">
        <v>5776.26</v>
      </c>
      <c r="J8" s="4" t="s">
        <v>86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>
      <c r="A9" s="4">
        <v>8</v>
      </c>
      <c r="B9" s="4" t="s">
        <v>160</v>
      </c>
      <c r="C9" s="7" t="s">
        <v>21</v>
      </c>
      <c r="D9" s="5">
        <v>44965</v>
      </c>
      <c r="E9" s="3" t="s">
        <v>84</v>
      </c>
      <c r="F9" s="4" t="s">
        <v>162</v>
      </c>
      <c r="G9" s="4" t="s">
        <v>85</v>
      </c>
      <c r="H9" s="4">
        <v>8.9760000000000009</v>
      </c>
      <c r="I9" s="4">
        <v>3852</v>
      </c>
      <c r="J9" s="4" t="s">
        <v>86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>
      <c r="A10" s="4">
        <v>9</v>
      </c>
      <c r="B10" s="4" t="s">
        <v>160</v>
      </c>
      <c r="C10" s="7" t="s">
        <v>21</v>
      </c>
      <c r="D10" s="5">
        <v>44965</v>
      </c>
      <c r="E10" s="3" t="s">
        <v>84</v>
      </c>
      <c r="F10" s="4" t="s">
        <v>163</v>
      </c>
      <c r="G10" s="4" t="s">
        <v>87</v>
      </c>
      <c r="H10" s="4">
        <v>49.658000000000001</v>
      </c>
      <c r="I10" s="4">
        <v>2898.72</v>
      </c>
      <c r="J10" s="4" t="s">
        <v>86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>
      <c r="A11" s="4">
        <v>10</v>
      </c>
      <c r="B11" s="4" t="s">
        <v>164</v>
      </c>
      <c r="C11" s="7" t="s">
        <v>21</v>
      </c>
      <c r="D11" s="5">
        <v>44965</v>
      </c>
      <c r="E11" s="3" t="s">
        <v>84</v>
      </c>
      <c r="F11" s="4" t="s">
        <v>165</v>
      </c>
      <c r="G11" s="4" t="s">
        <v>85</v>
      </c>
      <c r="H11" s="4">
        <v>7.48</v>
      </c>
      <c r="I11" s="4">
        <v>5776</v>
      </c>
      <c r="J11" s="4" t="s">
        <v>86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>
      <c r="A12" s="4">
        <v>11</v>
      </c>
      <c r="B12" s="4" t="s">
        <v>164</v>
      </c>
      <c r="C12" s="7" t="s">
        <v>21</v>
      </c>
      <c r="D12" s="5">
        <v>44965</v>
      </c>
      <c r="E12" s="3" t="s">
        <v>84</v>
      </c>
      <c r="F12" s="4" t="s">
        <v>166</v>
      </c>
      <c r="G12" s="4" t="s">
        <v>85</v>
      </c>
      <c r="H12" s="4">
        <v>8.9760000000000009</v>
      </c>
      <c r="I12" s="4">
        <v>3852</v>
      </c>
      <c r="J12" s="4" t="s">
        <v>86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>
      <c r="A13" s="4">
        <v>12</v>
      </c>
      <c r="B13" s="4" t="s">
        <v>164</v>
      </c>
      <c r="C13" s="7" t="s">
        <v>21</v>
      </c>
      <c r="D13" s="5">
        <v>44965</v>
      </c>
      <c r="E13" s="3" t="s">
        <v>84</v>
      </c>
      <c r="F13" s="4" t="s">
        <v>167</v>
      </c>
      <c r="G13" s="4" t="s">
        <v>87</v>
      </c>
      <c r="H13" s="4">
        <v>49.658000000000001</v>
      </c>
      <c r="I13" s="4">
        <v>2027.63</v>
      </c>
      <c r="J13" s="4" t="s">
        <v>86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>
      <c r="A14" s="4">
        <v>13</v>
      </c>
      <c r="B14" s="4" t="s">
        <v>168</v>
      </c>
      <c r="C14" s="7" t="s">
        <v>21</v>
      </c>
      <c r="D14" s="5">
        <v>44965</v>
      </c>
      <c r="E14" s="3" t="s">
        <v>84</v>
      </c>
      <c r="F14" s="4" t="s">
        <v>169</v>
      </c>
      <c r="G14" s="4" t="s">
        <v>85</v>
      </c>
      <c r="H14" s="4">
        <v>23.936</v>
      </c>
      <c r="I14" s="4">
        <v>18484</v>
      </c>
      <c r="J14" s="4" t="s">
        <v>86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>
      <c r="A15" s="4">
        <v>14</v>
      </c>
      <c r="B15" s="4" t="s">
        <v>168</v>
      </c>
      <c r="C15" s="7" t="s">
        <v>21</v>
      </c>
      <c r="D15" s="5">
        <v>44965</v>
      </c>
      <c r="E15" s="3" t="s">
        <v>84</v>
      </c>
      <c r="F15" s="4" t="s">
        <v>170</v>
      </c>
      <c r="G15" s="4" t="s">
        <v>171</v>
      </c>
      <c r="H15" s="4">
        <v>16.64</v>
      </c>
      <c r="I15" s="4">
        <v>2026.88</v>
      </c>
      <c r="J15" s="4" t="s">
        <v>86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>
      <c r="A16" s="4">
        <v>15</v>
      </c>
      <c r="B16" s="4" t="s">
        <v>168</v>
      </c>
      <c r="C16" s="7" t="s">
        <v>21</v>
      </c>
      <c r="D16" s="5">
        <v>44965</v>
      </c>
      <c r="E16" s="3" t="s">
        <v>84</v>
      </c>
      <c r="F16" s="4" t="s">
        <v>172</v>
      </c>
      <c r="G16" s="4" t="s">
        <v>88</v>
      </c>
      <c r="H16" s="4">
        <v>4.9000000000000004</v>
      </c>
      <c r="I16" s="4">
        <v>1315</v>
      </c>
      <c r="J16" s="4" t="s">
        <v>86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>
      <c r="A17" s="4">
        <v>16</v>
      </c>
      <c r="B17" s="4" t="s">
        <v>168</v>
      </c>
      <c r="C17" s="7" t="s">
        <v>21</v>
      </c>
      <c r="D17" s="5">
        <v>44965</v>
      </c>
      <c r="E17" s="3" t="s">
        <v>84</v>
      </c>
      <c r="F17" s="4" t="s">
        <v>173</v>
      </c>
      <c r="G17" s="4" t="s">
        <v>88</v>
      </c>
      <c r="H17" s="4">
        <v>7.2</v>
      </c>
      <c r="I17" s="4">
        <v>672</v>
      </c>
      <c r="J17" s="4" t="s">
        <v>86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>
      <c r="A18" s="4">
        <v>17</v>
      </c>
      <c r="B18" s="4" t="s">
        <v>174</v>
      </c>
      <c r="C18" s="7" t="s">
        <v>21</v>
      </c>
      <c r="D18" s="5">
        <v>44965</v>
      </c>
      <c r="E18" s="3" t="s">
        <v>84</v>
      </c>
      <c r="F18" s="4" t="s">
        <v>175</v>
      </c>
      <c r="G18" s="4" t="s">
        <v>85</v>
      </c>
      <c r="H18" s="4">
        <v>23.936</v>
      </c>
      <c r="I18" s="4">
        <v>18484</v>
      </c>
      <c r="J18" s="4" t="s">
        <v>86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>
      <c r="A19" s="4">
        <v>18</v>
      </c>
      <c r="B19" s="4" t="s">
        <v>174</v>
      </c>
      <c r="C19" s="7" t="s">
        <v>21</v>
      </c>
      <c r="D19" s="5">
        <v>44965</v>
      </c>
      <c r="E19" s="3" t="s">
        <v>84</v>
      </c>
      <c r="F19" s="4" t="s">
        <v>176</v>
      </c>
      <c r="G19" s="4" t="s">
        <v>89</v>
      </c>
      <c r="H19" s="4">
        <v>20.21</v>
      </c>
      <c r="I19" s="4">
        <v>2669.28</v>
      </c>
      <c r="J19" s="4" t="s">
        <v>86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>
      <c r="A20" s="4">
        <v>19</v>
      </c>
      <c r="B20" s="4" t="s">
        <v>174</v>
      </c>
      <c r="C20" s="7" t="s">
        <v>21</v>
      </c>
      <c r="D20" s="5">
        <v>44965</v>
      </c>
      <c r="E20" s="3" t="s">
        <v>84</v>
      </c>
      <c r="F20" s="4" t="s">
        <v>177</v>
      </c>
      <c r="G20" s="4" t="s">
        <v>178</v>
      </c>
      <c r="H20" s="4">
        <v>2.5270000000000001</v>
      </c>
      <c r="I20" s="4">
        <v>250</v>
      </c>
      <c r="J20" s="4" t="s">
        <v>86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>
      <c r="A21" s="4">
        <v>20</v>
      </c>
      <c r="B21" s="4" t="s">
        <v>174</v>
      </c>
      <c r="C21" s="7" t="s">
        <v>21</v>
      </c>
      <c r="D21" s="5">
        <v>44965</v>
      </c>
      <c r="E21" s="3" t="s">
        <v>84</v>
      </c>
      <c r="F21" s="4" t="s">
        <v>317</v>
      </c>
      <c r="G21" s="4" t="s">
        <v>90</v>
      </c>
      <c r="H21" s="4">
        <v>0.45600000000000002</v>
      </c>
      <c r="I21" s="4">
        <v>85</v>
      </c>
      <c r="J21" s="4" t="s">
        <v>86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>
      <c r="A22" s="4">
        <v>21</v>
      </c>
      <c r="B22" s="4" t="s">
        <v>179</v>
      </c>
      <c r="C22" s="7" t="s">
        <v>21</v>
      </c>
      <c r="D22" s="5">
        <v>44965</v>
      </c>
      <c r="E22" s="3" t="s">
        <v>84</v>
      </c>
      <c r="F22" s="4" t="s">
        <v>180</v>
      </c>
      <c r="G22" s="4" t="s">
        <v>85</v>
      </c>
      <c r="H22" s="4">
        <v>17.952000000000002</v>
      </c>
      <c r="I22" s="4">
        <v>13863</v>
      </c>
      <c r="J22" s="4" t="s">
        <v>86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>
      <c r="A23" s="4">
        <v>22</v>
      </c>
      <c r="B23" s="4" t="s">
        <v>179</v>
      </c>
      <c r="C23" s="7" t="s">
        <v>21</v>
      </c>
      <c r="D23" s="5">
        <v>44965</v>
      </c>
      <c r="E23" s="3" t="s">
        <v>84</v>
      </c>
      <c r="F23" s="4" t="s">
        <v>181</v>
      </c>
      <c r="G23" s="4" t="s">
        <v>91</v>
      </c>
      <c r="H23" s="4">
        <v>30.751000000000001</v>
      </c>
      <c r="I23" s="4">
        <v>5519</v>
      </c>
      <c r="J23" s="4" t="s">
        <v>86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>
      <c r="A24" s="4">
        <v>23</v>
      </c>
      <c r="B24" s="4" t="s">
        <v>179</v>
      </c>
      <c r="C24" s="7" t="s">
        <v>21</v>
      </c>
      <c r="D24" s="5">
        <v>44965</v>
      </c>
      <c r="E24" s="3" t="s">
        <v>84</v>
      </c>
      <c r="F24" s="4" t="s">
        <v>182</v>
      </c>
      <c r="G24" s="4" t="s">
        <v>92</v>
      </c>
      <c r="H24" s="4">
        <v>2.6819999999999999</v>
      </c>
      <c r="I24" s="4">
        <v>1632</v>
      </c>
      <c r="J24" s="4" t="s">
        <v>86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>
      <c r="A25" s="4">
        <v>24</v>
      </c>
      <c r="B25" s="4" t="s">
        <v>183</v>
      </c>
      <c r="C25" s="7" t="s">
        <v>21</v>
      </c>
      <c r="D25" s="5">
        <v>44965</v>
      </c>
      <c r="E25" s="3" t="s">
        <v>84</v>
      </c>
      <c r="F25" s="4" t="s">
        <v>184</v>
      </c>
      <c r="G25" s="4" t="s">
        <v>85</v>
      </c>
      <c r="H25" s="4">
        <v>17.448</v>
      </c>
      <c r="I25" s="4">
        <v>7853</v>
      </c>
      <c r="J25" s="4" t="s">
        <v>86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>
      <c r="A26" s="4">
        <v>25</v>
      </c>
      <c r="B26" s="4" t="s">
        <v>183</v>
      </c>
      <c r="C26" s="7" t="s">
        <v>21</v>
      </c>
      <c r="D26" s="5">
        <v>44965</v>
      </c>
      <c r="E26" s="3" t="s">
        <v>84</v>
      </c>
      <c r="F26" s="4" t="s">
        <v>185</v>
      </c>
      <c r="G26" s="4" t="s">
        <v>93</v>
      </c>
      <c r="H26" s="4">
        <v>43.59</v>
      </c>
      <c r="I26" s="4">
        <v>14638</v>
      </c>
      <c r="J26" s="4" t="s">
        <v>86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>
      <c r="A27" s="4">
        <v>26</v>
      </c>
      <c r="B27" s="4" t="s">
        <v>186</v>
      </c>
      <c r="C27" s="7" t="s">
        <v>21</v>
      </c>
      <c r="D27" s="5">
        <v>44965</v>
      </c>
      <c r="E27" s="3" t="s">
        <v>84</v>
      </c>
      <c r="F27" s="4" t="s">
        <v>187</v>
      </c>
      <c r="G27" s="4" t="s">
        <v>85</v>
      </c>
      <c r="H27" s="4">
        <v>10.178000000000001</v>
      </c>
      <c r="I27" s="4">
        <v>4580.9399999999996</v>
      </c>
      <c r="J27" s="4" t="s">
        <v>86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>
      <c r="A28" s="4">
        <v>27</v>
      </c>
      <c r="B28" s="4" t="s">
        <v>186</v>
      </c>
      <c r="C28" s="7" t="s">
        <v>21</v>
      </c>
      <c r="D28" s="5">
        <v>44965</v>
      </c>
      <c r="E28" s="3" t="s">
        <v>84</v>
      </c>
      <c r="F28" s="4" t="s">
        <v>188</v>
      </c>
      <c r="G28" s="4" t="s">
        <v>94</v>
      </c>
      <c r="H28" s="4">
        <v>47.18</v>
      </c>
      <c r="I28" s="4">
        <v>9489</v>
      </c>
      <c r="J28" s="4" t="s">
        <v>86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>
      <c r="A29" s="4">
        <v>28</v>
      </c>
      <c r="B29" s="4" t="s">
        <v>189</v>
      </c>
      <c r="C29" s="7" t="s">
        <v>21</v>
      </c>
      <c r="D29" s="5">
        <v>44965</v>
      </c>
      <c r="E29" s="3" t="s">
        <v>84</v>
      </c>
      <c r="F29" s="4" t="s">
        <v>190</v>
      </c>
      <c r="G29" s="4" t="s">
        <v>85</v>
      </c>
      <c r="H29" s="4">
        <v>17.448</v>
      </c>
      <c r="I29" s="4">
        <v>7853.04</v>
      </c>
      <c r="J29" s="4" t="s">
        <v>86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>
      <c r="A30" s="4">
        <v>29</v>
      </c>
      <c r="B30" s="4" t="s">
        <v>189</v>
      </c>
      <c r="C30" s="7" t="s">
        <v>21</v>
      </c>
      <c r="D30" s="5">
        <v>44965</v>
      </c>
      <c r="E30" s="3" t="s">
        <v>84</v>
      </c>
      <c r="F30" s="4" t="s">
        <v>191</v>
      </c>
      <c r="G30" s="4" t="s">
        <v>95</v>
      </c>
      <c r="H30" s="4">
        <v>4.6360000000000001</v>
      </c>
      <c r="I30" s="4">
        <v>1621.65</v>
      </c>
      <c r="J30" s="4" t="s">
        <v>96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>
      <c r="A31" s="4">
        <v>30</v>
      </c>
      <c r="B31" s="4" t="s">
        <v>189</v>
      </c>
      <c r="C31" s="7" t="s">
        <v>21</v>
      </c>
      <c r="D31" s="5">
        <v>44965</v>
      </c>
      <c r="E31" s="3" t="s">
        <v>84</v>
      </c>
      <c r="F31" s="4" t="s">
        <v>192</v>
      </c>
      <c r="G31" s="4" t="s">
        <v>193</v>
      </c>
      <c r="H31" s="4">
        <v>10.201000000000001</v>
      </c>
      <c r="I31" s="4">
        <v>778.8</v>
      </c>
      <c r="J31" s="4" t="s">
        <v>86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>
      <c r="A32" s="4">
        <v>31</v>
      </c>
      <c r="B32" s="4" t="s">
        <v>189</v>
      </c>
      <c r="C32" s="7" t="s">
        <v>21</v>
      </c>
      <c r="D32" s="5">
        <v>44965</v>
      </c>
      <c r="E32" s="3" t="s">
        <v>84</v>
      </c>
      <c r="F32" s="4" t="s">
        <v>194</v>
      </c>
      <c r="G32" s="4" t="s">
        <v>97</v>
      </c>
      <c r="H32" s="4">
        <v>8.407</v>
      </c>
      <c r="I32" s="4">
        <v>2004.04</v>
      </c>
      <c r="J32" s="4" t="s">
        <v>86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>
      <c r="A33" s="4">
        <v>32</v>
      </c>
      <c r="B33" s="4" t="s">
        <v>189</v>
      </c>
      <c r="C33" s="7" t="s">
        <v>21</v>
      </c>
      <c r="D33" s="5">
        <v>44965</v>
      </c>
      <c r="E33" s="3" t="s">
        <v>84</v>
      </c>
      <c r="F33" s="4" t="s">
        <v>195</v>
      </c>
      <c r="G33" s="4" t="s">
        <v>97</v>
      </c>
      <c r="H33" s="4">
        <v>0.86499999999999999</v>
      </c>
      <c r="I33" s="4">
        <v>388.68</v>
      </c>
      <c r="J33" s="4" t="s">
        <v>86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>
      <c r="A34" s="4">
        <v>33</v>
      </c>
      <c r="B34" s="4" t="s">
        <v>189</v>
      </c>
      <c r="C34" s="7" t="s">
        <v>21</v>
      </c>
      <c r="D34" s="5">
        <v>44965</v>
      </c>
      <c r="E34" s="3" t="s">
        <v>84</v>
      </c>
      <c r="F34" s="4" t="s">
        <v>196</v>
      </c>
      <c r="G34" s="4" t="s">
        <v>98</v>
      </c>
      <c r="H34" s="4">
        <v>14.747</v>
      </c>
      <c r="I34" s="4">
        <v>3012</v>
      </c>
      <c r="J34" s="4" t="s">
        <v>86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>
      <c r="A35" s="4">
        <v>34</v>
      </c>
      <c r="B35" s="4" t="s">
        <v>197</v>
      </c>
      <c r="C35" s="7" t="s">
        <v>21</v>
      </c>
      <c r="D35" s="5">
        <v>44965</v>
      </c>
      <c r="E35" s="3" t="s">
        <v>84</v>
      </c>
      <c r="F35" s="4" t="s">
        <v>198</v>
      </c>
      <c r="G35" s="4" t="s">
        <v>85</v>
      </c>
      <c r="H35" s="4">
        <v>24.72</v>
      </c>
      <c r="I35" s="4">
        <v>18480</v>
      </c>
      <c r="J35" s="4" t="s">
        <v>86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>
      <c r="A36" s="4">
        <v>35</v>
      </c>
      <c r="B36" s="4" t="s">
        <v>197</v>
      </c>
      <c r="C36" s="7" t="s">
        <v>21</v>
      </c>
      <c r="D36" s="5">
        <v>44965</v>
      </c>
      <c r="E36" s="3" t="s">
        <v>84</v>
      </c>
      <c r="F36" s="4" t="s">
        <v>199</v>
      </c>
      <c r="G36" s="4" t="s">
        <v>99</v>
      </c>
      <c r="H36" s="4">
        <v>31.440999999999999</v>
      </c>
      <c r="I36" s="4">
        <v>2788</v>
      </c>
      <c r="J36" s="4" t="s">
        <v>86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>
      <c r="A37" s="4">
        <v>36</v>
      </c>
      <c r="B37" s="4" t="s">
        <v>197</v>
      </c>
      <c r="C37" s="7" t="s">
        <v>21</v>
      </c>
      <c r="D37" s="5">
        <v>44965</v>
      </c>
      <c r="E37" s="3" t="s">
        <v>84</v>
      </c>
      <c r="F37" s="4" t="s">
        <v>200</v>
      </c>
      <c r="G37" s="4" t="s">
        <v>99</v>
      </c>
      <c r="H37" s="4">
        <v>0.25800000000000001</v>
      </c>
      <c r="I37" s="4">
        <v>23</v>
      </c>
      <c r="J37" s="4" t="s">
        <v>86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>
      <c r="A38" s="4">
        <v>37</v>
      </c>
      <c r="B38" s="4" t="s">
        <v>201</v>
      </c>
      <c r="C38" s="7" t="s">
        <v>21</v>
      </c>
      <c r="D38" s="5">
        <v>44965</v>
      </c>
      <c r="E38" s="3" t="s">
        <v>84</v>
      </c>
      <c r="F38" s="4" t="s">
        <v>202</v>
      </c>
      <c r="G38" s="4" t="s">
        <v>85</v>
      </c>
      <c r="H38" s="4">
        <v>20.518000000000001</v>
      </c>
      <c r="I38" s="4">
        <v>15400</v>
      </c>
      <c r="J38" s="4" t="s">
        <v>86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>
      <c r="A39" s="4">
        <v>38</v>
      </c>
      <c r="B39" s="4" t="s">
        <v>201</v>
      </c>
      <c r="C39" s="7" t="s">
        <v>21</v>
      </c>
      <c r="D39" s="5">
        <v>44965</v>
      </c>
      <c r="E39" s="3" t="s">
        <v>84</v>
      </c>
      <c r="F39" s="4" t="s">
        <v>203</v>
      </c>
      <c r="G39" s="4" t="s">
        <v>204</v>
      </c>
      <c r="H39" s="4">
        <v>13.082000000000001</v>
      </c>
      <c r="I39" s="4">
        <v>2893</v>
      </c>
      <c r="J39" s="4" t="s">
        <v>96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>
      <c r="A40" s="4">
        <v>39</v>
      </c>
      <c r="B40" s="4" t="s">
        <v>201</v>
      </c>
      <c r="C40" s="7" t="s">
        <v>21</v>
      </c>
      <c r="D40" s="5">
        <v>44965</v>
      </c>
      <c r="E40" s="3" t="s">
        <v>84</v>
      </c>
      <c r="F40" s="4" t="s">
        <v>205</v>
      </c>
      <c r="G40" s="4" t="s">
        <v>204</v>
      </c>
      <c r="H40" s="4">
        <v>16.045000000000002</v>
      </c>
      <c r="I40" s="4">
        <v>1935</v>
      </c>
      <c r="J40" s="4" t="s">
        <v>96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>
      <c r="A41" s="4">
        <v>40</v>
      </c>
      <c r="B41" s="4" t="s">
        <v>206</v>
      </c>
      <c r="C41" s="7" t="s">
        <v>21</v>
      </c>
      <c r="D41" s="5">
        <v>44965</v>
      </c>
      <c r="E41" s="3" t="s">
        <v>84</v>
      </c>
      <c r="F41" s="4" t="s">
        <v>207</v>
      </c>
      <c r="G41" s="4" t="s">
        <v>85</v>
      </c>
      <c r="H41" s="4">
        <v>14.32</v>
      </c>
      <c r="I41" s="4">
        <v>10780</v>
      </c>
      <c r="J41" s="4" t="s">
        <v>86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>
      <c r="A42" s="4">
        <v>41</v>
      </c>
      <c r="B42" s="4" t="s">
        <v>206</v>
      </c>
      <c r="C42" s="7" t="s">
        <v>21</v>
      </c>
      <c r="D42" s="5">
        <v>44965</v>
      </c>
      <c r="E42" s="3" t="s">
        <v>84</v>
      </c>
      <c r="F42" s="4" t="s">
        <v>208</v>
      </c>
      <c r="G42" s="4" t="s">
        <v>99</v>
      </c>
      <c r="H42" s="4">
        <v>27.094999999999999</v>
      </c>
      <c r="I42" s="4">
        <v>1908</v>
      </c>
      <c r="J42" s="4" t="s">
        <v>86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>
      <c r="A43" s="4">
        <v>42</v>
      </c>
      <c r="B43" s="4" t="s">
        <v>206</v>
      </c>
      <c r="C43" s="7" t="s">
        <v>21</v>
      </c>
      <c r="D43" s="5">
        <v>44965</v>
      </c>
      <c r="E43" s="3" t="s">
        <v>84</v>
      </c>
      <c r="F43" s="4" t="s">
        <v>209</v>
      </c>
      <c r="G43" s="4" t="s">
        <v>100</v>
      </c>
      <c r="H43" s="4">
        <v>9.36</v>
      </c>
      <c r="I43" s="4">
        <v>3864</v>
      </c>
      <c r="J43" s="4" t="s">
        <v>86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>
      <c r="A44" s="4">
        <v>43</v>
      </c>
      <c r="B44" s="4" t="s">
        <v>206</v>
      </c>
      <c r="C44" s="7" t="s">
        <v>21</v>
      </c>
      <c r="D44" s="5">
        <v>44965</v>
      </c>
      <c r="E44" s="3" t="s">
        <v>84</v>
      </c>
      <c r="F44" s="4" t="s">
        <v>210</v>
      </c>
      <c r="G44" s="4" t="s">
        <v>101</v>
      </c>
      <c r="H44" s="4">
        <v>6.0350000000000001</v>
      </c>
      <c r="I44" s="4">
        <v>1070.76</v>
      </c>
      <c r="J44" s="4" t="s">
        <v>86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>
      <c r="A45" s="4">
        <v>44</v>
      </c>
      <c r="B45" s="4" t="s">
        <v>211</v>
      </c>
      <c r="C45" s="7" t="s">
        <v>21</v>
      </c>
      <c r="D45" s="5">
        <v>44965</v>
      </c>
      <c r="E45" s="3" t="s">
        <v>84</v>
      </c>
      <c r="F45" s="4" t="s">
        <v>212</v>
      </c>
      <c r="G45" s="4" t="s">
        <v>99</v>
      </c>
      <c r="H45" s="4">
        <v>54.19</v>
      </c>
      <c r="I45" s="4">
        <v>3815</v>
      </c>
      <c r="J45" s="4" t="s">
        <v>86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>
      <c r="A46" s="4">
        <v>45</v>
      </c>
      <c r="B46" s="4" t="s">
        <v>213</v>
      </c>
      <c r="C46" s="7" t="s">
        <v>21</v>
      </c>
      <c r="D46" s="5">
        <v>44965</v>
      </c>
      <c r="E46" s="3" t="s">
        <v>84</v>
      </c>
      <c r="F46" s="4" t="s">
        <v>318</v>
      </c>
      <c r="G46" s="4" t="s">
        <v>214</v>
      </c>
      <c r="H46" s="4">
        <v>9.8049999999999997</v>
      </c>
      <c r="I46" s="4">
        <v>3148.4</v>
      </c>
      <c r="J46" s="4" t="s">
        <v>86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>
      <c r="A47" s="4">
        <v>46</v>
      </c>
      <c r="B47" s="4" t="s">
        <v>213</v>
      </c>
      <c r="C47" s="7" t="s">
        <v>21</v>
      </c>
      <c r="D47" s="5">
        <v>44965</v>
      </c>
      <c r="E47" s="3" t="s">
        <v>84</v>
      </c>
      <c r="F47" s="4" t="s">
        <v>215</v>
      </c>
      <c r="G47" s="4" t="s">
        <v>204</v>
      </c>
      <c r="H47" s="4">
        <v>27.72</v>
      </c>
      <c r="I47" s="4">
        <v>20400</v>
      </c>
      <c r="J47" s="4" t="s">
        <v>96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>
      <c r="A48" s="4">
        <v>47</v>
      </c>
      <c r="B48" s="4" t="s">
        <v>213</v>
      </c>
      <c r="C48" s="7" t="s">
        <v>21</v>
      </c>
      <c r="D48" s="5">
        <v>44965</v>
      </c>
      <c r="E48" s="3" t="s">
        <v>84</v>
      </c>
      <c r="F48" s="4" t="s">
        <v>216</v>
      </c>
      <c r="G48" s="4" t="s">
        <v>204</v>
      </c>
      <c r="H48" s="4">
        <v>0.62</v>
      </c>
      <c r="I48" s="4">
        <v>163</v>
      </c>
      <c r="J48" s="4" t="s">
        <v>96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>
      <c r="A49" s="4">
        <v>48</v>
      </c>
      <c r="B49" s="4" t="s">
        <v>213</v>
      </c>
      <c r="C49" s="7" t="s">
        <v>21</v>
      </c>
      <c r="D49" s="5">
        <v>44965</v>
      </c>
      <c r="E49" s="3" t="s">
        <v>84</v>
      </c>
      <c r="F49" s="4" t="s">
        <v>217</v>
      </c>
      <c r="G49" s="4" t="s">
        <v>204</v>
      </c>
      <c r="H49" s="4">
        <v>3.524</v>
      </c>
      <c r="I49" s="4">
        <v>696</v>
      </c>
      <c r="J49" s="4" t="s">
        <v>96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>
      <c r="A50" s="4">
        <v>49</v>
      </c>
      <c r="B50" s="4" t="s">
        <v>218</v>
      </c>
      <c r="C50" s="7" t="s">
        <v>21</v>
      </c>
      <c r="D50" s="5">
        <v>44965</v>
      </c>
      <c r="E50" s="3" t="s">
        <v>84</v>
      </c>
      <c r="F50" s="4" t="s">
        <v>219</v>
      </c>
      <c r="G50" s="4" t="s">
        <v>220</v>
      </c>
      <c r="H50" s="4">
        <v>4.67</v>
      </c>
      <c r="I50" s="4">
        <v>2198</v>
      </c>
      <c r="J50" s="4" t="s">
        <v>86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>
      <c r="A51" s="4">
        <v>50</v>
      </c>
      <c r="B51" s="4" t="s">
        <v>218</v>
      </c>
      <c r="C51" s="7" t="s">
        <v>21</v>
      </c>
      <c r="D51" s="5">
        <v>44965</v>
      </c>
      <c r="E51" s="3" t="s">
        <v>84</v>
      </c>
      <c r="F51" s="4" t="s">
        <v>221</v>
      </c>
      <c r="G51" s="4" t="s">
        <v>222</v>
      </c>
      <c r="H51" s="4">
        <v>12.054</v>
      </c>
      <c r="I51" s="4">
        <v>7240</v>
      </c>
      <c r="J51" s="4" t="s">
        <v>86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>
      <c r="A52" s="4">
        <v>51</v>
      </c>
      <c r="B52" s="4" t="s">
        <v>218</v>
      </c>
      <c r="C52" s="7" t="s">
        <v>21</v>
      </c>
      <c r="D52" s="5">
        <v>44965</v>
      </c>
      <c r="E52" s="3" t="s">
        <v>84</v>
      </c>
      <c r="F52" s="4" t="s">
        <v>223</v>
      </c>
      <c r="G52" s="4" t="s">
        <v>102</v>
      </c>
      <c r="H52" s="4">
        <v>10.53</v>
      </c>
      <c r="I52" s="4">
        <v>6091</v>
      </c>
      <c r="J52" s="4" t="s">
        <v>86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>
      <c r="A53" s="4">
        <v>52</v>
      </c>
      <c r="B53" s="4" t="s">
        <v>218</v>
      </c>
      <c r="C53" s="7" t="s">
        <v>21</v>
      </c>
      <c r="D53" s="5">
        <v>44965</v>
      </c>
      <c r="E53" s="3" t="s">
        <v>84</v>
      </c>
      <c r="F53" s="4" t="s">
        <v>224</v>
      </c>
      <c r="G53" s="4" t="s">
        <v>204</v>
      </c>
      <c r="H53" s="4">
        <v>23.754999999999999</v>
      </c>
      <c r="I53" s="4">
        <v>3397.92</v>
      </c>
      <c r="J53" s="4" t="s">
        <v>96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>
      <c r="A54" s="4">
        <v>53</v>
      </c>
      <c r="B54" s="4" t="s">
        <v>218</v>
      </c>
      <c r="C54" s="7" t="s">
        <v>21</v>
      </c>
      <c r="D54" s="5">
        <v>44965</v>
      </c>
      <c r="E54" s="3" t="s">
        <v>84</v>
      </c>
      <c r="F54" s="4" t="s">
        <v>225</v>
      </c>
      <c r="G54" s="4" t="s">
        <v>103</v>
      </c>
      <c r="H54" s="4">
        <v>2.0659999999999998</v>
      </c>
      <c r="I54" s="4">
        <v>2526.13</v>
      </c>
      <c r="J54" s="4" t="s">
        <v>86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>
      <c r="A55" s="4">
        <v>54</v>
      </c>
      <c r="B55" s="4" t="s">
        <v>226</v>
      </c>
      <c r="C55" s="7" t="s">
        <v>21</v>
      </c>
      <c r="D55" s="5">
        <v>44965</v>
      </c>
      <c r="E55" s="3" t="s">
        <v>84</v>
      </c>
      <c r="F55" s="4" t="s">
        <v>227</v>
      </c>
      <c r="G55" s="4" t="s">
        <v>104</v>
      </c>
      <c r="H55" s="4">
        <v>51.600999999999999</v>
      </c>
      <c r="I55" s="4">
        <v>9477.1</v>
      </c>
      <c r="J55" s="4" t="s">
        <v>86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>
      <c r="A56" s="4">
        <v>55</v>
      </c>
      <c r="B56" s="4" t="s">
        <v>226</v>
      </c>
      <c r="C56" s="7" t="s">
        <v>21</v>
      </c>
      <c r="D56" s="5">
        <v>44965</v>
      </c>
      <c r="E56" s="3" t="s">
        <v>84</v>
      </c>
      <c r="F56" s="4" t="s">
        <v>228</v>
      </c>
      <c r="G56" s="4" t="s">
        <v>105</v>
      </c>
      <c r="H56" s="4">
        <v>0.59699999999999998</v>
      </c>
      <c r="I56" s="4">
        <v>25</v>
      </c>
      <c r="J56" s="4" t="s">
        <v>86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>
      <c r="A57" s="4">
        <v>56</v>
      </c>
      <c r="B57" s="4" t="s">
        <v>226</v>
      </c>
      <c r="C57" s="7" t="s">
        <v>21</v>
      </c>
      <c r="D57" s="5">
        <v>44965</v>
      </c>
      <c r="E57" s="3" t="s">
        <v>84</v>
      </c>
      <c r="F57" s="4" t="s">
        <v>229</v>
      </c>
      <c r="G57" s="4" t="s">
        <v>106</v>
      </c>
      <c r="H57" s="4">
        <v>8.0679999999999996</v>
      </c>
      <c r="I57" s="4">
        <v>742</v>
      </c>
      <c r="J57" s="4" t="s">
        <v>86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>
      <c r="A58" s="4">
        <v>57</v>
      </c>
      <c r="B58" s="4" t="s">
        <v>226</v>
      </c>
      <c r="C58" s="7" t="s">
        <v>21</v>
      </c>
      <c r="D58" s="5">
        <v>44965</v>
      </c>
      <c r="E58" s="3" t="s">
        <v>84</v>
      </c>
      <c r="F58" s="4" t="s">
        <v>230</v>
      </c>
      <c r="G58" s="4" t="s">
        <v>107</v>
      </c>
      <c r="H58" s="4">
        <v>2.1480000000000001</v>
      </c>
      <c r="I58" s="4">
        <v>182</v>
      </c>
      <c r="J58" s="4" t="s">
        <v>86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>
      <c r="A59" s="4">
        <v>58</v>
      </c>
      <c r="B59" s="4" t="s">
        <v>226</v>
      </c>
      <c r="C59" s="7" t="s">
        <v>21</v>
      </c>
      <c r="D59" s="5">
        <v>44965</v>
      </c>
      <c r="E59" s="3" t="s">
        <v>84</v>
      </c>
      <c r="F59" s="4" t="s">
        <v>231</v>
      </c>
      <c r="G59" s="4" t="s">
        <v>107</v>
      </c>
      <c r="H59" s="4">
        <v>4.2960000000000003</v>
      </c>
      <c r="I59" s="4">
        <v>378</v>
      </c>
      <c r="J59" s="4" t="s">
        <v>86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>
      <c r="A60" s="4">
        <v>59</v>
      </c>
      <c r="B60" s="4" t="s">
        <v>232</v>
      </c>
      <c r="C60" s="7" t="s">
        <v>21</v>
      </c>
      <c r="D60" s="5">
        <v>44965</v>
      </c>
      <c r="E60" s="3" t="s">
        <v>84</v>
      </c>
      <c r="F60" s="4" t="s">
        <v>233</v>
      </c>
      <c r="G60" s="4" t="s">
        <v>108</v>
      </c>
      <c r="H60" s="4">
        <v>28.216999999999999</v>
      </c>
      <c r="I60" s="4">
        <v>2220</v>
      </c>
      <c r="J60" s="4" t="s">
        <v>86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>
      <c r="A61" s="4">
        <v>60</v>
      </c>
      <c r="B61" s="4" t="s">
        <v>232</v>
      </c>
      <c r="C61" s="7" t="s">
        <v>21</v>
      </c>
      <c r="D61" s="5">
        <v>44965</v>
      </c>
      <c r="E61" s="3" t="s">
        <v>84</v>
      </c>
      <c r="F61" s="4" t="s">
        <v>234</v>
      </c>
      <c r="G61" s="4" t="s">
        <v>235</v>
      </c>
      <c r="H61" s="4">
        <v>17.600000000000001</v>
      </c>
      <c r="I61" s="4">
        <v>8504.5400000000009</v>
      </c>
      <c r="J61" s="4" t="s">
        <v>86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>
      <c r="A62" s="4">
        <v>61</v>
      </c>
      <c r="B62" s="4" t="s">
        <v>232</v>
      </c>
      <c r="C62" s="7" t="s">
        <v>21</v>
      </c>
      <c r="D62" s="5">
        <v>44965</v>
      </c>
      <c r="E62" s="3" t="s">
        <v>84</v>
      </c>
      <c r="F62" s="4" t="s">
        <v>236</v>
      </c>
      <c r="G62" s="4" t="s">
        <v>235</v>
      </c>
      <c r="H62" s="4">
        <v>20.8</v>
      </c>
      <c r="I62" s="4">
        <v>14142.94</v>
      </c>
      <c r="J62" s="4" t="s">
        <v>86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>
      <c r="A63" s="4">
        <v>62</v>
      </c>
      <c r="B63" s="4" t="s">
        <v>237</v>
      </c>
      <c r="C63" s="7" t="s">
        <v>21</v>
      </c>
      <c r="D63" s="5">
        <v>44965</v>
      </c>
      <c r="E63" s="3" t="s">
        <v>84</v>
      </c>
      <c r="F63" s="4" t="s">
        <v>238</v>
      </c>
      <c r="G63" s="4" t="s">
        <v>109</v>
      </c>
      <c r="H63" s="4">
        <v>1.746</v>
      </c>
      <c r="I63" s="4">
        <v>1139.4000000000001</v>
      </c>
      <c r="J63" s="4" t="s">
        <v>86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>
      <c r="A64" s="4">
        <v>63</v>
      </c>
      <c r="B64" s="4" t="s">
        <v>237</v>
      </c>
      <c r="C64" s="7" t="s">
        <v>21</v>
      </c>
      <c r="D64" s="5">
        <v>44965</v>
      </c>
      <c r="E64" s="3" t="s">
        <v>84</v>
      </c>
      <c r="F64" s="4" t="s">
        <v>239</v>
      </c>
      <c r="G64" s="4" t="s">
        <v>240</v>
      </c>
      <c r="H64" s="4">
        <v>8.75</v>
      </c>
      <c r="I64" s="4">
        <v>4715.2</v>
      </c>
      <c r="J64" s="4" t="s">
        <v>86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>
      <c r="A65" s="4">
        <v>64</v>
      </c>
      <c r="B65" s="4" t="s">
        <v>237</v>
      </c>
      <c r="C65" s="7" t="s">
        <v>21</v>
      </c>
      <c r="D65" s="5">
        <v>44965</v>
      </c>
      <c r="E65" s="3" t="s">
        <v>84</v>
      </c>
      <c r="F65" s="4" t="s">
        <v>241</v>
      </c>
      <c r="G65" s="4" t="s">
        <v>242</v>
      </c>
      <c r="H65" s="4">
        <v>4.8600000000000003</v>
      </c>
      <c r="I65" s="4">
        <v>4612</v>
      </c>
      <c r="J65" s="4" t="s">
        <v>86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>
      <c r="A66" s="4">
        <v>65</v>
      </c>
      <c r="B66" s="4" t="s">
        <v>237</v>
      </c>
      <c r="C66" s="7" t="s">
        <v>21</v>
      </c>
      <c r="D66" s="5">
        <v>44965</v>
      </c>
      <c r="E66" s="3" t="s">
        <v>84</v>
      </c>
      <c r="F66" s="4" t="s">
        <v>243</v>
      </c>
      <c r="G66" s="4" t="s">
        <v>244</v>
      </c>
      <c r="H66" s="4">
        <v>3.17</v>
      </c>
      <c r="I66" s="4">
        <v>1184.5</v>
      </c>
      <c r="J66" s="4" t="s">
        <v>86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>
      <c r="A67" s="4">
        <v>66</v>
      </c>
      <c r="B67" s="4" t="s">
        <v>237</v>
      </c>
      <c r="C67" s="7" t="s">
        <v>21</v>
      </c>
      <c r="D67" s="5">
        <v>44965</v>
      </c>
      <c r="E67" s="3" t="s">
        <v>84</v>
      </c>
      <c r="F67" s="4" t="s">
        <v>245</v>
      </c>
      <c r="G67" s="4" t="s">
        <v>204</v>
      </c>
      <c r="H67" s="4">
        <v>6.9119999999999999</v>
      </c>
      <c r="I67" s="4">
        <v>1840</v>
      </c>
      <c r="J67" s="4" t="s">
        <v>96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>
      <c r="A68" s="4">
        <v>67</v>
      </c>
      <c r="B68" s="4" t="s">
        <v>237</v>
      </c>
      <c r="C68" s="7" t="s">
        <v>21</v>
      </c>
      <c r="D68" s="5">
        <v>44965</v>
      </c>
      <c r="E68" s="3" t="s">
        <v>84</v>
      </c>
      <c r="F68" s="4" t="s">
        <v>246</v>
      </c>
      <c r="G68" s="4" t="s">
        <v>204</v>
      </c>
      <c r="H68" s="4">
        <v>0.27200000000000002</v>
      </c>
      <c r="I68" s="4">
        <v>84.2</v>
      </c>
      <c r="J68" s="4" t="s">
        <v>96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>
      <c r="A69" s="4">
        <v>68</v>
      </c>
      <c r="B69" s="4" t="s">
        <v>237</v>
      </c>
      <c r="C69" s="7" t="s">
        <v>21</v>
      </c>
      <c r="D69" s="5">
        <v>44965</v>
      </c>
      <c r="E69" s="3" t="s">
        <v>84</v>
      </c>
      <c r="F69" s="4" t="s">
        <v>247</v>
      </c>
      <c r="G69" s="4" t="s">
        <v>204</v>
      </c>
      <c r="H69" s="4">
        <v>3.9E-2</v>
      </c>
      <c r="I69" s="4">
        <v>15.3</v>
      </c>
      <c r="J69" s="4" t="s">
        <v>96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>
      <c r="A70" s="4">
        <v>69</v>
      </c>
      <c r="B70" s="4" t="s">
        <v>237</v>
      </c>
      <c r="C70" s="7" t="s">
        <v>21</v>
      </c>
      <c r="D70" s="5">
        <v>44965</v>
      </c>
      <c r="E70" s="3" t="s">
        <v>84</v>
      </c>
      <c r="F70" s="4" t="s">
        <v>248</v>
      </c>
      <c r="G70" s="4" t="s">
        <v>204</v>
      </c>
      <c r="H70" s="4">
        <v>5.8319999999999999</v>
      </c>
      <c r="I70" s="4">
        <v>7114.08</v>
      </c>
      <c r="J70" s="4" t="s">
        <v>96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>
      <c r="A71" s="4">
        <v>70</v>
      </c>
      <c r="B71" s="4" t="s">
        <v>237</v>
      </c>
      <c r="C71" s="7" t="s">
        <v>21</v>
      </c>
      <c r="D71" s="5">
        <v>44965</v>
      </c>
      <c r="E71" s="3" t="s">
        <v>84</v>
      </c>
      <c r="F71" s="4" t="s">
        <v>249</v>
      </c>
      <c r="G71" s="4" t="s">
        <v>204</v>
      </c>
      <c r="H71" s="4">
        <v>0.71599999999999997</v>
      </c>
      <c r="I71" s="4">
        <v>372</v>
      </c>
      <c r="J71" s="4" t="s">
        <v>96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>
      <c r="A72" s="4">
        <v>71</v>
      </c>
      <c r="B72" s="4" t="s">
        <v>250</v>
      </c>
      <c r="C72" s="7" t="s">
        <v>21</v>
      </c>
      <c r="D72" s="5">
        <v>44965</v>
      </c>
      <c r="E72" s="3" t="s">
        <v>84</v>
      </c>
      <c r="F72" s="4" t="s">
        <v>251</v>
      </c>
      <c r="G72" s="4" t="s">
        <v>252</v>
      </c>
      <c r="H72" s="4">
        <v>8.0190000000000001</v>
      </c>
      <c r="I72" s="4">
        <v>7621</v>
      </c>
      <c r="J72" s="4" t="s">
        <v>86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>
      <c r="A73" s="4">
        <v>72</v>
      </c>
      <c r="B73" s="4" t="s">
        <v>250</v>
      </c>
      <c r="C73" s="7" t="s">
        <v>21</v>
      </c>
      <c r="D73" s="5">
        <v>44965</v>
      </c>
      <c r="E73" s="3" t="s">
        <v>84</v>
      </c>
      <c r="F73" s="4" t="s">
        <v>253</v>
      </c>
      <c r="G73" s="4" t="s">
        <v>254</v>
      </c>
      <c r="H73" s="4">
        <v>0.53200000000000003</v>
      </c>
      <c r="I73" s="4">
        <v>328.26</v>
      </c>
      <c r="J73" s="4" t="s">
        <v>86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>
      <c r="A74" s="4">
        <v>73</v>
      </c>
      <c r="B74" s="4" t="s">
        <v>250</v>
      </c>
      <c r="C74" s="7" t="s">
        <v>21</v>
      </c>
      <c r="D74" s="5">
        <v>44965</v>
      </c>
      <c r="E74" s="3" t="s">
        <v>84</v>
      </c>
      <c r="F74" s="4" t="s">
        <v>255</v>
      </c>
      <c r="G74" s="4" t="s">
        <v>256</v>
      </c>
      <c r="H74" s="4">
        <v>1.2E-2</v>
      </c>
      <c r="I74" s="4">
        <v>1.4</v>
      </c>
      <c r="J74" s="4" t="s">
        <v>86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>
      <c r="A75" s="4">
        <v>74</v>
      </c>
      <c r="B75" s="4" t="s">
        <v>250</v>
      </c>
      <c r="C75" s="7" t="s">
        <v>21</v>
      </c>
      <c r="D75" s="5">
        <v>44965</v>
      </c>
      <c r="E75" s="3" t="s">
        <v>84</v>
      </c>
      <c r="F75" s="4" t="s">
        <v>257</v>
      </c>
      <c r="G75" s="4" t="s">
        <v>258</v>
      </c>
      <c r="H75" s="4">
        <v>11.407999999999999</v>
      </c>
      <c r="I75" s="4">
        <v>12641.98</v>
      </c>
      <c r="J75" s="4" t="s">
        <v>86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>
      <c r="A76" s="4">
        <v>75</v>
      </c>
      <c r="B76" s="4" t="s">
        <v>250</v>
      </c>
      <c r="C76" s="7" t="s">
        <v>21</v>
      </c>
      <c r="D76" s="5">
        <v>44965</v>
      </c>
      <c r="E76" s="3" t="s">
        <v>84</v>
      </c>
      <c r="F76" s="4" t="s">
        <v>259</v>
      </c>
      <c r="G76" s="4" t="s">
        <v>260</v>
      </c>
      <c r="H76" s="4">
        <v>1.3069999999999999</v>
      </c>
      <c r="I76" s="4">
        <v>160</v>
      </c>
      <c r="J76" s="4" t="s">
        <v>86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>
      <c r="A77" s="4">
        <v>76</v>
      </c>
      <c r="B77" s="4" t="s">
        <v>261</v>
      </c>
      <c r="C77" s="7" t="s">
        <v>21</v>
      </c>
      <c r="D77" s="5">
        <v>44965</v>
      </c>
      <c r="E77" s="3" t="s">
        <v>84</v>
      </c>
      <c r="F77" s="4" t="s">
        <v>262</v>
      </c>
      <c r="G77" s="4" t="s">
        <v>263</v>
      </c>
      <c r="H77" s="4">
        <v>13.34</v>
      </c>
      <c r="I77" s="4">
        <v>5500</v>
      </c>
      <c r="J77" s="4" t="s">
        <v>86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>
      <c r="A78" s="4">
        <v>77</v>
      </c>
      <c r="B78" s="4" t="s">
        <v>261</v>
      </c>
      <c r="C78" s="7" t="s">
        <v>21</v>
      </c>
      <c r="D78" s="5">
        <v>44965</v>
      </c>
      <c r="E78" s="3" t="s">
        <v>84</v>
      </c>
      <c r="F78" s="4" t="s">
        <v>264</v>
      </c>
      <c r="G78" s="4" t="s">
        <v>263</v>
      </c>
      <c r="H78" s="4">
        <v>19.84</v>
      </c>
      <c r="I78" s="4">
        <v>7100</v>
      </c>
      <c r="J78" s="4" t="s">
        <v>86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>
      <c r="A79" s="4">
        <v>78</v>
      </c>
      <c r="B79" s="4" t="s">
        <v>261</v>
      </c>
      <c r="C79" s="7" t="s">
        <v>21</v>
      </c>
      <c r="D79" s="5">
        <v>44965</v>
      </c>
      <c r="E79" s="3" t="s">
        <v>84</v>
      </c>
      <c r="F79" s="4" t="s">
        <v>265</v>
      </c>
      <c r="G79" s="4" t="s">
        <v>263</v>
      </c>
      <c r="H79" s="4">
        <v>4.6689999999999996</v>
      </c>
      <c r="I79" s="4">
        <v>1918</v>
      </c>
      <c r="J79" s="4" t="s">
        <v>86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>
      <c r="A80" s="4">
        <v>79</v>
      </c>
      <c r="B80" s="4" t="s">
        <v>261</v>
      </c>
      <c r="C80" s="7" t="s">
        <v>21</v>
      </c>
      <c r="D80" s="5">
        <v>44965</v>
      </c>
      <c r="E80" s="3" t="s">
        <v>84</v>
      </c>
      <c r="F80" s="4" t="s">
        <v>266</v>
      </c>
      <c r="G80" s="4" t="s">
        <v>263</v>
      </c>
      <c r="H80" s="4">
        <v>6.9450000000000003</v>
      </c>
      <c r="I80" s="4">
        <v>2562</v>
      </c>
      <c r="J80" s="4" t="s">
        <v>86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>
      <c r="A81" s="4">
        <v>80</v>
      </c>
      <c r="B81" s="4" t="s">
        <v>261</v>
      </c>
      <c r="C81" s="7" t="s">
        <v>21</v>
      </c>
      <c r="D81" s="5">
        <v>44965</v>
      </c>
      <c r="E81" s="3" t="s">
        <v>84</v>
      </c>
      <c r="F81" s="4" t="s">
        <v>267</v>
      </c>
      <c r="G81" s="4" t="s">
        <v>263</v>
      </c>
      <c r="H81" s="4">
        <v>5.3360000000000003</v>
      </c>
      <c r="I81" s="4">
        <v>2200</v>
      </c>
      <c r="J81" s="4" t="s">
        <v>86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>
      <c r="A82" s="4">
        <v>81</v>
      </c>
      <c r="B82" s="4" t="s">
        <v>261</v>
      </c>
      <c r="C82" s="7" t="s">
        <v>21</v>
      </c>
      <c r="D82" s="5">
        <v>44965</v>
      </c>
      <c r="E82" s="3" t="s">
        <v>84</v>
      </c>
      <c r="F82" s="4" t="s">
        <v>268</v>
      </c>
      <c r="G82" s="4" t="s">
        <v>263</v>
      </c>
      <c r="H82" s="4">
        <v>7.9370000000000003</v>
      </c>
      <c r="I82" s="4">
        <v>2840</v>
      </c>
      <c r="J82" s="4" t="s">
        <v>86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>
      <c r="A83" s="4">
        <v>82</v>
      </c>
      <c r="B83" s="4" t="s">
        <v>261</v>
      </c>
      <c r="C83" s="7" t="s">
        <v>21</v>
      </c>
      <c r="D83" s="5">
        <v>44965</v>
      </c>
      <c r="E83" s="3" t="s">
        <v>84</v>
      </c>
      <c r="F83" s="4" t="s">
        <v>269</v>
      </c>
      <c r="G83" s="4" t="s">
        <v>263</v>
      </c>
      <c r="H83" s="4">
        <v>0.37</v>
      </c>
      <c r="I83" s="4">
        <v>15</v>
      </c>
      <c r="J83" s="4" t="s">
        <v>86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>
      <c r="A84" s="4">
        <v>83</v>
      </c>
      <c r="B84" s="4" t="s">
        <v>270</v>
      </c>
      <c r="C84" s="7" t="s">
        <v>21</v>
      </c>
      <c r="D84" s="5">
        <v>44965</v>
      </c>
      <c r="E84" s="3" t="s">
        <v>84</v>
      </c>
      <c r="F84" s="4" t="s">
        <v>271</v>
      </c>
      <c r="G84" s="4" t="s">
        <v>263</v>
      </c>
      <c r="H84" s="4">
        <v>15.414999999999999</v>
      </c>
      <c r="I84" s="4">
        <v>5005</v>
      </c>
      <c r="J84" s="4" t="s">
        <v>86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>
      <c r="A85" s="4">
        <v>84</v>
      </c>
      <c r="B85" s="4" t="s">
        <v>270</v>
      </c>
      <c r="C85" s="7" t="s">
        <v>21</v>
      </c>
      <c r="D85" s="5">
        <v>44965</v>
      </c>
      <c r="E85" s="3" t="s">
        <v>84</v>
      </c>
      <c r="F85" s="4" t="s">
        <v>272</v>
      </c>
      <c r="G85" s="4" t="s">
        <v>263</v>
      </c>
      <c r="H85" s="4">
        <v>6.3440000000000003</v>
      </c>
      <c r="I85" s="4">
        <v>1135.33</v>
      </c>
      <c r="J85" s="4" t="s">
        <v>86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>
      <c r="A86" s="4">
        <v>85</v>
      </c>
      <c r="B86" s="4" t="s">
        <v>270</v>
      </c>
      <c r="C86" s="7" t="s">
        <v>21</v>
      </c>
      <c r="D86" s="5">
        <v>44965</v>
      </c>
      <c r="E86" s="3" t="s">
        <v>84</v>
      </c>
      <c r="F86" s="4" t="s">
        <v>273</v>
      </c>
      <c r="G86" s="4" t="s">
        <v>263</v>
      </c>
      <c r="H86" s="4">
        <v>14.026999999999999</v>
      </c>
      <c r="I86" s="4">
        <v>11198.2</v>
      </c>
      <c r="J86" s="4" t="s">
        <v>86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>
      <c r="A87" s="4">
        <v>86</v>
      </c>
      <c r="B87" s="4" t="s">
        <v>270</v>
      </c>
      <c r="C87" s="7" t="s">
        <v>21</v>
      </c>
      <c r="D87" s="5">
        <v>44965</v>
      </c>
      <c r="E87" s="3" t="s">
        <v>84</v>
      </c>
      <c r="F87" s="4" t="s">
        <v>274</v>
      </c>
      <c r="G87" s="4" t="s">
        <v>263</v>
      </c>
      <c r="H87" s="4">
        <v>9.7110000000000003</v>
      </c>
      <c r="I87" s="4">
        <v>5436</v>
      </c>
      <c r="J87" s="4" t="s">
        <v>86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>
      <c r="A88" s="4">
        <v>87</v>
      </c>
      <c r="B88" s="4" t="s">
        <v>275</v>
      </c>
      <c r="C88" s="7" t="s">
        <v>21</v>
      </c>
      <c r="D88" s="5">
        <v>44965</v>
      </c>
      <c r="E88" s="3" t="s">
        <v>84</v>
      </c>
      <c r="F88" s="4" t="s">
        <v>276</v>
      </c>
      <c r="G88" s="4" t="s">
        <v>263</v>
      </c>
      <c r="H88" s="4">
        <v>66.432000000000002</v>
      </c>
      <c r="I88" s="4">
        <v>11352</v>
      </c>
      <c r="J88" s="4" t="s">
        <v>86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>
      <c r="A89" s="4">
        <v>88</v>
      </c>
      <c r="B89" s="4" t="s">
        <v>277</v>
      </c>
      <c r="C89" s="7" t="s">
        <v>21</v>
      </c>
      <c r="D89" s="5">
        <v>44965</v>
      </c>
      <c r="E89" s="3" t="s">
        <v>84</v>
      </c>
      <c r="F89" s="4" t="s">
        <v>278</v>
      </c>
      <c r="G89" s="4" t="s">
        <v>263</v>
      </c>
      <c r="H89" s="4">
        <v>13.84</v>
      </c>
      <c r="I89" s="4">
        <v>2365</v>
      </c>
      <c r="J89" s="4" t="s">
        <v>86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>
      <c r="A90" s="4">
        <v>89</v>
      </c>
      <c r="B90" s="4" t="s">
        <v>277</v>
      </c>
      <c r="C90" s="7" t="s">
        <v>21</v>
      </c>
      <c r="D90" s="5">
        <v>44965</v>
      </c>
      <c r="E90" s="3" t="s">
        <v>84</v>
      </c>
      <c r="F90" s="4" t="s">
        <v>279</v>
      </c>
      <c r="G90" s="4" t="s">
        <v>263</v>
      </c>
      <c r="H90" s="4">
        <v>24.207999999999998</v>
      </c>
      <c r="I90" s="4">
        <v>3687.98</v>
      </c>
      <c r="J90" s="4" t="s">
        <v>86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>
      <c r="A91" s="4">
        <v>90</v>
      </c>
      <c r="B91" s="4" t="s">
        <v>277</v>
      </c>
      <c r="C91" s="7" t="s">
        <v>21</v>
      </c>
      <c r="D91" s="5">
        <v>44965</v>
      </c>
      <c r="E91" s="3" t="s">
        <v>84</v>
      </c>
      <c r="F91" s="4" t="s">
        <v>280</v>
      </c>
      <c r="G91" s="4" t="s">
        <v>263</v>
      </c>
      <c r="H91" s="4">
        <v>29.907</v>
      </c>
      <c r="I91" s="4">
        <v>4981.2</v>
      </c>
      <c r="J91" s="4" t="s">
        <v>86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>
      <c r="A92" s="4">
        <v>91</v>
      </c>
      <c r="B92" s="4" t="s">
        <v>281</v>
      </c>
      <c r="C92" s="7" t="s">
        <v>21</v>
      </c>
      <c r="D92" s="5">
        <v>44965</v>
      </c>
      <c r="E92" s="3" t="s">
        <v>84</v>
      </c>
      <c r="F92" s="4" t="s">
        <v>282</v>
      </c>
      <c r="G92" s="4" t="s">
        <v>263</v>
      </c>
      <c r="H92" s="4">
        <v>11.391999999999999</v>
      </c>
      <c r="I92" s="4">
        <v>1735.52</v>
      </c>
      <c r="J92" s="4" t="s">
        <v>86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>
      <c r="A93" s="4">
        <v>92</v>
      </c>
      <c r="B93" s="4" t="s">
        <v>281</v>
      </c>
      <c r="C93" s="7" t="s">
        <v>21</v>
      </c>
      <c r="D93" s="5">
        <v>44965</v>
      </c>
      <c r="E93" s="3" t="s">
        <v>84</v>
      </c>
      <c r="F93" s="4" t="s">
        <v>283</v>
      </c>
      <c r="G93" s="4" t="s">
        <v>263</v>
      </c>
      <c r="H93" s="4">
        <v>11.544</v>
      </c>
      <c r="I93" s="4">
        <v>1492.8</v>
      </c>
      <c r="J93" s="4" t="s">
        <v>86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>
      <c r="A94" s="4">
        <v>93</v>
      </c>
      <c r="B94" s="4" t="s">
        <v>281</v>
      </c>
      <c r="C94" s="7" t="s">
        <v>21</v>
      </c>
      <c r="D94" s="5">
        <v>44965</v>
      </c>
      <c r="E94" s="3" t="s">
        <v>84</v>
      </c>
      <c r="F94" s="4" t="s">
        <v>284</v>
      </c>
      <c r="G94" s="4" t="s">
        <v>263</v>
      </c>
      <c r="H94" s="4">
        <v>21.58</v>
      </c>
      <c r="I94" s="4">
        <v>6420</v>
      </c>
      <c r="J94" s="4" t="s">
        <v>86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>
      <c r="A95" s="4">
        <v>94</v>
      </c>
      <c r="B95" s="4" t="s">
        <v>281</v>
      </c>
      <c r="C95" s="7" t="s">
        <v>21</v>
      </c>
      <c r="D95" s="5">
        <v>44965</v>
      </c>
      <c r="E95" s="3" t="s">
        <v>84</v>
      </c>
      <c r="F95" s="4" t="s">
        <v>285</v>
      </c>
      <c r="G95" s="4" t="s">
        <v>263</v>
      </c>
      <c r="H95" s="4">
        <v>21.58</v>
      </c>
      <c r="I95" s="4">
        <v>6420</v>
      </c>
      <c r="J95" s="4" t="s">
        <v>86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>
      <c r="A96" s="4">
        <v>95</v>
      </c>
      <c r="B96" s="4" t="s">
        <v>286</v>
      </c>
      <c r="C96" s="7" t="s">
        <v>21</v>
      </c>
      <c r="D96" s="5">
        <v>44965</v>
      </c>
      <c r="E96" s="3" t="s">
        <v>84</v>
      </c>
      <c r="F96" s="4" t="s">
        <v>287</v>
      </c>
      <c r="G96" s="4" t="s">
        <v>263</v>
      </c>
      <c r="H96" s="4">
        <v>31.285</v>
      </c>
      <c r="I96" s="4">
        <v>5278</v>
      </c>
      <c r="J96" s="4" t="s">
        <v>86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>
      <c r="A97" s="4">
        <v>96</v>
      </c>
      <c r="B97" s="4" t="s">
        <v>286</v>
      </c>
      <c r="C97" s="7" t="s">
        <v>21</v>
      </c>
      <c r="D97" s="5">
        <v>44965</v>
      </c>
      <c r="E97" s="3" t="s">
        <v>84</v>
      </c>
      <c r="F97" s="4" t="s">
        <v>288</v>
      </c>
      <c r="G97" s="4" t="s">
        <v>263</v>
      </c>
      <c r="H97" s="4">
        <v>31.285</v>
      </c>
      <c r="I97" s="4">
        <v>5278</v>
      </c>
      <c r="J97" s="4" t="s">
        <v>86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>
      <c r="A98" s="4">
        <v>97</v>
      </c>
      <c r="B98" s="4" t="s">
        <v>286</v>
      </c>
      <c r="C98" s="7" t="s">
        <v>21</v>
      </c>
      <c r="D98" s="5">
        <v>44965</v>
      </c>
      <c r="E98" s="3" t="s">
        <v>84</v>
      </c>
      <c r="F98" s="4" t="s">
        <v>289</v>
      </c>
      <c r="G98" s="4" t="s">
        <v>263</v>
      </c>
      <c r="H98" s="4">
        <v>0.627</v>
      </c>
      <c r="I98" s="4">
        <v>46.5</v>
      </c>
      <c r="J98" s="4" t="s">
        <v>86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>
      <c r="A99" s="4">
        <v>98</v>
      </c>
      <c r="B99" s="4" t="s">
        <v>286</v>
      </c>
      <c r="C99" s="7" t="s">
        <v>21</v>
      </c>
      <c r="D99" s="5">
        <v>44965</v>
      </c>
      <c r="E99" s="3" t="s">
        <v>84</v>
      </c>
      <c r="F99" s="4" t="s">
        <v>290</v>
      </c>
      <c r="G99" s="4" t="s">
        <v>263</v>
      </c>
      <c r="H99" s="4">
        <v>1.079</v>
      </c>
      <c r="I99" s="4">
        <v>84.88</v>
      </c>
      <c r="J99" s="4" t="s">
        <v>86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>
      <c r="A100" s="4">
        <v>99</v>
      </c>
      <c r="B100" s="4" t="s">
        <v>291</v>
      </c>
      <c r="C100" s="7" t="s">
        <v>21</v>
      </c>
      <c r="D100" s="5">
        <v>44965</v>
      </c>
      <c r="E100" s="3" t="s">
        <v>84</v>
      </c>
      <c r="F100" s="4" t="s">
        <v>292</v>
      </c>
      <c r="G100" s="4" t="s">
        <v>263</v>
      </c>
      <c r="H100" s="4">
        <v>28.86</v>
      </c>
      <c r="I100" s="4">
        <v>3732</v>
      </c>
      <c r="J100" s="4" t="s">
        <v>86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>
      <c r="A101" s="4">
        <v>100</v>
      </c>
      <c r="B101" s="4" t="s">
        <v>291</v>
      </c>
      <c r="C101" s="7" t="s">
        <v>21</v>
      </c>
      <c r="D101" s="5">
        <v>44965</v>
      </c>
      <c r="E101" s="3" t="s">
        <v>84</v>
      </c>
      <c r="F101" s="4" t="s">
        <v>293</v>
      </c>
      <c r="G101" s="4" t="s">
        <v>263</v>
      </c>
      <c r="H101" s="4">
        <v>32.369999999999997</v>
      </c>
      <c r="I101" s="4">
        <v>4030.2</v>
      </c>
      <c r="J101" s="4" t="s">
        <v>86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>
      <c r="A102" s="4">
        <v>101</v>
      </c>
      <c r="B102" s="4" t="s">
        <v>294</v>
      </c>
      <c r="C102" s="7" t="s">
        <v>21</v>
      </c>
      <c r="D102" s="5">
        <v>44965</v>
      </c>
      <c r="E102" s="3" t="s">
        <v>84</v>
      </c>
      <c r="F102" s="4" t="s">
        <v>295</v>
      </c>
      <c r="G102" s="4" t="s">
        <v>263</v>
      </c>
      <c r="H102" s="4">
        <v>28.86</v>
      </c>
      <c r="I102" s="4">
        <v>3732</v>
      </c>
      <c r="J102" s="4" t="s">
        <v>86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>
      <c r="A103" s="4">
        <v>102</v>
      </c>
      <c r="B103" s="4" t="s">
        <v>294</v>
      </c>
      <c r="C103" s="7" t="s">
        <v>21</v>
      </c>
      <c r="D103" s="5">
        <v>44965</v>
      </c>
      <c r="E103" s="3" t="s">
        <v>84</v>
      </c>
      <c r="F103" s="4" t="s">
        <v>296</v>
      </c>
      <c r="G103" s="4" t="s">
        <v>263</v>
      </c>
      <c r="H103" s="4">
        <v>9.7089999999999996</v>
      </c>
      <c r="I103" s="4">
        <v>5436</v>
      </c>
      <c r="J103" s="4" t="s">
        <v>86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>
      <c r="A104" s="4">
        <v>103</v>
      </c>
      <c r="B104" s="4" t="s">
        <v>294</v>
      </c>
      <c r="C104" s="7" t="s">
        <v>21</v>
      </c>
      <c r="D104" s="5">
        <v>44965</v>
      </c>
      <c r="E104" s="3" t="s">
        <v>84</v>
      </c>
      <c r="F104" s="4" t="s">
        <v>297</v>
      </c>
      <c r="G104" s="4" t="s">
        <v>263</v>
      </c>
      <c r="H104" s="4">
        <v>22.654</v>
      </c>
      <c r="I104" s="4">
        <v>3330.18</v>
      </c>
      <c r="J104" s="4" t="s">
        <v>86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>
      <c r="A105" s="4">
        <v>104</v>
      </c>
      <c r="B105" s="4" t="s">
        <v>298</v>
      </c>
      <c r="C105" s="7" t="s">
        <v>21</v>
      </c>
      <c r="D105" s="5">
        <v>44965</v>
      </c>
      <c r="E105" s="3" t="s">
        <v>84</v>
      </c>
      <c r="F105" s="4" t="s">
        <v>299</v>
      </c>
      <c r="G105" s="4" t="s">
        <v>263</v>
      </c>
      <c r="H105" s="4">
        <v>12.948</v>
      </c>
      <c r="I105" s="4">
        <v>11095.2</v>
      </c>
      <c r="J105" s="4" t="s">
        <v>86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>
      <c r="A106" s="4">
        <v>105</v>
      </c>
      <c r="B106" s="4" t="s">
        <v>298</v>
      </c>
      <c r="C106" s="7" t="s">
        <v>21</v>
      </c>
      <c r="D106" s="5">
        <v>44965</v>
      </c>
      <c r="E106" s="3" t="s">
        <v>84</v>
      </c>
      <c r="F106" s="4" t="s">
        <v>300</v>
      </c>
      <c r="G106" s="4" t="s">
        <v>263</v>
      </c>
      <c r="H106" s="4">
        <v>12.948</v>
      </c>
      <c r="I106" s="4">
        <v>11095.2</v>
      </c>
      <c r="J106" s="4" t="s">
        <v>86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>
      <c r="A107" s="4">
        <v>106</v>
      </c>
      <c r="B107" s="4" t="s">
        <v>298</v>
      </c>
      <c r="C107" s="7" t="s">
        <v>21</v>
      </c>
      <c r="D107" s="5">
        <v>44965</v>
      </c>
      <c r="E107" s="3" t="s">
        <v>84</v>
      </c>
      <c r="F107" s="4" t="s">
        <v>301</v>
      </c>
      <c r="G107" s="4" t="s">
        <v>263</v>
      </c>
      <c r="H107" s="4">
        <v>5.7720000000000002</v>
      </c>
      <c r="I107" s="4">
        <v>746.4</v>
      </c>
      <c r="J107" s="4" t="s">
        <v>86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>
      <c r="A108" s="4">
        <v>107</v>
      </c>
      <c r="B108" s="4" t="s">
        <v>298</v>
      </c>
      <c r="C108" s="7" t="s">
        <v>21</v>
      </c>
      <c r="D108" s="5">
        <v>44965</v>
      </c>
      <c r="E108" s="3" t="s">
        <v>84</v>
      </c>
      <c r="F108" s="4" t="s">
        <v>302</v>
      </c>
      <c r="G108" s="4" t="s">
        <v>263</v>
      </c>
      <c r="H108" s="4">
        <v>10.79</v>
      </c>
      <c r="I108" s="4">
        <v>1343.4</v>
      </c>
      <c r="J108" s="4" t="s">
        <v>86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>
      <c r="A109" s="4">
        <v>108</v>
      </c>
      <c r="B109" s="4" t="s">
        <v>303</v>
      </c>
      <c r="C109" s="7" t="s">
        <v>21</v>
      </c>
      <c r="D109" s="5">
        <v>44965</v>
      </c>
      <c r="E109" s="3" t="s">
        <v>84</v>
      </c>
      <c r="F109" s="4" t="s">
        <v>304</v>
      </c>
      <c r="G109" s="4" t="s">
        <v>263</v>
      </c>
      <c r="H109" s="4">
        <v>14.019</v>
      </c>
      <c r="I109" s="4">
        <v>11198.72</v>
      </c>
      <c r="J109" s="4" t="s">
        <v>86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>
      <c r="A110" s="4">
        <v>109</v>
      </c>
      <c r="B110" s="4" t="s">
        <v>303</v>
      </c>
      <c r="C110" s="7" t="s">
        <v>21</v>
      </c>
      <c r="D110" s="5">
        <v>44965</v>
      </c>
      <c r="E110" s="3" t="s">
        <v>84</v>
      </c>
      <c r="F110" s="4" t="s">
        <v>305</v>
      </c>
      <c r="G110" s="4" t="s">
        <v>263</v>
      </c>
      <c r="H110" s="4">
        <v>25.890999999999998</v>
      </c>
      <c r="I110" s="4">
        <v>3224.16</v>
      </c>
      <c r="J110" s="4" t="s">
        <v>86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>
      <c r="A111" s="4">
        <v>110</v>
      </c>
      <c r="B111" s="4" t="s">
        <v>303</v>
      </c>
      <c r="C111" s="7" t="s">
        <v>21</v>
      </c>
      <c r="D111" s="5">
        <v>44965</v>
      </c>
      <c r="E111" s="3" t="s">
        <v>84</v>
      </c>
      <c r="F111" s="4" t="s">
        <v>306</v>
      </c>
      <c r="G111" s="4" t="s">
        <v>307</v>
      </c>
      <c r="H111" s="4">
        <v>8.0190000000000001</v>
      </c>
      <c r="I111" s="4">
        <v>8006</v>
      </c>
      <c r="J111" s="4" t="s">
        <v>86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>
      <c r="A112" s="4">
        <v>111</v>
      </c>
      <c r="B112" s="4" t="s">
        <v>308</v>
      </c>
      <c r="C112" s="7" t="s">
        <v>21</v>
      </c>
      <c r="D112" s="5">
        <v>44965</v>
      </c>
      <c r="E112" s="3" t="s">
        <v>84</v>
      </c>
      <c r="F112" s="4" t="s">
        <v>309</v>
      </c>
      <c r="G112" s="4" t="s">
        <v>310</v>
      </c>
      <c r="H112" s="4">
        <v>60.765000000000001</v>
      </c>
      <c r="I112" s="4">
        <v>4851</v>
      </c>
      <c r="J112" s="4" t="s">
        <v>86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>
      <c r="A113" s="4">
        <v>112</v>
      </c>
      <c r="B113" s="4" t="s">
        <v>311</v>
      </c>
      <c r="C113" s="7" t="s">
        <v>21</v>
      </c>
      <c r="D113" s="5">
        <v>44965</v>
      </c>
      <c r="E113" s="3" t="s">
        <v>84</v>
      </c>
      <c r="F113" s="4" t="s">
        <v>312</v>
      </c>
      <c r="G113" s="4" t="s">
        <v>310</v>
      </c>
      <c r="H113" s="4">
        <v>41.741</v>
      </c>
      <c r="I113" s="4">
        <v>5669</v>
      </c>
      <c r="J113" s="4" t="s">
        <v>86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>
      <c r="A114" s="4">
        <v>113</v>
      </c>
      <c r="B114" s="4" t="s">
        <v>311</v>
      </c>
      <c r="C114" s="7" t="s">
        <v>21</v>
      </c>
      <c r="D114" s="5">
        <v>44965</v>
      </c>
      <c r="E114" s="3" t="s">
        <v>84</v>
      </c>
      <c r="F114" s="4" t="s">
        <v>313</v>
      </c>
      <c r="G114" s="4" t="s">
        <v>310</v>
      </c>
      <c r="H114" s="4">
        <v>18.257000000000001</v>
      </c>
      <c r="I114" s="4">
        <v>2066</v>
      </c>
      <c r="J114" s="4" t="s">
        <v>86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>
      <c r="A115" s="4">
        <v>114</v>
      </c>
      <c r="B115" s="4" t="s">
        <v>314</v>
      </c>
      <c r="C115" s="7" t="s">
        <v>21</v>
      </c>
      <c r="D115" s="5">
        <v>44965</v>
      </c>
      <c r="E115" s="3" t="s">
        <v>84</v>
      </c>
      <c r="F115" s="4" t="s">
        <v>315</v>
      </c>
      <c r="G115" s="4" t="s">
        <v>310</v>
      </c>
      <c r="H115" s="4">
        <v>54.564</v>
      </c>
      <c r="I115" s="4">
        <v>4356</v>
      </c>
      <c r="J115" s="4" t="s">
        <v>86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>
      <c r="A116" s="4">
        <v>115</v>
      </c>
      <c r="B116" s="4" t="s">
        <v>314</v>
      </c>
      <c r="C116" s="7" t="s">
        <v>21</v>
      </c>
      <c r="D116" s="5">
        <v>44965</v>
      </c>
      <c r="E116" s="3" t="s">
        <v>84</v>
      </c>
      <c r="F116" s="4" t="s">
        <v>316</v>
      </c>
      <c r="G116" s="4" t="s">
        <v>310</v>
      </c>
      <c r="H116" s="4">
        <v>5.3719999999999999</v>
      </c>
      <c r="I116" s="4">
        <v>988</v>
      </c>
      <c r="J116" s="4" t="s">
        <v>86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>
      <c r="A1" s="58">
        <v>489</v>
      </c>
      <c r="B1" s="58"/>
      <c r="C1" s="58"/>
      <c r="D1" s="59" t="s">
        <v>110</v>
      </c>
      <c r="E1" s="59"/>
      <c r="F1" s="59"/>
      <c r="G1" s="59"/>
      <c r="H1" s="59"/>
      <c r="I1" s="58" t="s">
        <v>111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5" t="s">
        <v>56</v>
      </c>
    </row>
    <row r="3" spans="1:27" ht="187.2">
      <c r="A3" s="28" t="s">
        <v>1</v>
      </c>
      <c r="B3" s="28" t="s">
        <v>112</v>
      </c>
      <c r="C3" s="28" t="s">
        <v>2</v>
      </c>
      <c r="D3" s="28" t="s">
        <v>113</v>
      </c>
      <c r="E3" s="28" t="s">
        <v>114</v>
      </c>
      <c r="F3" s="28" t="s">
        <v>3</v>
      </c>
      <c r="G3" s="28" t="s">
        <v>115</v>
      </c>
      <c r="H3" s="28" t="s">
        <v>62</v>
      </c>
      <c r="I3" s="28" t="s">
        <v>116</v>
      </c>
      <c r="J3" s="28" t="s">
        <v>117</v>
      </c>
      <c r="K3" s="28" t="s">
        <v>66</v>
      </c>
      <c r="L3" s="28" t="s">
        <v>118</v>
      </c>
      <c r="M3" s="28" t="s">
        <v>119</v>
      </c>
      <c r="N3" s="28" t="s">
        <v>120</v>
      </c>
      <c r="O3" s="28" t="s">
        <v>121</v>
      </c>
      <c r="P3" s="28" t="s">
        <v>122</v>
      </c>
      <c r="Q3" s="28" t="s">
        <v>123</v>
      </c>
      <c r="R3" s="28" t="s">
        <v>124</v>
      </c>
      <c r="S3" s="28" t="s">
        <v>125</v>
      </c>
      <c r="T3" s="28" t="s">
        <v>126</v>
      </c>
      <c r="U3" s="28" t="s">
        <v>127</v>
      </c>
      <c r="V3" s="28" t="s">
        <v>128</v>
      </c>
      <c r="W3" s="28" t="s">
        <v>129</v>
      </c>
      <c r="X3" s="28" t="s">
        <v>130</v>
      </c>
      <c r="Y3" s="28" t="s">
        <v>131</v>
      </c>
      <c r="Z3" s="28" t="s">
        <v>132</v>
      </c>
      <c r="AA3" s="28" t="s">
        <v>133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6"/>
      <c r="T4" s="2"/>
      <c r="U4" s="2"/>
      <c r="V4" s="36">
        <f>SUM(V5:V119)</f>
        <v>94425292.785370216</v>
      </c>
      <c r="W4" s="36">
        <f>SUM(W5:W119)</f>
        <v>74307.319999999978</v>
      </c>
      <c r="X4" s="2"/>
      <c r="Y4" s="2"/>
      <c r="Z4" s="36">
        <f>SUM(Z5:Z119)</f>
        <v>844882402.20520043</v>
      </c>
      <c r="AA4" s="44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7" cm="1">
        <f t="array" ref="E5">_xlfn.XLOOKUP($A5,ACT[[№]:[№]],ACT[Date of Dispatch/ 
Дата отгрузки],"",0,1)</f>
        <v>44965</v>
      </c>
      <c r="F5" s="38" t="str" cm="1">
        <f t="array" ref="F5">_xlfn.XLOOKUP($A5,ACT[[№]:[№]],ACT[Supplier/ Поставщик],"",0,1)</f>
        <v>Hanyang Precision</v>
      </c>
      <c r="G5" s="38" t="str" cm="1">
        <f t="array" ref="G5">_xlfn.XLOOKUP($A5,ACT[[№]:[№]],ACT[Supplier Invoice No/                          № Инвойса Поставщика],"",0,1)</f>
        <v>HY230109U(1)</v>
      </c>
      <c r="H5" s="39" cm="1">
        <f t="array" ref="H5">_xlfn.XLOOKUP($A5,ACT[[№]:[№]],ACT[CBM],"",0,1)</f>
        <v>7.48</v>
      </c>
      <c r="I5" s="39" cm="1">
        <f t="array" ref="I5">_xlfn.XLOOKUP($A5,ACT[[№]:[№]],ACT[Gross weight, kg/ Вес брутто, кг],"",0,1)</f>
        <v>5776.38</v>
      </c>
      <c r="J5" s="39" t="str" cm="1">
        <f t="array" ref="J5">_xlfn.XLOOKUP($A5,ACT[[№]:[№]],ACT[Delivery terms / Условия поставки],"",0,1)</f>
        <v>FCA</v>
      </c>
      <c r="K5" s="39" cm="1">
        <f t="array" ref="K5">_xlfn.XLOOKUP($A5,ACT[[№]:[№]],ACT[Container total CBM],"",0,1)</f>
        <v>66.114000000000004</v>
      </c>
      <c r="L5" s="40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40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40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40" cm="1">
        <f t="array" ref="O5">_xlfn.XLOOKUP($A5,ACT[[№]:[№]],ACT[Documents Work/ Сбор за подготовку документов
KRW],"",0,1)</f>
        <v>5656.8956650633754</v>
      </c>
      <c r="P5" s="40" cm="1">
        <f t="array" ref="P5">_xlfn.XLOOKUP($A5,ACT[[№]:[№]],ACT[THC/ Терминальная обработка
KRW],"",0,1)</f>
        <v>20975.769126054995</v>
      </c>
      <c r="Q5" s="40" cm="1">
        <f t="array" ref="Q5">_xlfn.XLOOKUP($A5,ACT[[№]:[№]],ACT[Wharfage/ Портовая пошлина
KRW],"",0,1)</f>
        <v>1029.5550110415345</v>
      </c>
      <c r="R5" s="40" cm="1">
        <f t="array" ref="R5">_xlfn.XLOOKUP($A5,ACT[[№]:[№]],ACT[TRUCKING CHARGE],"",0,1)</f>
        <v>0</v>
      </c>
      <c r="S5" s="40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40" cm="1">
        <f t="array" ref="T5">_xlfn.XLOOKUP($A5,ACT[[№]:[№]],ACT[Special Wooden Shoring / Специальное деревянное крепление],"",0,1)</f>
        <v>0</v>
      </c>
      <c r="U5" s="40"/>
      <c r="V5" s="40" cm="1">
        <f t="array" ref="V5">_xlfn.XLOOKUP($A5,ACT[[№]:[№]],ACT[Total amount/ Общая стоимость KRW (10+11+12+13+14+15+16)],"",0,1)</f>
        <v>843328.7320809511</v>
      </c>
      <c r="W5" s="40" cm="1">
        <f t="array" ref="W5">_xlfn.XLOOKUP($A5,ACT[[№]:[№]],ACT[Total amount/ Общая стоимость (17*exchange rate/ обменный курс)
 USD],"",0,1)</f>
        <v>663.65</v>
      </c>
      <c r="X5" s="9" cm="1">
        <f t="array" ref="X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" s="12">
        <f>VLOOKUP(Шаблон_Формулы[[#This Row],[24]],Курс_840[[Дата]:[Курс]],2,0)</f>
        <v>11370.11</v>
      </c>
      <c r="Z5" s="42">
        <f>IFERROR(Шаблон_Формулы[[#This Row],[23]]*Шаблон_Формулы[[#This Row],[25]],"")</f>
        <v>7545773.5015000002</v>
      </c>
      <c r="AA5" s="13" t="str" cm="1">
        <f t="array" ref="AA5">ACT_number[№ исходящего акта]</f>
        <v>426 LCL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7" cm="1">
        <f t="array" ref="E6">_xlfn.XLOOKUP($A6,ACT[[№]:[№]],ACT[Date of Dispatch/ 
Дата отгрузки],"",0,1)</f>
        <v>44965</v>
      </c>
      <c r="F6" s="38" t="str" cm="1">
        <f t="array" ref="F6">_xlfn.XLOOKUP($A6,ACT[[№]:[№]],ACT[Supplier/ Поставщик],"",0,1)</f>
        <v>Hanyang Precision</v>
      </c>
      <c r="G6" s="38" t="str" cm="1">
        <f t="array" ref="G6">_xlfn.XLOOKUP($A6,ACT[[№]:[№]],ACT[Supplier Invoice No/                          № Инвойса Поставщика],"",0,1)</f>
        <v>HY230109U(2)</v>
      </c>
      <c r="H6" s="39" cm="1">
        <f t="array" ref="H6">_xlfn.XLOOKUP($A6,ACT[[№]:[№]],ACT[CBM],"",0,1)</f>
        <v>8.9760000000000009</v>
      </c>
      <c r="I6" s="39" cm="1">
        <f t="array" ref="I6">_xlfn.XLOOKUP($A6,ACT[[№]:[№]],ACT[Gross weight, kg/ Вес брутто, кг],"",0,1)</f>
        <v>3852</v>
      </c>
      <c r="J6" s="39" t="str" cm="1">
        <f t="array" ref="J6">_xlfn.XLOOKUP($A6,ACT[[№]:[№]],ACT[Delivery terms / Условия поставки],"",0,1)</f>
        <v>FCA</v>
      </c>
      <c r="K6" s="39" cm="1">
        <f t="array" ref="K6">_xlfn.XLOOKUP($A6,ACT[[№]:[№]],ACT[Container total CBM],"",0,1)</f>
        <v>66.114000000000004</v>
      </c>
      <c r="L6" s="40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40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40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40" cm="1">
        <f t="array" ref="O6">_xlfn.XLOOKUP($A6,ACT[[№]:[№]],ACT[Documents Work/ Сбор за подготовку документов
KRW],"",0,1)</f>
        <v>6788.2747980760505</v>
      </c>
      <c r="P6" s="40" cm="1">
        <f t="array" ref="P6">_xlfn.XLOOKUP($A6,ACT[[№]:[№]],ACT[THC/ Терминальная обработка
KRW],"",0,1)</f>
        <v>25170.922951265995</v>
      </c>
      <c r="Q6" s="40" cm="1">
        <f t="array" ref="Q6">_xlfn.XLOOKUP($A6,ACT[[№]:[№]],ACT[Wharfage/ Портовая пошлина
KRW],"",0,1)</f>
        <v>1235.4660132498414</v>
      </c>
      <c r="R6" s="40" cm="1">
        <f t="array" ref="R6">_xlfn.XLOOKUP($A6,ACT[[№]:[№]],ACT[TRUCKING CHARGE],"",0,1)</f>
        <v>0</v>
      </c>
      <c r="S6" s="40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40" cm="1">
        <f t="array" ref="T6">_xlfn.XLOOKUP($A6,ACT[[№]:[№]],ACT[Special Wooden Shoring / Специальное деревянное крепление],"",0,1)</f>
        <v>0</v>
      </c>
      <c r="U6" s="9"/>
      <c r="V6" s="40" cm="1">
        <f t="array" ref="V6">_xlfn.XLOOKUP($A6,ACT[[№]:[№]],ACT[Total amount/ Общая стоимость KRW (10+11+12+13+14+15+16)],"",0,1)</f>
        <v>806294.47849714139</v>
      </c>
      <c r="W6" s="40" cm="1">
        <f t="array" ref="W6">_xlfn.XLOOKUP($A6,ACT[[№]:[№]],ACT[Total amount/ Общая стоимость (17*exchange rate/ обменный курс)
 USD],"",0,1)</f>
        <v>634.51</v>
      </c>
      <c r="X6" s="9" cm="1">
        <f t="array" ref="X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" s="12">
        <f>VLOOKUP(Шаблон_Формулы[[#This Row],[24]],Курс_840[[Дата]:[Курс]],2,0)</f>
        <v>11370.11</v>
      </c>
      <c r="Z6" s="42">
        <f>IFERROR(Шаблон_Формулы[[#This Row],[23]]*Шаблон_Формулы[[#This Row],[25]],"")</f>
        <v>7214448.4961000001</v>
      </c>
      <c r="AA6" s="13" t="str" cm="1">
        <f t="array" ref="AA6">ACT_number[№ исходящего акта]</f>
        <v>426 LCL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7" cm="1">
        <f t="array" ref="E7">_xlfn.XLOOKUP($A7,ACT[[№]:[№]],ACT[Date of Dispatch/ 
Дата отгрузки],"",0,1)</f>
        <v>44965</v>
      </c>
      <c r="F7" s="38" t="str" cm="1">
        <f t="array" ref="F7">_xlfn.XLOOKUP($A7,ACT[[№]:[№]],ACT[Supplier/ Поставщик],"",0,1)</f>
        <v>Contitech Fluid</v>
      </c>
      <c r="G7" s="38" t="str" cm="1">
        <f t="array" ref="G7">_xlfn.XLOOKUP($A7,ACT[[№]:[№]],ACT[Supplier Invoice No/                          № Инвойса Поставщика],"",0,1)</f>
        <v>U230111A</v>
      </c>
      <c r="H7" s="39" cm="1">
        <f t="array" ref="H7">_xlfn.XLOOKUP($A7,ACT[[№]:[№]],ACT[CBM],"",0,1)</f>
        <v>49.658000000000001</v>
      </c>
      <c r="I7" s="39" cm="1">
        <f t="array" ref="I7">_xlfn.XLOOKUP($A7,ACT[[№]:[№]],ACT[Gross weight, kg/ Вес брутто, кг],"",0,1)</f>
        <v>1424.02</v>
      </c>
      <c r="J7" s="39" t="str" cm="1">
        <f t="array" ref="J7">_xlfn.XLOOKUP($A7,ACT[[№]:[№]],ACT[Delivery terms / Условия поставки],"",0,1)</f>
        <v>FCA</v>
      </c>
      <c r="K7" s="39" cm="1">
        <f t="array" ref="K7">_xlfn.XLOOKUP($A7,ACT[[№]:[№]],ACT[Container total CBM],"",0,1)</f>
        <v>66.114000000000004</v>
      </c>
      <c r="L7" s="40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40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40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40" cm="1">
        <f t="array" ref="O7">_xlfn.XLOOKUP($A7,ACT[[№]:[№]],ACT[Documents Work/ Сбор за подготовку документов
KRW],"",0,1)</f>
        <v>37554.829536860576</v>
      </c>
      <c r="P7" s="40" cm="1">
        <f t="array" ref="P7">_xlfn.XLOOKUP($A7,ACT[[№]:[№]],ACT[THC/ Терминальная обработка
KRW],"",0,1)</f>
        <v>139253.307922679</v>
      </c>
      <c r="Q7" s="40" cm="1">
        <f t="array" ref="Q7">_xlfn.XLOOKUP($A7,ACT[[№]:[№]],ACT[Wharfage/ Портовая пошлина
KRW],"",0,1)</f>
        <v>6834.9789757086246</v>
      </c>
      <c r="R7" s="40" cm="1">
        <f t="array" ref="R7">_xlfn.XLOOKUP($A7,ACT[[№]:[№]],ACT[TRUCKING CHARGE],"",0,1)</f>
        <v>0</v>
      </c>
      <c r="S7" s="40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40" cm="1">
        <f t="array" ref="T7">_xlfn.XLOOKUP($A7,ACT[[№]:[№]],ACT[Special Wooden Shoring / Специальное деревянное крепление],"",0,1)</f>
        <v>0</v>
      </c>
      <c r="U7" s="9"/>
      <c r="V7" s="40" cm="1">
        <f t="array" ref="V7">_xlfn.XLOOKUP($A7,ACT[[№]:[№]],ACT[Total amount/ Общая стоимость KRW (10+11+12+13+14+15+16)],"",0,1)</f>
        <v>2294484.6494219075</v>
      </c>
      <c r="W7" s="40" cm="1">
        <f t="array" ref="W7">_xlfn.XLOOKUP($A7,ACT[[№]:[№]],ACT[Total amount/ Общая стоимость (17*exchange rate/ обменный курс)
 USD],"",0,1)</f>
        <v>1805.63</v>
      </c>
      <c r="X7" s="9" cm="1">
        <f t="array" ref="X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" s="12">
        <f>VLOOKUP(Шаблон_Формулы[[#This Row],[24]],Курс_840[[Дата]:[Курс]],2,0)</f>
        <v>11370.11</v>
      </c>
      <c r="Z7" s="42">
        <f>IFERROR(Шаблон_Формулы[[#This Row],[23]]*Шаблон_Формулы[[#This Row],[25]],"")</f>
        <v>20530211.719300002</v>
      </c>
      <c r="AA7" s="13" t="str" cm="1">
        <f t="array" ref="AA7">ACT_number[№ исходящего акта]</f>
        <v>426 LCL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7" cm="1">
        <f t="array" ref="E8">_xlfn.XLOOKUP($A8,ACT[[№]:[№]],ACT[Date of Dispatch/ 
Дата отгрузки],"",0,1)</f>
        <v>44965</v>
      </c>
      <c r="F8" s="38" t="str" cm="1">
        <f t="array" ref="F8">_xlfn.XLOOKUP($A8,ACT[[№]:[№]],ACT[Supplier/ Поставщик],"",0,1)</f>
        <v>Hanyang Precision</v>
      </c>
      <c r="G8" s="38" t="str" cm="1">
        <f t="array" ref="G8">_xlfn.XLOOKUP($A8,ACT[[№]:[№]],ACT[Supplier Invoice No/                          № Инвойса Поставщика],"",0,1)</f>
        <v>HY230109U(3)</v>
      </c>
      <c r="H8" s="39" cm="1">
        <f t="array" ref="H8">_xlfn.XLOOKUP($A8,ACT[[№]:[№]],ACT[CBM],"",0,1)</f>
        <v>7.48</v>
      </c>
      <c r="I8" s="39" cm="1">
        <f t="array" ref="I8">_xlfn.XLOOKUP($A8,ACT[[№]:[№]],ACT[Gross weight, kg/ Вес брутто, кг],"",0,1)</f>
        <v>5776.38</v>
      </c>
      <c r="J8" s="39" t="str" cm="1">
        <f t="array" ref="J8">_xlfn.XLOOKUP($A8,ACT[[№]:[№]],ACT[Delivery terms / Условия поставки],"",0,1)</f>
        <v>FCA</v>
      </c>
      <c r="K8" s="39" cm="1">
        <f t="array" ref="K8">_xlfn.XLOOKUP($A8,ACT[[№]:[№]],ACT[Container total CBM],"",0,1)</f>
        <v>66.114000000000004</v>
      </c>
      <c r="L8" s="40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40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40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40" cm="1">
        <f t="array" ref="O8">_xlfn.XLOOKUP($A8,ACT[[№]:[№]],ACT[Documents Work/ Сбор за подготовку документов
KRW],"",0,1)</f>
        <v>5656.8956650633754</v>
      </c>
      <c r="P8" s="40" cm="1">
        <f t="array" ref="P8">_xlfn.XLOOKUP($A8,ACT[[№]:[№]],ACT[THC/ Терминальная обработка
KRW],"",0,1)</f>
        <v>20975.769126054995</v>
      </c>
      <c r="Q8" s="40" cm="1">
        <f t="array" ref="Q8">_xlfn.XLOOKUP($A8,ACT[[№]:[№]],ACT[Wharfage/ Портовая пошлина
KRW],"",0,1)</f>
        <v>1029.5550110415345</v>
      </c>
      <c r="R8" s="40" cm="1">
        <f t="array" ref="R8">_xlfn.XLOOKUP($A8,ACT[[№]:[№]],ACT[TRUCKING CHARGE],"",0,1)</f>
        <v>0</v>
      </c>
      <c r="S8" s="40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40" cm="1">
        <f t="array" ref="T8">_xlfn.XLOOKUP($A8,ACT[[№]:[№]],ACT[Special Wooden Shoring / Специальное деревянное крепление],"",0,1)</f>
        <v>0</v>
      </c>
      <c r="U8" s="9"/>
      <c r="V8" s="40" cm="1">
        <f t="array" ref="V8">_xlfn.XLOOKUP($A8,ACT[[№]:[№]],ACT[Total amount/ Общая стоимость KRW (10+11+12+13+14+15+16)],"",0,1)</f>
        <v>843328.7320809511</v>
      </c>
      <c r="W8" s="40" cm="1">
        <f t="array" ref="W8">_xlfn.XLOOKUP($A8,ACT[[№]:[№]],ACT[Total amount/ Общая стоимость (17*exchange rate/ обменный курс)
 USD],"",0,1)</f>
        <v>663.65</v>
      </c>
      <c r="X8" s="9" cm="1">
        <f t="array" ref="X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" s="12">
        <f>VLOOKUP(Шаблон_Формулы[[#This Row],[24]],Курс_840[[Дата]:[Курс]],2,0)</f>
        <v>11370.11</v>
      </c>
      <c r="Z8" s="42">
        <f>IFERROR(Шаблон_Формулы[[#This Row],[23]]*Шаблон_Формулы[[#This Row],[25]],"")</f>
        <v>7545773.5015000002</v>
      </c>
      <c r="AA8" s="13" t="str" cm="1">
        <f t="array" ref="AA8">ACT_number[№ исходящего акта]</f>
        <v>426 LCL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7" cm="1">
        <f t="array" ref="E9">_xlfn.XLOOKUP($A9,ACT[[№]:[№]],ACT[Date of Dispatch/ 
Дата отгрузки],"",0,1)</f>
        <v>44965</v>
      </c>
      <c r="F9" s="38" t="str" cm="1">
        <f t="array" ref="F9">_xlfn.XLOOKUP($A9,ACT[[№]:[№]],ACT[Supplier/ Поставщик],"",0,1)</f>
        <v>Hanyang Precision</v>
      </c>
      <c r="G9" s="38" t="str" cm="1">
        <f t="array" ref="G9">_xlfn.XLOOKUP($A9,ACT[[№]:[№]],ACT[Supplier Invoice No/                          № Инвойса Поставщика],"",0,1)</f>
        <v>HY230109U(4)</v>
      </c>
      <c r="H9" s="39" cm="1">
        <f t="array" ref="H9">_xlfn.XLOOKUP($A9,ACT[[№]:[№]],ACT[CBM],"",0,1)</f>
        <v>8.9760000000000009</v>
      </c>
      <c r="I9" s="39" cm="1">
        <f t="array" ref="I9">_xlfn.XLOOKUP($A9,ACT[[№]:[№]],ACT[Gross weight, kg/ Вес брутто, кг],"",0,1)</f>
        <v>3852</v>
      </c>
      <c r="J9" s="39" t="str" cm="1">
        <f t="array" ref="J9">_xlfn.XLOOKUP($A9,ACT[[№]:[№]],ACT[Delivery terms / Условия поставки],"",0,1)</f>
        <v>FCA</v>
      </c>
      <c r="K9" s="39" cm="1">
        <f t="array" ref="K9">_xlfn.XLOOKUP($A9,ACT[[№]:[№]],ACT[Container total CBM],"",0,1)</f>
        <v>66.114000000000004</v>
      </c>
      <c r="L9" s="40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40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40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40" cm="1">
        <f t="array" ref="O9">_xlfn.XLOOKUP($A9,ACT[[№]:[№]],ACT[Documents Work/ Сбор за подготовку документов
KRW],"",0,1)</f>
        <v>6788.2747980760505</v>
      </c>
      <c r="P9" s="40" cm="1">
        <f t="array" ref="P9">_xlfn.XLOOKUP($A9,ACT[[№]:[№]],ACT[THC/ Терминальная обработка
KRW],"",0,1)</f>
        <v>25170.922951265995</v>
      </c>
      <c r="Q9" s="40" cm="1">
        <f t="array" ref="Q9">_xlfn.XLOOKUP($A9,ACT[[№]:[№]],ACT[Wharfage/ Портовая пошлина
KRW],"",0,1)</f>
        <v>1235.4660132498414</v>
      </c>
      <c r="R9" s="40" cm="1">
        <f t="array" ref="R9">_xlfn.XLOOKUP($A9,ACT[[№]:[№]],ACT[TRUCKING CHARGE],"",0,1)</f>
        <v>0</v>
      </c>
      <c r="S9" s="40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40" cm="1">
        <f t="array" ref="T9">_xlfn.XLOOKUP($A9,ACT[[№]:[№]],ACT[Special Wooden Shoring / Специальное деревянное крепление],"",0,1)</f>
        <v>0</v>
      </c>
      <c r="U9" s="9"/>
      <c r="V9" s="40" cm="1">
        <f t="array" ref="V9">_xlfn.XLOOKUP($A9,ACT[[№]:[№]],ACT[Total amount/ Общая стоимость KRW (10+11+12+13+14+15+16)],"",0,1)</f>
        <v>806294.47849714139</v>
      </c>
      <c r="W9" s="40" cm="1">
        <f t="array" ref="W9">_xlfn.XLOOKUP($A9,ACT[[№]:[№]],ACT[Total amount/ Общая стоимость (17*exchange rate/ обменный курс)
 USD],"",0,1)</f>
        <v>634.51</v>
      </c>
      <c r="X9" s="9" cm="1">
        <f t="array" ref="X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" s="12">
        <f>VLOOKUP(Шаблон_Формулы[[#This Row],[24]],Курс_840[[Дата]:[Курс]],2,0)</f>
        <v>11370.11</v>
      </c>
      <c r="Z9" s="42">
        <f>IFERROR(Шаблон_Формулы[[#This Row],[23]]*Шаблон_Формулы[[#This Row],[25]],"")</f>
        <v>7214448.4961000001</v>
      </c>
      <c r="AA9" s="13" t="str" cm="1">
        <f t="array" ref="AA9">ACT_number[№ исходящего акта]</f>
        <v>426 LCL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7" cm="1">
        <f t="array" ref="E10">_xlfn.XLOOKUP($A10,ACT[[№]:[№]],ACT[Date of Dispatch/ 
Дата отгрузки],"",0,1)</f>
        <v>44965</v>
      </c>
      <c r="F10" s="38" t="str" cm="1">
        <f t="array" ref="F10">_xlfn.XLOOKUP($A10,ACT[[№]:[№]],ACT[Supplier/ Поставщик],"",0,1)</f>
        <v>Contitech Fluid</v>
      </c>
      <c r="G10" s="38" t="str" cm="1">
        <f t="array" ref="G10">_xlfn.XLOOKUP($A10,ACT[[№]:[№]],ACT[Supplier Invoice No/                          № Инвойса Поставщика],"",0,1)</f>
        <v>U230111B</v>
      </c>
      <c r="H10" s="39" cm="1">
        <f t="array" ref="H10">_xlfn.XLOOKUP($A10,ACT[[№]:[№]],ACT[CBM],"",0,1)</f>
        <v>49.658000000000001</v>
      </c>
      <c r="I10" s="39" cm="1">
        <f t="array" ref="I10">_xlfn.XLOOKUP($A10,ACT[[№]:[№]],ACT[Gross weight, kg/ Вес брутто, кг],"",0,1)</f>
        <v>3027.02</v>
      </c>
      <c r="J10" s="39" t="str" cm="1">
        <f t="array" ref="J10">_xlfn.XLOOKUP($A10,ACT[[№]:[№]],ACT[Delivery terms / Условия поставки],"",0,1)</f>
        <v>FCA</v>
      </c>
      <c r="K10" s="39" cm="1">
        <f t="array" ref="K10">_xlfn.XLOOKUP($A10,ACT[[№]:[№]],ACT[Container total CBM],"",0,1)</f>
        <v>66.114000000000004</v>
      </c>
      <c r="L10" s="40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40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40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40" cm="1">
        <f t="array" ref="O10">_xlfn.XLOOKUP($A10,ACT[[№]:[№]],ACT[Documents Work/ Сбор за подготовку документов
KRW],"",0,1)</f>
        <v>37554.829536860576</v>
      </c>
      <c r="P10" s="40" cm="1">
        <f t="array" ref="P10">_xlfn.XLOOKUP($A10,ACT[[№]:[№]],ACT[THC/ Терминальная обработка
KRW],"",0,1)</f>
        <v>139253.307922679</v>
      </c>
      <c r="Q10" s="40" cm="1">
        <f t="array" ref="Q10">_xlfn.XLOOKUP($A10,ACT[[№]:[№]],ACT[Wharfage/ Портовая пошлина
KRW],"",0,1)</f>
        <v>6834.9789757086246</v>
      </c>
      <c r="R10" s="40" cm="1">
        <f t="array" ref="R10">_xlfn.XLOOKUP($A10,ACT[[№]:[№]],ACT[TRUCKING CHARGE],"",0,1)</f>
        <v>0</v>
      </c>
      <c r="S10" s="40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40" cm="1">
        <f t="array" ref="T10">_xlfn.XLOOKUP($A10,ACT[[№]:[№]],ACT[Special Wooden Shoring / Специальное деревянное крепление],"",0,1)</f>
        <v>0</v>
      </c>
      <c r="U10" s="9"/>
      <c r="V10" s="40" cm="1">
        <f t="array" ref="V10">_xlfn.XLOOKUP($A10,ACT[[№]:[№]],ACT[Total amount/ Общая стоимость KRW (10+11+12+13+14+15+16)],"",0,1)</f>
        <v>2294484.6494219075</v>
      </c>
      <c r="W10" s="40" cm="1">
        <f t="array" ref="W10">_xlfn.XLOOKUP($A10,ACT[[№]:[№]],ACT[Total amount/ Общая стоимость (17*exchange rate/ обменный курс)
 USD],"",0,1)</f>
        <v>1805.63</v>
      </c>
      <c r="X10" s="9" cm="1">
        <f t="array" ref="X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" s="12">
        <f>VLOOKUP(Шаблон_Формулы[[#This Row],[24]],Курс_840[[Дата]:[Курс]],2,0)</f>
        <v>11370.11</v>
      </c>
      <c r="Z10" s="42">
        <f>IFERROR(Шаблон_Формулы[[#This Row],[23]]*Шаблон_Формулы[[#This Row],[25]],"")</f>
        <v>20530211.719300002</v>
      </c>
      <c r="AA10" s="13" t="str" cm="1">
        <f t="array" ref="AA10">ACT_number[№ исходящего акта]</f>
        <v>426 LCL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7" cm="1">
        <f t="array" ref="E11">_xlfn.XLOOKUP($A11,ACT[[№]:[№]],ACT[Date of Dispatch/ 
Дата отгрузки],"",0,1)</f>
        <v>44965</v>
      </c>
      <c r="F11" s="38" t="str" cm="1">
        <f t="array" ref="F11">_xlfn.XLOOKUP($A11,ACT[[№]:[№]],ACT[Supplier/ Поставщик],"",0,1)</f>
        <v>Hanyang Precision</v>
      </c>
      <c r="G11" s="38" t="str" cm="1">
        <f t="array" ref="G11">_xlfn.XLOOKUP($A11,ACT[[№]:[№]],ACT[Supplier Invoice No/                          № Инвойса Поставщика],"",0,1)</f>
        <v>HY230109U(5)</v>
      </c>
      <c r="H11" s="39" cm="1">
        <f t="array" ref="H11">_xlfn.XLOOKUP($A11,ACT[[№]:[№]],ACT[CBM],"",0,1)</f>
        <v>7.48</v>
      </c>
      <c r="I11" s="39" cm="1">
        <f t="array" ref="I11">_xlfn.XLOOKUP($A11,ACT[[№]:[№]],ACT[Gross weight, kg/ Вес брутто, кг],"",0,1)</f>
        <v>5776.26</v>
      </c>
      <c r="J11" s="39" t="str" cm="1">
        <f t="array" ref="J11">_xlfn.XLOOKUP($A11,ACT[[№]:[№]],ACT[Delivery terms / Условия поставки],"",0,1)</f>
        <v>FCA</v>
      </c>
      <c r="K11" s="39" cm="1">
        <f t="array" ref="K11">_xlfn.XLOOKUP($A11,ACT[[№]:[№]],ACT[Container total CBM],"",0,1)</f>
        <v>66.114000000000004</v>
      </c>
      <c r="L11" s="40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40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40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40" cm="1">
        <f t="array" ref="O11">_xlfn.XLOOKUP($A11,ACT[[№]:[№]],ACT[Documents Work/ Сбор за подготовку документов
KRW],"",0,1)</f>
        <v>5656.8956650633754</v>
      </c>
      <c r="P11" s="40" cm="1">
        <f t="array" ref="P11">_xlfn.XLOOKUP($A11,ACT[[№]:[№]],ACT[THC/ Терминальная обработка
KRW],"",0,1)</f>
        <v>20975.769126054995</v>
      </c>
      <c r="Q11" s="40" cm="1">
        <f t="array" ref="Q11">_xlfn.XLOOKUP($A11,ACT[[№]:[№]],ACT[Wharfage/ Портовая пошлина
KRW],"",0,1)</f>
        <v>1029.5550110415345</v>
      </c>
      <c r="R11" s="40" cm="1">
        <f t="array" ref="R11">_xlfn.XLOOKUP($A11,ACT[[№]:[№]],ACT[TRUCKING CHARGE],"",0,1)</f>
        <v>0</v>
      </c>
      <c r="S11" s="40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40" cm="1">
        <f t="array" ref="T11">_xlfn.XLOOKUP($A11,ACT[[№]:[№]],ACT[Special Wooden Shoring / Специальное деревянное крепление],"",0,1)</f>
        <v>0</v>
      </c>
      <c r="U11" s="9"/>
      <c r="V11" s="40" cm="1">
        <f t="array" ref="V11">_xlfn.XLOOKUP($A11,ACT[[№]:[№]],ACT[Total amount/ Общая стоимость KRW (10+11+12+13+14+15+16)],"",0,1)</f>
        <v>843328.7320809511</v>
      </c>
      <c r="W11" s="40" cm="1">
        <f t="array" ref="W11">_xlfn.XLOOKUP($A11,ACT[[№]:[№]],ACT[Total amount/ Общая стоимость (17*exchange rate/ обменный курс)
 USD],"",0,1)</f>
        <v>663.65</v>
      </c>
      <c r="X11" s="9" cm="1">
        <f t="array" ref="X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" s="12">
        <f>VLOOKUP(Шаблон_Формулы[[#This Row],[24]],Курс_840[[Дата]:[Курс]],2,0)</f>
        <v>11370.11</v>
      </c>
      <c r="Z11" s="42">
        <f>IFERROR(Шаблон_Формулы[[#This Row],[23]]*Шаблон_Формулы[[#This Row],[25]],"")</f>
        <v>7545773.5015000002</v>
      </c>
      <c r="AA11" s="13" t="str" cm="1">
        <f t="array" ref="AA11">ACT_number[№ исходящего акта]</f>
        <v>426 LCL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7" cm="1">
        <f t="array" ref="E12">_xlfn.XLOOKUP($A12,ACT[[№]:[№]],ACT[Date of Dispatch/ 
Дата отгрузки],"",0,1)</f>
        <v>44965</v>
      </c>
      <c r="F12" s="38" t="str" cm="1">
        <f t="array" ref="F12">_xlfn.XLOOKUP($A12,ACT[[№]:[№]],ACT[Supplier/ Поставщик],"",0,1)</f>
        <v>Hanyang Precision</v>
      </c>
      <c r="G12" s="38" t="str" cm="1">
        <f t="array" ref="G12">_xlfn.XLOOKUP($A12,ACT[[№]:[№]],ACT[Supplier Invoice No/                          № Инвойса Поставщика],"",0,1)</f>
        <v>HY230109U(6)</v>
      </c>
      <c r="H12" s="39" cm="1">
        <f t="array" ref="H12">_xlfn.XLOOKUP($A12,ACT[[№]:[№]],ACT[CBM],"",0,1)</f>
        <v>8.9760000000000009</v>
      </c>
      <c r="I12" s="39" cm="1">
        <f t="array" ref="I12">_xlfn.XLOOKUP($A12,ACT[[№]:[№]],ACT[Gross weight, kg/ Вес брутто, кг],"",0,1)</f>
        <v>3852</v>
      </c>
      <c r="J12" s="39" t="str" cm="1">
        <f t="array" ref="J12">_xlfn.XLOOKUP($A12,ACT[[№]:[№]],ACT[Delivery terms / Условия поставки],"",0,1)</f>
        <v>FCA</v>
      </c>
      <c r="K12" s="39" cm="1">
        <f t="array" ref="K12">_xlfn.XLOOKUP($A12,ACT[[№]:[№]],ACT[Container total CBM],"",0,1)</f>
        <v>66.114000000000004</v>
      </c>
      <c r="L12" s="40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40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40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40" cm="1">
        <f t="array" ref="O12">_xlfn.XLOOKUP($A12,ACT[[№]:[№]],ACT[Documents Work/ Сбор за подготовку документов
KRW],"",0,1)</f>
        <v>6788.2747980760505</v>
      </c>
      <c r="P12" s="40" cm="1">
        <f t="array" ref="P12">_xlfn.XLOOKUP($A12,ACT[[№]:[№]],ACT[THC/ Терминальная обработка
KRW],"",0,1)</f>
        <v>25170.922951265995</v>
      </c>
      <c r="Q12" s="40" cm="1">
        <f t="array" ref="Q12">_xlfn.XLOOKUP($A12,ACT[[№]:[№]],ACT[Wharfage/ Портовая пошлина
KRW],"",0,1)</f>
        <v>1235.4660132498414</v>
      </c>
      <c r="R12" s="40" cm="1">
        <f t="array" ref="R12">_xlfn.XLOOKUP($A12,ACT[[№]:[№]],ACT[TRUCKING CHARGE],"",0,1)</f>
        <v>0</v>
      </c>
      <c r="S12" s="40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40" cm="1">
        <f t="array" ref="T12">_xlfn.XLOOKUP($A12,ACT[[№]:[№]],ACT[Special Wooden Shoring / Специальное деревянное крепление],"",0,1)</f>
        <v>0</v>
      </c>
      <c r="U12" s="9"/>
      <c r="V12" s="40" cm="1">
        <f t="array" ref="V12">_xlfn.XLOOKUP($A12,ACT[[№]:[№]],ACT[Total amount/ Общая стоимость KRW (10+11+12+13+14+15+16)],"",0,1)</f>
        <v>806294.47849714139</v>
      </c>
      <c r="W12" s="40" cm="1">
        <f t="array" ref="W12">_xlfn.XLOOKUP($A12,ACT[[№]:[№]],ACT[Total amount/ Общая стоимость (17*exchange rate/ обменный курс)
 USD],"",0,1)</f>
        <v>634.51</v>
      </c>
      <c r="X12" s="9" cm="1">
        <f t="array" ref="X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" s="12">
        <f>VLOOKUP(Шаблон_Формулы[[#This Row],[24]],Курс_840[[Дата]:[Курс]],2,0)</f>
        <v>11370.11</v>
      </c>
      <c r="Z12" s="42">
        <f>IFERROR(Шаблон_Формулы[[#This Row],[23]]*Шаблон_Формулы[[#This Row],[25]],"")</f>
        <v>7214448.4961000001</v>
      </c>
      <c r="AA12" s="13" t="str" cm="1">
        <f t="array" ref="AA12">ACT_number[№ исходящего акта]</f>
        <v>426 LCL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7" cm="1">
        <f t="array" ref="E13">_xlfn.XLOOKUP($A13,ACT[[№]:[№]],ACT[Date of Dispatch/ 
Дата отгрузки],"",0,1)</f>
        <v>44965</v>
      </c>
      <c r="F13" s="38" t="str" cm="1">
        <f t="array" ref="F13">_xlfn.XLOOKUP($A13,ACT[[№]:[№]],ACT[Supplier/ Поставщик],"",0,1)</f>
        <v>Contitech Fluid</v>
      </c>
      <c r="G13" s="38" t="str" cm="1">
        <f t="array" ref="G13">_xlfn.XLOOKUP($A13,ACT[[№]:[№]],ACT[Supplier Invoice No/                          № Инвойса Поставщика],"",0,1)</f>
        <v>U230111C</v>
      </c>
      <c r="H13" s="39" cm="1">
        <f t="array" ref="H13">_xlfn.XLOOKUP($A13,ACT[[№]:[№]],ACT[CBM],"",0,1)</f>
        <v>49.658000000000001</v>
      </c>
      <c r="I13" s="39" cm="1">
        <f t="array" ref="I13">_xlfn.XLOOKUP($A13,ACT[[№]:[№]],ACT[Gross weight, kg/ Вес брутто, кг],"",0,1)</f>
        <v>2898.72</v>
      </c>
      <c r="J13" s="39" t="str" cm="1">
        <f t="array" ref="J13">_xlfn.XLOOKUP($A13,ACT[[№]:[№]],ACT[Delivery terms / Условия поставки],"",0,1)</f>
        <v>FCA</v>
      </c>
      <c r="K13" s="39" cm="1">
        <f t="array" ref="K13">_xlfn.XLOOKUP($A13,ACT[[№]:[№]],ACT[Container total CBM],"",0,1)</f>
        <v>66.114000000000004</v>
      </c>
      <c r="L13" s="40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40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40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40" cm="1">
        <f t="array" ref="O13">_xlfn.XLOOKUP($A13,ACT[[№]:[№]],ACT[Documents Work/ Сбор за подготовку документов
KRW],"",0,1)</f>
        <v>37554.829536860576</v>
      </c>
      <c r="P13" s="40" cm="1">
        <f t="array" ref="P13">_xlfn.XLOOKUP($A13,ACT[[№]:[№]],ACT[THC/ Терминальная обработка
KRW],"",0,1)</f>
        <v>139253.307922679</v>
      </c>
      <c r="Q13" s="40" cm="1">
        <f t="array" ref="Q13">_xlfn.XLOOKUP($A13,ACT[[№]:[№]],ACT[Wharfage/ Портовая пошлина
KRW],"",0,1)</f>
        <v>6834.9789757086246</v>
      </c>
      <c r="R13" s="40" cm="1">
        <f t="array" ref="R13">_xlfn.XLOOKUP($A13,ACT[[№]:[№]],ACT[TRUCKING CHARGE],"",0,1)</f>
        <v>0</v>
      </c>
      <c r="S13" s="40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40" cm="1">
        <f t="array" ref="T13">_xlfn.XLOOKUP($A13,ACT[[№]:[№]],ACT[Special Wooden Shoring / Специальное деревянное крепление],"",0,1)</f>
        <v>0</v>
      </c>
      <c r="U13" s="9"/>
      <c r="V13" s="40" cm="1">
        <f t="array" ref="V13">_xlfn.XLOOKUP($A13,ACT[[№]:[№]],ACT[Total amount/ Общая стоимость KRW (10+11+12+13+14+15+16)],"",0,1)</f>
        <v>2294484.6494219075</v>
      </c>
      <c r="W13" s="40" cm="1">
        <f t="array" ref="W13">_xlfn.XLOOKUP($A13,ACT[[№]:[№]],ACT[Total amount/ Общая стоимость (17*exchange rate/ обменный курс)
 USD],"",0,1)</f>
        <v>1805.63</v>
      </c>
      <c r="X13" s="9" cm="1">
        <f t="array" ref="X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" s="12">
        <f>VLOOKUP(Шаблон_Формулы[[#This Row],[24]],Курс_840[[Дата]:[Курс]],2,0)</f>
        <v>11370.11</v>
      </c>
      <c r="Z13" s="42">
        <f>IFERROR(Шаблон_Формулы[[#This Row],[23]]*Шаблон_Формулы[[#This Row],[25]],"")</f>
        <v>20530211.719300002</v>
      </c>
      <c r="AA13" s="13" t="str" cm="1">
        <f t="array" ref="AA13">ACT_number[№ исходящего акта]</f>
        <v>426 LCL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7" cm="1">
        <f t="array" ref="E14">_xlfn.XLOOKUP($A14,ACT[[№]:[№]],ACT[Date of Dispatch/ 
Дата отгрузки],"",0,1)</f>
        <v>44965</v>
      </c>
      <c r="F14" s="38" t="str" cm="1">
        <f t="array" ref="F14">_xlfn.XLOOKUP($A14,ACT[[№]:[№]],ACT[Supplier/ Поставщик],"",0,1)</f>
        <v>Hanyang Precision</v>
      </c>
      <c r="G14" s="38" t="str" cm="1">
        <f t="array" ref="G14">_xlfn.XLOOKUP($A14,ACT[[№]:[№]],ACT[Supplier Invoice No/                          № Инвойса Поставщика],"",0,1)</f>
        <v>HY230109U(7)</v>
      </c>
      <c r="H14" s="39" cm="1">
        <f t="array" ref="H14">_xlfn.XLOOKUP($A14,ACT[[№]:[№]],ACT[CBM],"",0,1)</f>
        <v>7.48</v>
      </c>
      <c r="I14" s="39" cm="1">
        <f t="array" ref="I14">_xlfn.XLOOKUP($A14,ACT[[№]:[№]],ACT[Gross weight, kg/ Вес брутто, кг],"",0,1)</f>
        <v>5776</v>
      </c>
      <c r="J14" s="39" t="str" cm="1">
        <f t="array" ref="J14">_xlfn.XLOOKUP($A14,ACT[[№]:[№]],ACT[Delivery terms / Условия поставки],"",0,1)</f>
        <v>FCA</v>
      </c>
      <c r="K14" s="39" cm="1">
        <f t="array" ref="K14">_xlfn.XLOOKUP($A14,ACT[[№]:[№]],ACT[Container total CBM],"",0,1)</f>
        <v>66.114000000000004</v>
      </c>
      <c r="L14" s="40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40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40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40" cm="1">
        <f t="array" ref="O14">_xlfn.XLOOKUP($A14,ACT[[№]:[№]],ACT[Documents Work/ Сбор за подготовку документов
KRW],"",0,1)</f>
        <v>5656.8956650633754</v>
      </c>
      <c r="P14" s="40" cm="1">
        <f t="array" ref="P14">_xlfn.XLOOKUP($A14,ACT[[№]:[№]],ACT[THC/ Терминальная обработка
KRW],"",0,1)</f>
        <v>20975.769126054995</v>
      </c>
      <c r="Q14" s="40" cm="1">
        <f t="array" ref="Q14">_xlfn.XLOOKUP($A14,ACT[[№]:[№]],ACT[Wharfage/ Портовая пошлина
KRW],"",0,1)</f>
        <v>1029.5550110415345</v>
      </c>
      <c r="R14" s="40" cm="1">
        <f t="array" ref="R14">_xlfn.XLOOKUP($A14,ACT[[№]:[№]],ACT[TRUCKING CHARGE],"",0,1)</f>
        <v>0</v>
      </c>
      <c r="S14" s="40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40" cm="1">
        <f t="array" ref="T14">_xlfn.XLOOKUP($A14,ACT[[№]:[№]],ACT[Special Wooden Shoring / Специальное деревянное крепление],"",0,1)</f>
        <v>0</v>
      </c>
      <c r="U14" s="9"/>
      <c r="V14" s="40" cm="1">
        <f t="array" ref="V14">_xlfn.XLOOKUP($A14,ACT[[№]:[№]],ACT[Total amount/ Общая стоимость KRW (10+11+12+13+14+15+16)],"",0,1)</f>
        <v>843328.7320809511</v>
      </c>
      <c r="W14" s="40" cm="1">
        <f t="array" ref="W14">_xlfn.XLOOKUP($A14,ACT[[№]:[№]],ACT[Total amount/ Общая стоимость (17*exchange rate/ обменный курс)
 USD],"",0,1)</f>
        <v>663.65</v>
      </c>
      <c r="X14" s="9" cm="1">
        <f t="array" ref="X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" s="12">
        <f>VLOOKUP(Шаблон_Формулы[[#This Row],[24]],Курс_840[[Дата]:[Курс]],2,0)</f>
        <v>11370.11</v>
      </c>
      <c r="Z14" s="42">
        <f>IFERROR(Шаблон_Формулы[[#This Row],[23]]*Шаблон_Формулы[[#This Row],[25]],"")</f>
        <v>7545773.5015000002</v>
      </c>
      <c r="AA14" s="13" t="str" cm="1">
        <f t="array" ref="AA14">ACT_number[№ исходящего акта]</f>
        <v>426 LCL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7" cm="1">
        <f t="array" ref="E15">_xlfn.XLOOKUP($A15,ACT[[№]:[№]],ACT[Date of Dispatch/ 
Дата отгрузки],"",0,1)</f>
        <v>44965</v>
      </c>
      <c r="F15" s="38" t="str" cm="1">
        <f t="array" ref="F15">_xlfn.XLOOKUP($A15,ACT[[№]:[№]],ACT[Supplier/ Поставщик],"",0,1)</f>
        <v>Hanyang Precision</v>
      </c>
      <c r="G15" s="38" t="str" cm="1">
        <f t="array" ref="G15">_xlfn.XLOOKUP($A15,ACT[[№]:[№]],ACT[Supplier Invoice No/                          № Инвойса Поставщика],"",0,1)</f>
        <v>HY230109U(8)</v>
      </c>
      <c r="H15" s="39" cm="1">
        <f t="array" ref="H15">_xlfn.XLOOKUP($A15,ACT[[№]:[№]],ACT[CBM],"",0,1)</f>
        <v>8.9760000000000009</v>
      </c>
      <c r="I15" s="39" cm="1">
        <f t="array" ref="I15">_xlfn.XLOOKUP($A15,ACT[[№]:[№]],ACT[Gross weight, kg/ Вес брутто, кг],"",0,1)</f>
        <v>3852</v>
      </c>
      <c r="J15" s="39" t="str" cm="1">
        <f t="array" ref="J15">_xlfn.XLOOKUP($A15,ACT[[№]:[№]],ACT[Delivery terms / Условия поставки],"",0,1)</f>
        <v>FCA</v>
      </c>
      <c r="K15" s="39" cm="1">
        <f t="array" ref="K15">_xlfn.XLOOKUP($A15,ACT[[№]:[№]],ACT[Container total CBM],"",0,1)</f>
        <v>66.114000000000004</v>
      </c>
      <c r="L15" s="40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40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40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40" cm="1">
        <f t="array" ref="O15">_xlfn.XLOOKUP($A15,ACT[[№]:[№]],ACT[Documents Work/ Сбор за подготовку документов
KRW],"",0,1)</f>
        <v>6788.2747980760505</v>
      </c>
      <c r="P15" s="40" cm="1">
        <f t="array" ref="P15">_xlfn.XLOOKUP($A15,ACT[[№]:[№]],ACT[THC/ Терминальная обработка
KRW],"",0,1)</f>
        <v>25170.922951265995</v>
      </c>
      <c r="Q15" s="40" cm="1">
        <f t="array" ref="Q15">_xlfn.XLOOKUP($A15,ACT[[№]:[№]],ACT[Wharfage/ Портовая пошлина
KRW],"",0,1)</f>
        <v>1235.4660132498414</v>
      </c>
      <c r="R15" s="40" cm="1">
        <f t="array" ref="R15">_xlfn.XLOOKUP($A15,ACT[[№]:[№]],ACT[TRUCKING CHARGE],"",0,1)</f>
        <v>0</v>
      </c>
      <c r="S15" s="40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40" cm="1">
        <f t="array" ref="T15">_xlfn.XLOOKUP($A15,ACT[[№]:[№]],ACT[Special Wooden Shoring / Специальное деревянное крепление],"",0,1)</f>
        <v>0</v>
      </c>
      <c r="U15" s="9"/>
      <c r="V15" s="40" cm="1">
        <f t="array" ref="V15">_xlfn.XLOOKUP($A15,ACT[[№]:[№]],ACT[Total amount/ Общая стоимость KRW (10+11+12+13+14+15+16)],"",0,1)</f>
        <v>806294.47849714139</v>
      </c>
      <c r="W15" s="40" cm="1">
        <f t="array" ref="W15">_xlfn.XLOOKUP($A15,ACT[[№]:[№]],ACT[Total amount/ Общая стоимость (17*exchange rate/ обменный курс)
 USD],"",0,1)</f>
        <v>634.51</v>
      </c>
      <c r="X15" s="9" cm="1">
        <f t="array" ref="X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" s="12">
        <f>VLOOKUP(Шаблон_Формулы[[#This Row],[24]],Курс_840[[Дата]:[Курс]],2,0)</f>
        <v>11370.11</v>
      </c>
      <c r="Z15" s="42">
        <f>IFERROR(Шаблон_Формулы[[#This Row],[23]]*Шаблон_Формулы[[#This Row],[25]],"")</f>
        <v>7214448.4961000001</v>
      </c>
      <c r="AA15" s="13" t="str" cm="1">
        <f t="array" ref="AA15">ACT_number[№ исходящего акта]</f>
        <v>426 LCL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7" cm="1">
        <f t="array" ref="E16">_xlfn.XLOOKUP($A16,ACT[[№]:[№]],ACT[Date of Dispatch/ 
Дата отгрузки],"",0,1)</f>
        <v>44965</v>
      </c>
      <c r="F16" s="38" t="str" cm="1">
        <f t="array" ref="F16">_xlfn.XLOOKUP($A16,ACT[[№]:[№]],ACT[Supplier/ Поставщик],"",0,1)</f>
        <v>Contitech Fluid</v>
      </c>
      <c r="G16" s="38" t="str" cm="1">
        <f t="array" ref="G16">_xlfn.XLOOKUP($A16,ACT[[№]:[№]],ACT[Supplier Invoice No/                          № Инвойса Поставщика],"",0,1)</f>
        <v>U230111D</v>
      </c>
      <c r="H16" s="39" cm="1">
        <f t="array" ref="H16">_xlfn.XLOOKUP($A16,ACT[[№]:[№]],ACT[CBM],"",0,1)</f>
        <v>49.658000000000001</v>
      </c>
      <c r="I16" s="39" cm="1">
        <f t="array" ref="I16">_xlfn.XLOOKUP($A16,ACT[[№]:[№]],ACT[Gross weight, kg/ Вес брутто, кг],"",0,1)</f>
        <v>2027.63</v>
      </c>
      <c r="J16" s="39" t="str" cm="1">
        <f t="array" ref="J16">_xlfn.XLOOKUP($A16,ACT[[№]:[№]],ACT[Delivery terms / Условия поставки],"",0,1)</f>
        <v>FCA</v>
      </c>
      <c r="K16" s="39" cm="1">
        <f t="array" ref="K16">_xlfn.XLOOKUP($A16,ACT[[№]:[№]],ACT[Container total CBM],"",0,1)</f>
        <v>66.114000000000004</v>
      </c>
      <c r="L16" s="40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40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40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40" cm="1">
        <f t="array" ref="O16">_xlfn.XLOOKUP($A16,ACT[[№]:[№]],ACT[Documents Work/ Сбор за подготовку документов
KRW],"",0,1)</f>
        <v>37554.829536860576</v>
      </c>
      <c r="P16" s="40" cm="1">
        <f t="array" ref="P16">_xlfn.XLOOKUP($A16,ACT[[№]:[№]],ACT[THC/ Терминальная обработка
KRW],"",0,1)</f>
        <v>139253.307922679</v>
      </c>
      <c r="Q16" s="40" cm="1">
        <f t="array" ref="Q16">_xlfn.XLOOKUP($A16,ACT[[№]:[№]],ACT[Wharfage/ Портовая пошлина
KRW],"",0,1)</f>
        <v>6834.9789757086246</v>
      </c>
      <c r="R16" s="40" cm="1">
        <f t="array" ref="R16">_xlfn.XLOOKUP($A16,ACT[[№]:[№]],ACT[TRUCKING CHARGE],"",0,1)</f>
        <v>0</v>
      </c>
      <c r="S16" s="40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40" cm="1">
        <f t="array" ref="T16">_xlfn.XLOOKUP($A16,ACT[[№]:[№]],ACT[Special Wooden Shoring / Специальное деревянное крепление],"",0,1)</f>
        <v>0</v>
      </c>
      <c r="U16" s="9"/>
      <c r="V16" s="40" cm="1">
        <f t="array" ref="V16">_xlfn.XLOOKUP($A16,ACT[[№]:[№]],ACT[Total amount/ Общая стоимость KRW (10+11+12+13+14+15+16)],"",0,1)</f>
        <v>2294484.6494219075</v>
      </c>
      <c r="W16" s="40" cm="1">
        <f t="array" ref="W16">_xlfn.XLOOKUP($A16,ACT[[№]:[№]],ACT[Total amount/ Общая стоимость (17*exchange rate/ обменный курс)
 USD],"",0,1)</f>
        <v>1805.63</v>
      </c>
      <c r="X16" s="9" cm="1">
        <f t="array" ref="X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6" s="12">
        <f>VLOOKUP(Шаблон_Формулы[[#This Row],[24]],Курс_840[[Дата]:[Курс]],2,0)</f>
        <v>11370.11</v>
      </c>
      <c r="Z16" s="42">
        <f>IFERROR(Шаблон_Формулы[[#This Row],[23]]*Шаблон_Формулы[[#This Row],[25]],"")</f>
        <v>20530211.719300002</v>
      </c>
      <c r="AA16" s="13" t="str" cm="1">
        <f t="array" ref="AA16">ACT_number[№ исходящего акта]</f>
        <v>426 LCL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7" cm="1">
        <f t="array" ref="E17">_xlfn.XLOOKUP($A17,ACT[[№]:[№]],ACT[Date of Dispatch/ 
Дата отгрузки],"",0,1)</f>
        <v>44965</v>
      </c>
      <c r="F17" s="38" t="str" cm="1">
        <f t="array" ref="F17">_xlfn.XLOOKUP($A17,ACT[[№]:[№]],ACT[Supplier/ Поставщик],"",0,1)</f>
        <v>Hanyang Precision</v>
      </c>
      <c r="G17" s="38" t="str" cm="1">
        <f t="array" ref="G17">_xlfn.XLOOKUP($A17,ACT[[№]:[№]],ACT[Supplier Invoice No/                          № Инвойса Поставщика],"",0,1)</f>
        <v>HY230109U(9)</v>
      </c>
      <c r="H17" s="39" cm="1">
        <f t="array" ref="H17">_xlfn.XLOOKUP($A17,ACT[[№]:[№]],ACT[CBM],"",0,1)</f>
        <v>23.936</v>
      </c>
      <c r="I17" s="39" cm="1">
        <f t="array" ref="I17">_xlfn.XLOOKUP($A17,ACT[[№]:[№]],ACT[Gross weight, kg/ Вес брутто, кг],"",0,1)</f>
        <v>18484</v>
      </c>
      <c r="J17" s="39" t="str" cm="1">
        <f t="array" ref="J17">_xlfn.XLOOKUP($A17,ACT[[№]:[№]],ACT[Delivery terms / Условия поставки],"",0,1)</f>
        <v>FCA</v>
      </c>
      <c r="K17" s="39" cm="1">
        <f t="array" ref="K17">_xlfn.XLOOKUP($A17,ACT[[№]:[№]],ACT[Container total CBM],"",0,1)</f>
        <v>52.676000000000002</v>
      </c>
      <c r="L17" s="40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40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40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40" cm="1">
        <f t="array" ref="O17">_xlfn.XLOOKUP($A17,ACT[[№]:[№]],ACT[Documents Work/ Сбор за подготовку документов
KRW],"",0,1)</f>
        <v>22720.02429949123</v>
      </c>
      <c r="P17" s="40" cm="1">
        <f t="array" ref="P17">_xlfn.XLOOKUP($A17,ACT[[№]:[№]],ACT[THC/ Терминальная обработка
KRW],"",0,1)</f>
        <v>84245.850102513476</v>
      </c>
      <c r="Q17" s="40" cm="1">
        <f t="array" ref="Q17">_xlfn.XLOOKUP($A17,ACT[[№]:[№]],ACT[Wharfage/ Портовая пошлина
KRW],"",0,1)</f>
        <v>4135.0444225074034</v>
      </c>
      <c r="R17" s="40" cm="1">
        <f t="array" ref="R17">_xlfn.XLOOKUP($A17,ACT[[№]:[№]],ACT[TRUCKING CHARGE],"",0,1)</f>
        <v>0</v>
      </c>
      <c r="S17" s="40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40" cm="1">
        <f t="array" ref="T17">_xlfn.XLOOKUP($A17,ACT[[№]:[№]],ACT[Special Wooden Shoring / Специальное деревянное крепление],"",0,1)</f>
        <v>0</v>
      </c>
      <c r="U17" s="9"/>
      <c r="V17" s="40" cm="1">
        <f t="array" ref="V17">_xlfn.XLOOKUP($A17,ACT[[№]:[№]],ACT[Total amount/ Общая стоимость KRW (10+11+12+13+14+15+16)],"",0,1)</f>
        <v>1980339.7093294859</v>
      </c>
      <c r="W17" s="40" cm="1">
        <f t="array" ref="W17">_xlfn.XLOOKUP($A17,ACT[[№]:[№]],ACT[Total amount/ Общая стоимость (17*exchange rate/ обменный курс)
 USD],"",0,1)</f>
        <v>1558.41</v>
      </c>
      <c r="X17" s="9" cm="1">
        <f t="array" ref="X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7" s="12">
        <f>VLOOKUP(Шаблон_Формулы[[#This Row],[24]],Курс_840[[Дата]:[Курс]],2,0)</f>
        <v>11370.11</v>
      </c>
      <c r="Z17" s="42">
        <f>IFERROR(Шаблон_Формулы[[#This Row],[23]]*Шаблон_Формулы[[#This Row],[25]],"")</f>
        <v>17719293.125100002</v>
      </c>
      <c r="AA17" s="13" t="str" cm="1">
        <f t="array" ref="AA17">ACT_number[№ исходящего акта]</f>
        <v>426 LCL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7" cm="1">
        <f t="array" ref="E18">_xlfn.XLOOKUP($A18,ACT[[№]:[№]],ACT[Date of Dispatch/ 
Дата отгрузки],"",0,1)</f>
        <v>44965</v>
      </c>
      <c r="F18" s="38" t="str" cm="1">
        <f t="array" ref="F18">_xlfn.XLOOKUP($A18,ACT[[№]:[№]],ACT[Supplier/ Поставщик],"",0,1)</f>
        <v>Daewon Chemical by CREA</v>
      </c>
      <c r="G18" s="38" t="str" cm="1">
        <f t="array" ref="G18">_xlfn.XLOOKUP($A18,ACT[[№]:[№]],ACT[Supplier Invoice No/                          № Инвойса Поставщика],"",0,1)</f>
        <v>230112UZP</v>
      </c>
      <c r="H18" s="39" cm="1">
        <f t="array" ref="H18">_xlfn.XLOOKUP($A18,ACT[[№]:[№]],ACT[CBM],"",0,1)</f>
        <v>16.64</v>
      </c>
      <c r="I18" s="39" cm="1">
        <f t="array" ref="I18">_xlfn.XLOOKUP($A18,ACT[[№]:[№]],ACT[Gross weight, kg/ Вес брутто, кг],"",0,1)</f>
        <v>2026.88</v>
      </c>
      <c r="J18" s="39" t="str" cm="1">
        <f t="array" ref="J18">_xlfn.XLOOKUP($A18,ACT[[№]:[№]],ACT[Delivery terms / Условия поставки],"",0,1)</f>
        <v>FCA</v>
      </c>
      <c r="K18" s="39" cm="1">
        <f t="array" ref="K18">_xlfn.XLOOKUP($A18,ACT[[№]:[№]],ACT[Container total CBM],"",0,1)</f>
        <v>52.676000000000002</v>
      </c>
      <c r="L18" s="40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40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40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40" cm="1">
        <f t="array" ref="O18">_xlfn.XLOOKUP($A18,ACT[[№]:[№]],ACT[Documents Work/ Сбор за подготовку документов
KRW],"",0,1)</f>
        <v>15794.669299111549</v>
      </c>
      <c r="P18" s="40" cm="1">
        <f t="array" ref="P18">_xlfn.XLOOKUP($A18,ACT[[№]:[№]],ACT[THC/ Терминальная обработка
KRW],"",0,1)</f>
        <v>58566.633761105622</v>
      </c>
      <c r="Q18" s="40" cm="1">
        <f t="array" ref="Q18">_xlfn.XLOOKUP($A18,ACT[[№]:[№]],ACT[Wharfage/ Портовая пошлина
KRW],"",0,1)</f>
        <v>2874.629812438302</v>
      </c>
      <c r="R18" s="40" cm="1">
        <f t="array" ref="R18">_xlfn.XLOOKUP($A18,ACT[[№]:[№]],ACT[TRUCKING CHARGE],"",0,1)</f>
        <v>0</v>
      </c>
      <c r="S18" s="40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40" cm="1">
        <f t="array" ref="T18">_xlfn.XLOOKUP($A18,ACT[[№]:[№]],ACT[Special Wooden Shoring / Специальное деревянное крепление],"",0,1)</f>
        <v>0</v>
      </c>
      <c r="U18" s="9"/>
      <c r="V18" s="40" cm="1">
        <f t="array" ref="V18">_xlfn.XLOOKUP($A18,ACT[[№]:[№]],ACT[Total amount/ Общая стоимость KRW (10+11+12+13+14+15+16)],"",0,1)</f>
        <v>1008337.7658440276</v>
      </c>
      <c r="W18" s="40" cm="1">
        <f t="array" ref="W18">_xlfn.XLOOKUP($A18,ACT[[№]:[№]],ACT[Total amount/ Общая стоимость (17*exchange rate/ обменный курс)
 USD],"",0,1)</f>
        <v>793.5</v>
      </c>
      <c r="X18" s="9" cm="1">
        <f t="array" ref="X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8" s="12">
        <f>VLOOKUP(Шаблон_Формулы[[#This Row],[24]],Курс_840[[Дата]:[Курс]],2,0)</f>
        <v>11370.11</v>
      </c>
      <c r="Z18" s="42">
        <f>IFERROR(Шаблон_Формулы[[#This Row],[23]]*Шаблон_Формулы[[#This Row],[25]],"")</f>
        <v>9022182.2850000001</v>
      </c>
      <c r="AA18" s="13" t="str" cm="1">
        <f t="array" ref="AA18">ACT_number[№ исходящего акта]</f>
        <v>426 LCL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7" cm="1">
        <f t="array" ref="E19">_xlfn.XLOOKUP($A19,ACT[[№]:[№]],ACT[Date of Dispatch/ 
Дата отгрузки],"",0,1)</f>
        <v>44965</v>
      </c>
      <c r="F19" s="38" t="str" cm="1">
        <f t="array" ref="F19">_xlfn.XLOOKUP($A19,ACT[[№]:[№]],ACT[Supplier/ Поставщик],"",0,1)</f>
        <v>Hwaseung R&amp;A</v>
      </c>
      <c r="G19" s="38" t="str" cm="1">
        <f t="array" ref="G19">_xlfn.XLOOKUP($A19,ACT[[№]:[№]],ACT[Supplier Invoice No/                          № Инвойса Поставщика],"",0,1)</f>
        <v>J23011213</v>
      </c>
      <c r="H19" s="39" cm="1">
        <f t="array" ref="H19">_xlfn.XLOOKUP($A19,ACT[[№]:[№]],ACT[CBM],"",0,1)</f>
        <v>4.9000000000000004</v>
      </c>
      <c r="I19" s="39" cm="1">
        <f t="array" ref="I19">_xlfn.XLOOKUP($A19,ACT[[№]:[№]],ACT[Gross weight, kg/ Вес брутто, кг],"",0,1)</f>
        <v>1315</v>
      </c>
      <c r="J19" s="39" t="str" cm="1">
        <f t="array" ref="J19">_xlfn.XLOOKUP($A19,ACT[[№]:[№]],ACT[Delivery terms / Условия поставки],"",0,1)</f>
        <v>FCA</v>
      </c>
      <c r="K19" s="39" cm="1">
        <f t="array" ref="K19">_xlfn.XLOOKUP($A19,ACT[[№]:[№]],ACT[Container total CBM],"",0,1)</f>
        <v>52.676000000000002</v>
      </c>
      <c r="L19" s="40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40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40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40" cm="1">
        <f t="array" ref="O19">_xlfn.XLOOKUP($A19,ACT[[№]:[№]],ACT[Documents Work/ Сбор за подготовку документов
KRW],"",0,1)</f>
        <v>4651.0744931278005</v>
      </c>
      <c r="P19" s="40" cm="1">
        <f t="array" ref="P19">_xlfn.XLOOKUP($A19,ACT[[№]:[№]],ACT[THC/ Терминальная обработка
KRW],"",0,1)</f>
        <v>17246.184220517884</v>
      </c>
      <c r="Q19" s="40" cm="1">
        <f t="array" ref="Q19">_xlfn.XLOOKUP($A19,ACT[[№]:[№]],ACT[Wharfage/ Портовая пошлина
KRW],"",0,1)</f>
        <v>846.49555774925966</v>
      </c>
      <c r="R19" s="40" cm="1">
        <f t="array" ref="R19">_xlfn.XLOOKUP($A19,ACT[[№]:[№]],ACT[TRUCKING CHARGE],"",0,1)</f>
        <v>0</v>
      </c>
      <c r="S19" s="40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40" cm="1">
        <f t="array" ref="T19">_xlfn.XLOOKUP($A19,ACT[[№]:[№]],ACT[Special Wooden Shoring / Специальное деревянное крепление],"",0,1)</f>
        <v>0</v>
      </c>
      <c r="U19" s="9"/>
      <c r="V19" s="40" cm="1">
        <f t="array" ref="V19">_xlfn.XLOOKUP($A19,ACT[[№]:[№]],ACT[Total amount/ Общая стоимость KRW (10+11+12+13+14+15+16)],"",0,1)</f>
        <v>255464.84691320529</v>
      </c>
      <c r="W19" s="40" cm="1">
        <f t="array" ref="W19">_xlfn.XLOOKUP($A19,ACT[[№]:[№]],ACT[Total amount/ Общая стоимость (17*exchange rate/ обменный курс)
 USD],"",0,1)</f>
        <v>201.04</v>
      </c>
      <c r="X19" s="9" cm="1">
        <f t="array" ref="X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9" s="12">
        <f>VLOOKUP(Шаблон_Формулы[[#This Row],[24]],Курс_840[[Дата]:[Курс]],2,0)</f>
        <v>11370.11</v>
      </c>
      <c r="Z19" s="42">
        <f>IFERROR(Шаблон_Формулы[[#This Row],[23]]*Шаблон_Формулы[[#This Row],[25]],"")</f>
        <v>2285846.9144000001</v>
      </c>
      <c r="AA19" s="13" t="str" cm="1">
        <f t="array" ref="AA19">ACT_number[№ исходящего акта]</f>
        <v>426 LCL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7" cm="1">
        <f t="array" ref="E20">_xlfn.XLOOKUP($A20,ACT[[№]:[№]],ACT[Date of Dispatch/ 
Дата отгрузки],"",0,1)</f>
        <v>44965</v>
      </c>
      <c r="F20" s="38" t="str" cm="1">
        <f t="array" ref="F20">_xlfn.XLOOKUP($A20,ACT[[№]:[№]],ACT[Supplier/ Поставщик],"",0,1)</f>
        <v>Hwaseung R&amp;A</v>
      </c>
      <c r="G20" s="38" t="str" cm="1">
        <f t="array" ref="G20">_xlfn.XLOOKUP($A20,ACT[[№]:[№]],ACT[Supplier Invoice No/                          № Инвойса Поставщика],"",0,1)</f>
        <v>J23011214</v>
      </c>
      <c r="H20" s="39" cm="1">
        <f t="array" ref="H20">_xlfn.XLOOKUP($A20,ACT[[№]:[№]],ACT[CBM],"",0,1)</f>
        <v>7.2</v>
      </c>
      <c r="I20" s="39" cm="1">
        <f t="array" ref="I20">_xlfn.XLOOKUP($A20,ACT[[№]:[№]],ACT[Gross weight, kg/ Вес брутто, кг],"",0,1)</f>
        <v>672</v>
      </c>
      <c r="J20" s="39" t="str" cm="1">
        <f t="array" ref="J20">_xlfn.XLOOKUP($A20,ACT[[№]:[№]],ACT[Delivery terms / Условия поставки],"",0,1)</f>
        <v>FCA</v>
      </c>
      <c r="K20" s="39" cm="1">
        <f t="array" ref="K20">_xlfn.XLOOKUP($A20,ACT[[№]:[№]],ACT[Container total CBM],"",0,1)</f>
        <v>52.676000000000002</v>
      </c>
      <c r="L20" s="40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40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40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40" cm="1">
        <f t="array" ref="O20">_xlfn.XLOOKUP($A20,ACT[[№]:[№]],ACT[Documents Work/ Сбор за подготовку документов
KRW],"",0,1)</f>
        <v>6834.2319082694212</v>
      </c>
      <c r="P20" s="40" cm="1">
        <f t="array" ref="P20">_xlfn.XLOOKUP($A20,ACT[[№]:[№]],ACT[THC/ Терминальная обработка
KRW],"",0,1)</f>
        <v>25341.331915863015</v>
      </c>
      <c r="Q20" s="40" cm="1">
        <f t="array" ref="Q20">_xlfn.XLOOKUP($A20,ACT[[№]:[№]],ACT[Wharfage/ Портовая пошлина
KRW],"",0,1)</f>
        <v>1243.8302073050347</v>
      </c>
      <c r="R20" s="40" cm="1">
        <f t="array" ref="R20">_xlfn.XLOOKUP($A20,ACT[[№]:[№]],ACT[TRUCKING CHARGE],"",0,1)</f>
        <v>0</v>
      </c>
      <c r="S20" s="40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40" cm="1">
        <f t="array" ref="T20">_xlfn.XLOOKUP($A20,ACT[[№]:[№]],ACT[Special Wooden Shoring / Специальное деревянное крепление],"",0,1)</f>
        <v>0</v>
      </c>
      <c r="U20" s="9"/>
      <c r="V20" s="40" cm="1">
        <f t="array" ref="V20">_xlfn.XLOOKUP($A20,ACT[[№]:[№]],ACT[Total amount/ Общая стоимость KRW (10+11+12+13+14+15+16)],"",0,1)</f>
        <v>391376.91791328118</v>
      </c>
      <c r="W20" s="40" cm="1">
        <f t="array" ref="W20">_xlfn.XLOOKUP($A20,ACT[[№]:[№]],ACT[Total amount/ Общая стоимость (17*exchange rate/ обменный курс)
 USD],"",0,1)</f>
        <v>307.99</v>
      </c>
      <c r="X20" s="9" cm="1">
        <f t="array" ref="X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0" s="12">
        <f>VLOOKUP(Шаблон_Формулы[[#This Row],[24]],Курс_840[[Дата]:[Курс]],2,0)</f>
        <v>11370.11</v>
      </c>
      <c r="Z20" s="42">
        <f>IFERROR(Шаблон_Формулы[[#This Row],[23]]*Шаблон_Формулы[[#This Row],[25]],"")</f>
        <v>3501880.1789000002</v>
      </c>
      <c r="AA20" s="13" t="str" cm="1">
        <f t="array" ref="AA20">ACT_number[№ исходящего акта]</f>
        <v>426 LCL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7" cm="1">
        <f t="array" ref="E21">_xlfn.XLOOKUP($A21,ACT[[№]:[№]],ACT[Date of Dispatch/ 
Дата отгрузки],"",0,1)</f>
        <v>44965</v>
      </c>
      <c r="F21" s="38" t="str" cm="1">
        <f t="array" ref="F21">_xlfn.XLOOKUP($A21,ACT[[№]:[№]],ACT[Supplier/ Поставщик],"",0,1)</f>
        <v>Hanyang Precision</v>
      </c>
      <c r="G21" s="38" t="str" cm="1">
        <f t="array" ref="G21">_xlfn.XLOOKUP($A21,ACT[[№]:[№]],ACT[Supplier Invoice No/                          № Инвойса Поставщика],"",0,1)</f>
        <v>HY230109U(10)</v>
      </c>
      <c r="H21" s="39" cm="1">
        <f t="array" ref="H21">_xlfn.XLOOKUP($A21,ACT[[№]:[№]],ACT[CBM],"",0,1)</f>
        <v>23.936</v>
      </c>
      <c r="I21" s="39" cm="1">
        <f t="array" ref="I21">_xlfn.XLOOKUP($A21,ACT[[№]:[№]],ACT[Gross weight, kg/ Вес брутто, кг],"",0,1)</f>
        <v>18484</v>
      </c>
      <c r="J21" s="39" t="str" cm="1">
        <f t="array" ref="J21">_xlfn.XLOOKUP($A21,ACT[[№]:[№]],ACT[Delivery terms / Условия поставки],"",0,1)</f>
        <v>FCA</v>
      </c>
      <c r="K21" s="39" cm="1">
        <f t="array" ref="K21">_xlfn.XLOOKUP($A21,ACT[[№]:[№]],ACT[Container total CBM],"",0,1)</f>
        <v>47.129000000000005</v>
      </c>
      <c r="L21" s="40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40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40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40" cm="1">
        <f t="array" ref="O21">_xlfn.XLOOKUP($A21,ACT[[№]:[№]],ACT[Documents Work/ Сбор за подготовку документов
KRW],"",0,1)</f>
        <v>25394.131002143051</v>
      </c>
      <c r="P21" s="40" cm="1">
        <f t="array" ref="P21">_xlfn.XLOOKUP($A21,ACT[[№]:[№]],ACT[THC/ Терминальная обработка
KRW],"",0,1)</f>
        <v>94161.437755946434</v>
      </c>
      <c r="Q21" s="40" cm="1">
        <f t="array" ref="Q21">_xlfn.XLOOKUP($A21,ACT[[№]:[№]],ACT[Wharfage/ Портовая пошлина
KRW],"",0,1)</f>
        <v>4621.7318423900351</v>
      </c>
      <c r="R21" s="40" cm="1">
        <f t="array" ref="R21">_xlfn.XLOOKUP($A21,ACT[[№]:[№]],ACT[TRUCKING CHARGE],"",0,1)</f>
        <v>0</v>
      </c>
      <c r="S21" s="40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40" cm="1">
        <f t="array" ref="T21">_xlfn.XLOOKUP($A21,ACT[[№]:[№]],ACT[Special Wooden Shoring / Специальное деревянное крепление],"",0,1)</f>
        <v>0</v>
      </c>
      <c r="U21" s="9"/>
      <c r="V21" s="40" cm="1">
        <f t="array" ref="V21">_xlfn.XLOOKUP($A21,ACT[[№]:[№]],ACT[Total amount/ Общая стоимость KRW (10+11+12+13+14+15+16)],"",0,1)</f>
        <v>2018782.6672868088</v>
      </c>
      <c r="W21" s="40" cm="1">
        <f t="array" ref="W21">_xlfn.XLOOKUP($A21,ACT[[№]:[№]],ACT[Total amount/ Общая стоимость (17*exchange rate/ обменный курс)
 USD],"",0,1)</f>
        <v>1588.67</v>
      </c>
      <c r="X21" s="9" cm="1">
        <f t="array" ref="X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1" s="12">
        <f>VLOOKUP(Шаблон_Формулы[[#This Row],[24]],Курс_840[[Дата]:[Курс]],2,0)</f>
        <v>11370.11</v>
      </c>
      <c r="Z21" s="42">
        <f>IFERROR(Шаблон_Формулы[[#This Row],[23]]*Шаблон_Формулы[[#This Row],[25]],"")</f>
        <v>18063352.653700002</v>
      </c>
      <c r="AA21" s="13" t="str" cm="1">
        <f t="array" ref="AA21">ACT_number[№ исходящего акта]</f>
        <v>426 LCL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7" cm="1">
        <f t="array" ref="E22">_xlfn.XLOOKUP($A22,ACT[[№]:[№]],ACT[Date of Dispatch/ 
Дата отгрузки],"",0,1)</f>
        <v>44965</v>
      </c>
      <c r="F22" s="38" t="str" cm="1">
        <f t="array" ref="F22">_xlfn.XLOOKUP($A22,ACT[[№]:[№]],ACT[Supplier/ Поставщик],"",0,1)</f>
        <v>Humax Automotive</v>
      </c>
      <c r="G22" s="38" t="str" cm="1">
        <f t="array" ref="G22">_xlfn.XLOOKUP($A22,ACT[[№]:[№]],ACT[Supplier Invoice No/                          № Инвойса Поставщика],"",0,1)</f>
        <v>IN80472369</v>
      </c>
      <c r="H22" s="39" cm="1">
        <f t="array" ref="H22">_xlfn.XLOOKUP($A22,ACT[[№]:[№]],ACT[CBM],"",0,1)</f>
        <v>20.21</v>
      </c>
      <c r="I22" s="39" cm="1">
        <f t="array" ref="I22">_xlfn.XLOOKUP($A22,ACT[[№]:[№]],ACT[Gross weight, kg/ Вес брутто, кг],"",0,1)</f>
        <v>2669.28</v>
      </c>
      <c r="J22" s="39" t="str" cm="1">
        <f t="array" ref="J22">_xlfn.XLOOKUP($A22,ACT[[№]:[№]],ACT[Delivery terms / Условия поставки],"",0,1)</f>
        <v>FCA</v>
      </c>
      <c r="K22" s="39" cm="1">
        <f t="array" ref="K22">_xlfn.XLOOKUP($A22,ACT[[№]:[№]],ACT[Container total CBM],"",0,1)</f>
        <v>47.129000000000005</v>
      </c>
      <c r="L22" s="40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40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40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40" cm="1">
        <f t="array" ref="O22">_xlfn.XLOOKUP($A22,ACT[[№]:[№]],ACT[Documents Work/ Сбор за подготовку документов
KRW],"",0,1)</f>
        <v>21441.150883744613</v>
      </c>
      <c r="P22" s="40" cm="1">
        <f t="array" ref="P22">_xlfn.XLOOKUP($A22,ACT[[№]:[№]],ACT[THC/ Терминальная обработка
KRW],"",0,1)</f>
        <v>79503.787476925034</v>
      </c>
      <c r="Q22" s="40" cm="1">
        <f t="array" ref="Q22">_xlfn.XLOOKUP($A22,ACT[[№]:[№]],ACT[Wharfage/ Портовая пошлина
KRW],"",0,1)</f>
        <v>3902.2894608415199</v>
      </c>
      <c r="R22" s="40" cm="1">
        <f t="array" ref="R22">_xlfn.XLOOKUP($A22,ACT[[№]:[№]],ACT[TRUCKING CHARGE],"",0,1)</f>
        <v>0</v>
      </c>
      <c r="S22" s="40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40" cm="1">
        <f t="array" ref="T22">_xlfn.XLOOKUP($A22,ACT[[№]:[№]],ACT[Special Wooden Shoring / Специальное деревянное крепление],"",0,1)</f>
        <v>0</v>
      </c>
      <c r="U22" s="9"/>
      <c r="V22" s="40" cm="1">
        <f t="array" ref="V22">_xlfn.XLOOKUP($A22,ACT[[№]:[№]],ACT[Total amount/ Общая стоимость KRW (10+11+12+13+14+15+16)],"",0,1)</f>
        <v>1011820.8851047126</v>
      </c>
      <c r="W22" s="40" cm="1">
        <f t="array" ref="W22">_xlfn.XLOOKUP($A22,ACT[[№]:[№]],ACT[Total amount/ Общая стоимость (17*exchange rate/ обменный курс)
 USD],"",0,1)</f>
        <v>796.25</v>
      </c>
      <c r="X22" s="9" cm="1">
        <f t="array" ref="X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2" s="12">
        <f>VLOOKUP(Шаблон_Формулы[[#This Row],[24]],Курс_840[[Дата]:[Курс]],2,0)</f>
        <v>11370.11</v>
      </c>
      <c r="Z22" s="42">
        <f>IFERROR(Шаблон_Формулы[[#This Row],[23]]*Шаблон_Формулы[[#This Row],[25]],"")</f>
        <v>9053450.0875000004</v>
      </c>
      <c r="AA22" s="13" t="str" cm="1">
        <f t="array" ref="AA22">ACT_number[№ исходящего акта]</f>
        <v>426 LCL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7" cm="1">
        <f t="array" ref="E23">_xlfn.XLOOKUP($A23,ACT[[№]:[№]],ACT[Date of Dispatch/ 
Дата отгрузки],"",0,1)</f>
        <v>44965</v>
      </c>
      <c r="F23" s="38" t="str" cm="1">
        <f t="array" ref="F23">_xlfn.XLOOKUP($A23,ACT[[№]:[№]],ACT[Supplier/ Поставщик],"",0,1)</f>
        <v>Samshin for UzKoram</v>
      </c>
      <c r="G23" s="38" t="str" cm="1">
        <f t="array" ref="G23">_xlfn.XLOOKUP($A23,ACT[[№]:[№]],ACT[Supplier Invoice No/                          № Инвойса Поставщика],"",0,1)</f>
        <v>SUZ-2023-0105-2</v>
      </c>
      <c r="H23" s="39" cm="1">
        <f t="array" ref="H23">_xlfn.XLOOKUP($A23,ACT[[№]:[№]],ACT[CBM],"",0,1)</f>
        <v>2.5270000000000001</v>
      </c>
      <c r="I23" s="39" cm="1">
        <f t="array" ref="I23">_xlfn.XLOOKUP($A23,ACT[[№]:[№]],ACT[Gross weight, kg/ Вес брутто, кг],"",0,1)</f>
        <v>250</v>
      </c>
      <c r="J23" s="39" t="str" cm="1">
        <f t="array" ref="J23">_xlfn.XLOOKUP($A23,ACT[[№]:[№]],ACT[Delivery terms / Условия поставки],"",0,1)</f>
        <v>FCA</v>
      </c>
      <c r="K23" s="39" cm="1">
        <f t="array" ref="K23">_xlfn.XLOOKUP($A23,ACT[[№]:[№]],ACT[Container total CBM],"",0,1)</f>
        <v>47.129000000000005</v>
      </c>
      <c r="L23" s="40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40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40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40" cm="1">
        <f t="array" ref="O23">_xlfn.XLOOKUP($A23,ACT[[№]:[№]],ACT[Documents Work/ Сбор за подготовку документов
KRW],"",0,1)</f>
        <v>2680.9395488977061</v>
      </c>
      <c r="P23" s="40" cm="1">
        <f t="array" ref="P23">_xlfn.XLOOKUP($A23,ACT[[№]:[№]],ACT[THC/ Терминальная обработка
KRW],"",0,1)</f>
        <v>9940.9238473126934</v>
      </c>
      <c r="Q23" s="40" cm="1">
        <f t="array" ref="Q23">_xlfn.XLOOKUP($A23,ACT[[№]:[№]],ACT[Wharfage/ Портовая пошлина
KRW],"",0,1)</f>
        <v>487.93099789938248</v>
      </c>
      <c r="R23" s="40" cm="1">
        <f t="array" ref="R23">_xlfn.XLOOKUP($A23,ACT[[№]:[№]],ACT[TRUCKING CHARGE],"",0,1)</f>
        <v>0</v>
      </c>
      <c r="S23" s="40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40" cm="1">
        <f t="array" ref="T23">_xlfn.XLOOKUP($A23,ACT[[№]:[№]],ACT[Special Wooden Shoring / Специальное деревянное крепление],"",0,1)</f>
        <v>0</v>
      </c>
      <c r="U23" s="9"/>
      <c r="V23" s="40" cm="1">
        <f t="array" ref="V23">_xlfn.XLOOKUP($A23,ACT[[№]:[№]],ACT[Total amount/ Общая стоимость KRW (10+11+12+13+14+15+16)],"",0,1)</f>
        <v>347995.4169549534</v>
      </c>
      <c r="W23" s="40" cm="1">
        <f t="array" ref="W23">_xlfn.XLOOKUP($A23,ACT[[№]:[№]],ACT[Total amount/ Общая стоимость (17*exchange rate/ обменный курс)
 USD],"",0,1)</f>
        <v>273.85000000000002</v>
      </c>
      <c r="X23" s="9" cm="1">
        <f t="array" ref="X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3" s="12">
        <f>VLOOKUP(Шаблон_Формулы[[#This Row],[24]],Курс_840[[Дата]:[Курс]],2,0)</f>
        <v>11370.11</v>
      </c>
      <c r="Z23" s="42">
        <f>IFERROR(Шаблон_Формулы[[#This Row],[23]]*Шаблон_Формулы[[#This Row],[25]],"")</f>
        <v>3113704.6235000002</v>
      </c>
      <c r="AA23" s="13" t="str" cm="1">
        <f t="array" ref="AA23">ACT_number[№ исходящего акта]</f>
        <v>426 LCL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7" cm="1">
        <f t="array" ref="E24">_xlfn.XLOOKUP($A24,ACT[[№]:[№]],ACT[Date of Dispatch/ 
Дата отгрузки],"",0,1)</f>
        <v>44965</v>
      </c>
      <c r="F24" s="38" t="str" cm="1">
        <f t="array" ref="F24">_xlfn.XLOOKUP($A24,ACT[[№]:[№]],ACT[Supplier/ Поставщик],"",0,1)</f>
        <v>ALPS</v>
      </c>
      <c r="G24" s="38" t="str" cm="1">
        <f t="array" ref="G24">_xlfn.XLOOKUP($A24,ACT[[№]:[№]],ACT[Supplier Invoice No/                          № Инвойса Поставщика],"",0,1)</f>
        <v>61339711</v>
      </c>
      <c r="H24" s="39" cm="1">
        <f t="array" ref="H24">_xlfn.XLOOKUP($A24,ACT[[№]:[№]],ACT[CBM],"",0,1)</f>
        <v>0.45600000000000002</v>
      </c>
      <c r="I24" s="39" cm="1">
        <f t="array" ref="I24">_xlfn.XLOOKUP($A24,ACT[[№]:[№]],ACT[Gross weight, kg/ Вес брутто, кг],"",0,1)</f>
        <v>85</v>
      </c>
      <c r="J24" s="39" t="str" cm="1">
        <f t="array" ref="J24">_xlfn.XLOOKUP($A24,ACT[[№]:[№]],ACT[Delivery terms / Условия поставки],"",0,1)</f>
        <v>FCA</v>
      </c>
      <c r="K24" s="39" cm="1">
        <f t="array" ref="K24">_xlfn.XLOOKUP($A24,ACT[[№]:[№]],ACT[Container total CBM],"",0,1)</f>
        <v>47.129000000000005</v>
      </c>
      <c r="L24" s="40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40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40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40" cm="1">
        <f t="array" ref="O24">_xlfn.XLOOKUP($A24,ACT[[№]:[№]],ACT[Documents Work/ Сбор за подготовку документов
KRW],"",0,1)</f>
        <v>483.77856521462365</v>
      </c>
      <c r="P24" s="40" cm="1">
        <f t="array" ref="P24">_xlfn.XLOOKUP($A24,ACT[[№]:[№]],ACT[THC/ Терминальная обработка
KRW],"",0,1)</f>
        <v>1793.8509198158249</v>
      </c>
      <c r="Q24" s="40" cm="1">
        <f t="array" ref="Q24">_xlfn.XLOOKUP($A24,ACT[[№]:[№]],ACT[Wharfage/ Портовая пошлина
KRW],"",0,1)</f>
        <v>88.04769886906152</v>
      </c>
      <c r="R24" s="40" cm="1">
        <f t="array" ref="R24">_xlfn.XLOOKUP($A24,ACT[[№]:[№]],ACT[TRUCKING CHARGE],"",0,1)</f>
        <v>0</v>
      </c>
      <c r="S24" s="40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40" cm="1">
        <f t="array" ref="T24">_xlfn.XLOOKUP($A24,ACT[[№]:[№]],ACT[Special Wooden Shoring / Специальное деревянное крепление],"",0,1)</f>
        <v>0</v>
      </c>
      <c r="U24" s="9"/>
      <c r="V24" s="40" cm="1">
        <f t="array" ref="V24">_xlfn.XLOOKUP($A24,ACT[[№]:[№]],ACT[Total amount/ Общая стоимость KRW (10+11+12+13+14+15+16)],"",0,1)</f>
        <v>275826.24065352546</v>
      </c>
      <c r="W24" s="40" cm="1">
        <f t="array" ref="W24">_xlfn.XLOOKUP($A24,ACT[[№]:[№]],ACT[Total amount/ Общая стоимость (17*exchange rate/ обменный курс)
 USD],"",0,1)</f>
        <v>217.06</v>
      </c>
      <c r="X24" s="9" cm="1">
        <f t="array" ref="X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4" s="12">
        <f>VLOOKUP(Шаблон_Формулы[[#This Row],[24]],Курс_840[[Дата]:[Курс]],2,0)</f>
        <v>11370.11</v>
      </c>
      <c r="Z24" s="42">
        <f>IFERROR(Шаблон_Формулы[[#This Row],[23]]*Шаблон_Формулы[[#This Row],[25]],"")</f>
        <v>2467996.0766000003</v>
      </c>
      <c r="AA24" s="13" t="str" cm="1">
        <f t="array" ref="AA24">ACT_number[№ исходящего акта]</f>
        <v>426 LCL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7" cm="1">
        <f t="array" ref="E25">_xlfn.XLOOKUP($A25,ACT[[№]:[№]],ACT[Date of Dispatch/ 
Дата отгрузки],"",0,1)</f>
        <v>44965</v>
      </c>
      <c r="F25" s="38" t="str" cm="1">
        <f t="array" ref="F25">_xlfn.XLOOKUP($A25,ACT[[№]:[№]],ACT[Supplier/ Поставщик],"",0,1)</f>
        <v>Hanyang Precision</v>
      </c>
      <c r="G25" s="38" t="str" cm="1">
        <f t="array" ref="G25">_xlfn.XLOOKUP($A25,ACT[[№]:[№]],ACT[Supplier Invoice No/                          № Инвойса Поставщика],"",0,1)</f>
        <v>HY230109U(11)</v>
      </c>
      <c r="H25" s="39" cm="1">
        <f t="array" ref="H25">_xlfn.XLOOKUP($A25,ACT[[№]:[№]],ACT[CBM],"",0,1)</f>
        <v>17.952000000000002</v>
      </c>
      <c r="I25" s="39" cm="1">
        <f t="array" ref="I25">_xlfn.XLOOKUP($A25,ACT[[№]:[№]],ACT[Gross weight, kg/ Вес брутто, кг],"",0,1)</f>
        <v>13863</v>
      </c>
      <c r="J25" s="39" t="str" cm="1">
        <f t="array" ref="J25">_xlfn.XLOOKUP($A25,ACT[[№]:[№]],ACT[Delivery terms / Условия поставки],"",0,1)</f>
        <v>FCA</v>
      </c>
      <c r="K25" s="39" cm="1">
        <f t="array" ref="K25">_xlfn.XLOOKUP($A25,ACT[[№]:[№]],ACT[Container total CBM],"",0,1)</f>
        <v>51.385000000000005</v>
      </c>
      <c r="L25" s="40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40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40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40" cm="1">
        <f t="array" ref="O25">_xlfn.XLOOKUP($A25,ACT[[№]:[№]],ACT[Documents Work/ Сбор за подготовку документов
KRW],"",0,1)</f>
        <v>17468.132723557457</v>
      </c>
      <c r="P25" s="40" cm="1">
        <f t="array" ref="P25">_xlfn.XLOOKUP($A25,ACT[[№]:[№]],ACT[THC/ Терминальная обработка
KRW],"",0,1)</f>
        <v>64771.836138951054</v>
      </c>
      <c r="Q25" s="40" cm="1">
        <f t="array" ref="Q25">_xlfn.XLOOKUP($A25,ACT[[№]:[№]],ACT[Wharfage/ Портовая пошлина
KRW],"",0,1)</f>
        <v>3179.2001556874575</v>
      </c>
      <c r="R25" s="40" cm="1">
        <f t="array" ref="R25">_xlfn.XLOOKUP($A25,ACT[[№]:[№]],ACT[TRUCKING CHARGE],"",0,1)</f>
        <v>0</v>
      </c>
      <c r="S25" s="40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40" cm="1">
        <f t="array" ref="T25">_xlfn.XLOOKUP($A25,ACT[[№]:[№]],ACT[Special Wooden Shoring / Специальное деревянное крепление],"",0,1)</f>
        <v>0</v>
      </c>
      <c r="U25" s="9"/>
      <c r="V25" s="40" cm="1">
        <f t="array" ref="V25">_xlfn.XLOOKUP($A25,ACT[[№]:[№]],ACT[Total amount/ Общая стоимость KRW (10+11+12+13+14+15+16)],"",0,1)</f>
        <v>1788034.3560338621</v>
      </c>
      <c r="W25" s="40" cm="1">
        <f t="array" ref="W25">_xlfn.XLOOKUP($A25,ACT[[№]:[№]],ACT[Total amount/ Общая стоимость (17*exchange rate/ обменный курс)
 USD],"",0,1)</f>
        <v>1407.08</v>
      </c>
      <c r="X25" s="9" cm="1">
        <f t="array" ref="X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5" s="12">
        <f>VLOOKUP(Шаблон_Формулы[[#This Row],[24]],Курс_840[[Дата]:[Курс]],2,0)</f>
        <v>11370.11</v>
      </c>
      <c r="Z25" s="42">
        <f>IFERROR(Шаблон_Формулы[[#This Row],[23]]*Шаблон_Формулы[[#This Row],[25]],"")</f>
        <v>15998654.378799999</v>
      </c>
      <c r="AA25" s="13" t="str" cm="1">
        <f t="array" ref="AA25">ACT_number[№ исходящего акта]</f>
        <v>426 LCL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7" cm="1">
        <f t="array" ref="E26">_xlfn.XLOOKUP($A26,ACT[[№]:[№]],ACT[Date of Dispatch/ 
Дата отгрузки],"",0,1)</f>
        <v>44965</v>
      </c>
      <c r="F26" s="38" t="str" cm="1">
        <f t="array" ref="F26">_xlfn.XLOOKUP($A26,ACT[[№]:[№]],ACT[Supplier/ Поставщик],"",0,1)</f>
        <v>Daedong System</v>
      </c>
      <c r="G26" s="38" t="str" cm="1">
        <f t="array" ref="G26">_xlfn.XLOOKUP($A26,ACT[[№]:[№]],ACT[Supplier Invoice No/                          № Инвойса Поставщика],"",0,1)</f>
        <v>UZA23002</v>
      </c>
      <c r="H26" s="39" cm="1">
        <f t="array" ref="H26">_xlfn.XLOOKUP($A26,ACT[[№]:[№]],ACT[CBM],"",0,1)</f>
        <v>30.751000000000001</v>
      </c>
      <c r="I26" s="39" cm="1">
        <f t="array" ref="I26">_xlfn.XLOOKUP($A26,ACT[[№]:[№]],ACT[Gross weight, kg/ Вес брутто, кг],"",0,1)</f>
        <v>5519</v>
      </c>
      <c r="J26" s="39" t="str" cm="1">
        <f t="array" ref="J26">_xlfn.XLOOKUP($A26,ACT[[№]:[№]],ACT[Delivery terms / Условия поставки],"",0,1)</f>
        <v>FCA</v>
      </c>
      <c r="K26" s="39" cm="1">
        <f t="array" ref="K26">_xlfn.XLOOKUP($A26,ACT[[№]:[№]],ACT[Container total CBM],"",0,1)</f>
        <v>51.385000000000005</v>
      </c>
      <c r="L26" s="40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40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40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40" cm="1">
        <f t="array" ref="O26">_xlfn.XLOOKUP($A26,ACT[[№]:[№]],ACT[Documents Work/ Сбор за подготовку документов
KRW],"",0,1)</f>
        <v>29922.156271285396</v>
      </c>
      <c r="P26" s="40" cm="1">
        <f t="array" ref="P26">_xlfn.XLOOKUP($A26,ACT[[№]:[№]],ACT[THC/ Терминальная обработка
KRW],"",0,1)</f>
        <v>110951.35545392624</v>
      </c>
      <c r="Q26" s="40" cm="1">
        <f t="array" ref="Q26">_xlfn.XLOOKUP($A26,ACT[[№]:[№]],ACT[Wharfage/ Портовая пошлина
KRW],"",0,1)</f>
        <v>5445.8324413739419</v>
      </c>
      <c r="R26" s="40" cm="1">
        <f t="array" ref="R26">_xlfn.XLOOKUP($A26,ACT[[№]:[№]],ACT[TRUCKING CHARGE],"",0,1)</f>
        <v>0</v>
      </c>
      <c r="S26" s="40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40" cm="1">
        <f t="array" ref="T26">_xlfn.XLOOKUP($A26,ACT[[№]:[№]],ACT[Special Wooden Shoring / Специальное деревянное крепление],"",0,1)</f>
        <v>0</v>
      </c>
      <c r="U26" s="9"/>
      <c r="V26" s="40" cm="1">
        <f t="array" ref="V26">_xlfn.XLOOKUP($A26,ACT[[№]:[№]],ACT[Total amount/ Общая стоимость KRW (10+11+12+13+14+15+16)],"",0,1)</f>
        <v>1326236.9085559987</v>
      </c>
      <c r="W26" s="40" cm="1">
        <f t="array" ref="W26">_xlfn.XLOOKUP($A26,ACT[[№]:[№]],ACT[Total amount/ Общая стоимость (17*exchange rate/ обменный курс)
 USD],"",0,1)</f>
        <v>1043.67</v>
      </c>
      <c r="X26" s="9" cm="1">
        <f t="array" ref="X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6" s="12">
        <f>VLOOKUP(Шаблон_Формулы[[#This Row],[24]],Курс_840[[Дата]:[Курс]],2,0)</f>
        <v>11370.11</v>
      </c>
      <c r="Z26" s="42">
        <f>IFERROR(Шаблон_Формулы[[#This Row],[23]]*Шаблон_Формулы[[#This Row],[25]],"")</f>
        <v>11866642.703700002</v>
      </c>
      <c r="AA26" s="13" t="str" cm="1">
        <f t="array" ref="AA26">ACT_number[№ исходящего акта]</f>
        <v>426 LCL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7" cm="1">
        <f t="array" ref="E27">_xlfn.XLOOKUP($A27,ACT[[№]:[№]],ACT[Date of Dispatch/ 
Дата отгрузки],"",0,1)</f>
        <v>44965</v>
      </c>
      <c r="F27" s="38" t="str" cm="1">
        <f t="array" ref="F27">_xlfn.XLOOKUP($A27,ACT[[№]:[№]],ACT[Supplier/ Поставщик],"",0,1)</f>
        <v>KDS</v>
      </c>
      <c r="G27" s="38" t="str" cm="1">
        <f t="array" ref="G27">_xlfn.XLOOKUP($A27,ACT[[№]:[№]],ACT[Supplier Invoice No/                          № Инвойса Поставщика],"",0,1)</f>
        <v>UZ3011267</v>
      </c>
      <c r="H27" s="39" cm="1">
        <f t="array" ref="H27">_xlfn.XLOOKUP($A27,ACT[[№]:[№]],ACT[CBM],"",0,1)</f>
        <v>2.6819999999999999</v>
      </c>
      <c r="I27" s="39" cm="1">
        <f t="array" ref="I27">_xlfn.XLOOKUP($A27,ACT[[№]:[№]],ACT[Gross weight, kg/ Вес брутто, кг],"",0,1)</f>
        <v>1632</v>
      </c>
      <c r="J27" s="39" t="str" cm="1">
        <f t="array" ref="J27">_xlfn.XLOOKUP($A27,ACT[[№]:[№]],ACT[Delivery terms / Условия поставки],"",0,1)</f>
        <v>FCA</v>
      </c>
      <c r="K27" s="39" cm="1">
        <f t="array" ref="K27">_xlfn.XLOOKUP($A27,ACT[[№]:[№]],ACT[Container total CBM],"",0,1)</f>
        <v>51.385000000000005</v>
      </c>
      <c r="L27" s="40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40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40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40" cm="1">
        <f t="array" ref="O27">_xlfn.XLOOKUP($A27,ACT[[№]:[№]],ACT[Documents Work/ Сбор за подготовку документов
KRW],"",0,1)</f>
        <v>2609.7110051571467</v>
      </c>
      <c r="P27" s="40" cm="1">
        <f t="array" ref="P27">_xlfn.XLOOKUP($A27,ACT[[№]:[№]],ACT[THC/ Терминальная обработка
KRW],"",0,1)</f>
        <v>9676.8084071226986</v>
      </c>
      <c r="Q27" s="40" cm="1">
        <f t="array" ref="Q27">_xlfn.XLOOKUP($A27,ACT[[№]:[№]],ACT[Wharfage/ Портовая пошлина
KRW],"",0,1)</f>
        <v>474.96740293860074</v>
      </c>
      <c r="R27" s="40" cm="1">
        <f t="array" ref="R27">_xlfn.XLOOKUP($A27,ACT[[№]:[№]],ACT[TRUCKING CHARGE],"",0,1)</f>
        <v>0</v>
      </c>
      <c r="S27" s="40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40" cm="1">
        <f t="array" ref="T27">_xlfn.XLOOKUP($A27,ACT[[№]:[№]],ACT[Special Wooden Shoring / Специальное деревянное крепление],"",0,1)</f>
        <v>0</v>
      </c>
      <c r="U27" s="9"/>
      <c r="V27" s="40" cm="1">
        <f t="array" ref="V27">_xlfn.XLOOKUP($A27,ACT[[№]:[№]],ACT[Total amount/ Общая стоимость KRW (10+11+12+13+14+15+16)],"",0,1)</f>
        <v>281287.3854101391</v>
      </c>
      <c r="W27" s="40" cm="1">
        <f t="array" ref="W27">_xlfn.XLOOKUP($A27,ACT[[№]:[№]],ACT[Total amount/ Общая стоимость (17*exchange rate/ обменный курс)
 USD],"",0,1)</f>
        <v>221.36</v>
      </c>
      <c r="X27" s="9" cm="1">
        <f t="array" ref="X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7" s="12">
        <f>VLOOKUP(Шаблон_Формулы[[#This Row],[24]],Курс_840[[Дата]:[Курс]],2,0)</f>
        <v>11370.11</v>
      </c>
      <c r="Z27" s="42">
        <f>IFERROR(Шаблон_Формулы[[#This Row],[23]]*Шаблон_Формулы[[#This Row],[25]],"")</f>
        <v>2516887.5496000005</v>
      </c>
      <c r="AA27" s="13" t="str" cm="1">
        <f t="array" ref="AA27">ACT_number[№ исходящего акта]</f>
        <v>426 LCL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7" cm="1">
        <f t="array" ref="E28">_xlfn.XLOOKUP($A28,ACT[[№]:[№]],ACT[Date of Dispatch/ 
Дата отгрузки],"",0,1)</f>
        <v>44965</v>
      </c>
      <c r="F28" s="38" t="str" cm="1">
        <f t="array" ref="F28">_xlfn.XLOOKUP($A28,ACT[[№]:[№]],ACT[Supplier/ Поставщик],"",0,1)</f>
        <v>Hanyang Precision</v>
      </c>
      <c r="G28" s="38" t="str" cm="1">
        <f t="array" ref="G28">_xlfn.XLOOKUP($A28,ACT[[№]:[№]],ACT[Supplier Invoice No/                          № Инвойса Поставщика],"",0,1)</f>
        <v>HY230109U(12)</v>
      </c>
      <c r="H28" s="39" cm="1">
        <f t="array" ref="H28">_xlfn.XLOOKUP($A28,ACT[[№]:[№]],ACT[CBM],"",0,1)</f>
        <v>17.448</v>
      </c>
      <c r="I28" s="39" cm="1">
        <f t="array" ref="I28">_xlfn.XLOOKUP($A28,ACT[[№]:[№]],ACT[Gross weight, kg/ Вес брутто, кг],"",0,1)</f>
        <v>7853</v>
      </c>
      <c r="J28" s="39" t="str" cm="1">
        <f t="array" ref="J28">_xlfn.XLOOKUP($A28,ACT[[№]:[№]],ACT[Delivery terms / Условия поставки],"",0,1)</f>
        <v>FCA</v>
      </c>
      <c r="K28" s="39" cm="1">
        <f t="array" ref="K28">_xlfn.XLOOKUP($A28,ACT[[№]:[№]],ACT[Container total CBM],"",0,1)</f>
        <v>61.037999999999997</v>
      </c>
      <c r="L28" s="40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40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40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40" cm="1">
        <f t="array" ref="O28">_xlfn.XLOOKUP($A28,ACT[[№]:[№]],ACT[Documents Work/ Сбор за подготовку документов
KRW],"",0,1)</f>
        <v>14292.73567285953</v>
      </c>
      <c r="P28" s="40" cm="1">
        <f t="array" ref="P28">_xlfn.XLOOKUP($A28,ACT[[№]:[№]],ACT[THC/ Терминальная обработка
KRW],"",0,1)</f>
        <v>52997.463874963134</v>
      </c>
      <c r="Q28" s="40" cm="1">
        <f t="array" ref="Q28">_xlfn.XLOOKUP($A28,ACT[[№]:[№]],ACT[Wharfage/ Портовая пошлина
KRW],"",0,1)</f>
        <v>2601.2778924604345</v>
      </c>
      <c r="R28" s="40" cm="1">
        <f t="array" ref="R28">_xlfn.XLOOKUP($A28,ACT[[№]:[№]],ACT[TRUCKING CHARGE],"",0,1)</f>
        <v>0</v>
      </c>
      <c r="S28" s="40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40" cm="1">
        <f t="array" ref="T28">_xlfn.XLOOKUP($A28,ACT[[№]:[№]],ACT[Special Wooden Shoring / Специальное деревянное крепление],"",0,1)</f>
        <v>0</v>
      </c>
      <c r="U28" s="9"/>
      <c r="V28" s="40" cm="1">
        <f t="array" ref="V28">_xlfn.XLOOKUP($A28,ACT[[№]:[№]],ACT[Total amount/ Общая стоимость KRW (10+11+12+13+14+15+16)],"",0,1)</f>
        <v>1052105.8880330285</v>
      </c>
      <c r="W28" s="40" cm="1">
        <f t="array" ref="W28">_xlfn.XLOOKUP($A28,ACT[[№]:[№]],ACT[Total amount/ Общая стоимость (17*exchange rate/ обменный курс)
 USD],"",0,1)</f>
        <v>827.95</v>
      </c>
      <c r="X28" s="9" cm="1">
        <f t="array" ref="X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8" s="12">
        <f>VLOOKUP(Шаблон_Формулы[[#This Row],[24]],Курс_840[[Дата]:[Курс]],2,0)</f>
        <v>11370.11</v>
      </c>
      <c r="Z28" s="42">
        <f>IFERROR(Шаблон_Формулы[[#This Row],[23]]*Шаблон_Формулы[[#This Row],[25]],"")</f>
        <v>9413882.5745000001</v>
      </c>
      <c r="AA28" s="13" t="str" cm="1">
        <f t="array" ref="AA28">ACT_number[№ исходящего акта]</f>
        <v>426 LCL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7" cm="1">
        <f t="array" ref="E29">_xlfn.XLOOKUP($A29,ACT[[№]:[№]],ACT[Date of Dispatch/ 
Дата отгрузки],"",0,1)</f>
        <v>44965</v>
      </c>
      <c r="F29" s="38" t="str" cm="1">
        <f t="array" ref="F29">_xlfn.XLOOKUP($A29,ACT[[№]:[№]],ACT[Supplier/ Поставщик],"",0,1)</f>
        <v>Mando Iksan</v>
      </c>
      <c r="G29" s="38" t="str" cm="1">
        <f t="array" ref="G29">_xlfn.XLOOKUP($A29,ACT[[№]:[№]],ACT[Supplier Invoice No/                          № Инвойса Поставщика],"",0,1)</f>
        <v>CKSS2301034</v>
      </c>
      <c r="H29" s="39" cm="1">
        <f t="array" ref="H29">_xlfn.XLOOKUP($A29,ACT[[№]:[№]],ACT[CBM],"",0,1)</f>
        <v>43.59</v>
      </c>
      <c r="I29" s="39" cm="1">
        <f t="array" ref="I29">_xlfn.XLOOKUP($A29,ACT[[№]:[№]],ACT[Gross weight, kg/ Вес брутто, кг],"",0,1)</f>
        <v>14638</v>
      </c>
      <c r="J29" s="39" t="str" cm="1">
        <f t="array" ref="J29">_xlfn.XLOOKUP($A29,ACT[[№]:[№]],ACT[Delivery terms / Условия поставки],"",0,1)</f>
        <v>FCA</v>
      </c>
      <c r="K29" s="39" cm="1">
        <f t="array" ref="K29">_xlfn.XLOOKUP($A29,ACT[[№]:[№]],ACT[Container total CBM],"",0,1)</f>
        <v>61.037999999999997</v>
      </c>
      <c r="L29" s="40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40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40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40" cm="1">
        <f t="array" ref="O29">_xlfn.XLOOKUP($A29,ACT[[№]:[№]],ACT[Documents Work/ Сбор за подготовку документов
KRW],"",0,1)</f>
        <v>35707.264327140467</v>
      </c>
      <c r="P29" s="40" cm="1">
        <f t="array" ref="P29">_xlfn.XLOOKUP($A29,ACT[[№]:[№]],ACT[THC/ Терминальная обработка
KRW],"",0,1)</f>
        <v>132402.53612503686</v>
      </c>
      <c r="Q29" s="40" cm="1">
        <f t="array" ref="Q29">_xlfn.XLOOKUP($A29,ACT[[№]:[№]],ACT[Wharfage/ Портовая пошлина
KRW],"",0,1)</f>
        <v>6498.7221075395655</v>
      </c>
      <c r="R29" s="40" cm="1">
        <f t="array" ref="R29">_xlfn.XLOOKUP($A29,ACT[[№]:[№]],ACT[TRUCKING CHARGE],"",0,1)</f>
        <v>0</v>
      </c>
      <c r="S29" s="40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40" cm="1">
        <f t="array" ref="T29">_xlfn.XLOOKUP($A29,ACT[[№]:[№]],ACT[Special Wooden Shoring / Специальное деревянное крепление],"",0,1)</f>
        <v>0</v>
      </c>
      <c r="U29" s="9"/>
      <c r="V29" s="40" cm="1">
        <f t="array" ref="V29">_xlfn.XLOOKUP($A29,ACT[[№]:[№]],ACT[Total amount/ Общая стоимость KRW (10+11+12+13+14+15+16)],"",0,1)</f>
        <v>1835406.7319669717</v>
      </c>
      <c r="W29" s="40" cm="1">
        <f t="array" ref="W29">_xlfn.XLOOKUP($A29,ACT[[№]:[№]],ACT[Total amount/ Общая стоимость (17*exchange rate/ обменный курс)
 USD],"",0,1)</f>
        <v>1444.36</v>
      </c>
      <c r="X29" s="9" cm="1">
        <f t="array" ref="X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9" s="12">
        <f>VLOOKUP(Шаблон_Формулы[[#This Row],[24]],Курс_840[[Дата]:[Курс]],2,0)</f>
        <v>11370.11</v>
      </c>
      <c r="Z29" s="42">
        <f>IFERROR(Шаблон_Формулы[[#This Row],[23]]*Шаблон_Формулы[[#This Row],[25]],"")</f>
        <v>16422532.079599999</v>
      </c>
      <c r="AA29" s="13" t="str" cm="1">
        <f t="array" ref="AA29">ACT_number[№ исходящего акта]</f>
        <v>426 LCL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7" cm="1">
        <f t="array" ref="E30">_xlfn.XLOOKUP($A30,ACT[[№]:[№]],ACT[Date of Dispatch/ 
Дата отгрузки],"",0,1)</f>
        <v>44965</v>
      </c>
      <c r="F30" s="38" t="str" cm="1">
        <f t="array" ref="F30">_xlfn.XLOOKUP($A30,ACT[[№]:[№]],ACT[Supplier/ Поставщик],"",0,1)</f>
        <v>Hanyang Precision</v>
      </c>
      <c r="G30" s="38" t="str" cm="1">
        <f t="array" ref="G30">_xlfn.XLOOKUP($A30,ACT[[№]:[№]],ACT[Supplier Invoice No/                          № Инвойса Поставщика],"",0,1)</f>
        <v>HY230109U(13)</v>
      </c>
      <c r="H30" s="39" cm="1">
        <f t="array" ref="H30">_xlfn.XLOOKUP($A30,ACT[[№]:[№]],ACT[CBM],"",0,1)</f>
        <v>10.178000000000001</v>
      </c>
      <c r="I30" s="39" cm="1">
        <f t="array" ref="I30">_xlfn.XLOOKUP($A30,ACT[[№]:[№]],ACT[Gross weight, kg/ Вес брутто, кг],"",0,1)</f>
        <v>4580.9399999999996</v>
      </c>
      <c r="J30" s="39" t="str" cm="1">
        <f t="array" ref="J30">_xlfn.XLOOKUP($A30,ACT[[№]:[№]],ACT[Delivery terms / Условия поставки],"",0,1)</f>
        <v>FCA</v>
      </c>
      <c r="K30" s="39" cm="1">
        <f t="array" ref="K30">_xlfn.XLOOKUP($A30,ACT[[№]:[№]],ACT[Container total CBM],"",0,1)</f>
        <v>57.357999999999997</v>
      </c>
      <c r="L30" s="40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40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40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40" cm="1">
        <f t="array" ref="O30">_xlfn.XLOOKUP($A30,ACT[[№]:[№]],ACT[Documents Work/ Сбор за подготовку документов
KRW],"",0,1)</f>
        <v>8872.3456187454231</v>
      </c>
      <c r="P30" s="40" cm="1">
        <f t="array" ref="P30">_xlfn.XLOOKUP($A30,ACT[[№]:[№]],ACT[THC/ Терминальная обработка
KRW],"",0,1)</f>
        <v>32898.657554308033</v>
      </c>
      <c r="Q30" s="40" cm="1">
        <f t="array" ref="Q30">_xlfn.XLOOKUP($A30,ACT[[№]:[№]],ACT[Wharfage/ Портовая пошлина
KRW],"",0,1)</f>
        <v>1614.7669026116671</v>
      </c>
      <c r="R30" s="40" cm="1">
        <f t="array" ref="R30">_xlfn.XLOOKUP($A30,ACT[[№]:[№]],ACT[TRUCKING CHARGE],"",0,1)</f>
        <v>0</v>
      </c>
      <c r="S30" s="40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40" cm="1">
        <f t="array" ref="T30">_xlfn.XLOOKUP($A30,ACT[[№]:[№]],ACT[Special Wooden Shoring / Специальное деревянное крепление],"",0,1)</f>
        <v>0</v>
      </c>
      <c r="U30" s="9"/>
      <c r="V30" s="40" cm="1">
        <f t="array" ref="V30">_xlfn.XLOOKUP($A30,ACT[[№]:[№]],ACT[Total amount/ Общая стоимость KRW (10+11+12+13+14+15+16)],"",0,1)</f>
        <v>846460.06061508437</v>
      </c>
      <c r="W30" s="40" cm="1">
        <f t="array" ref="W30">_xlfn.XLOOKUP($A30,ACT[[№]:[№]],ACT[Total amount/ Общая стоимость (17*exchange rate/ обменный курс)
 USD],"",0,1)</f>
        <v>666.12</v>
      </c>
      <c r="X30" s="9" cm="1">
        <f t="array" ref="X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0" s="12">
        <f>VLOOKUP(Шаблон_Формулы[[#This Row],[24]],Курс_840[[Дата]:[Курс]],2,0)</f>
        <v>11370.11</v>
      </c>
      <c r="Z30" s="42">
        <f>IFERROR(Шаблон_Формулы[[#This Row],[23]]*Шаблон_Формулы[[#This Row],[25]],"")</f>
        <v>7573857.6732000001</v>
      </c>
      <c r="AA30" s="13" t="str" cm="1">
        <f t="array" ref="AA30">ACT_number[№ исходящего акта]</f>
        <v>426 LCL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7" cm="1">
        <f t="array" ref="E31">_xlfn.XLOOKUP($A31,ACT[[№]:[№]],ACT[Date of Dispatch/ 
Дата отгрузки],"",0,1)</f>
        <v>44965</v>
      </c>
      <c r="F31" s="38" t="str" cm="1">
        <f t="array" ref="F31">_xlfn.XLOOKUP($A31,ACT[[№]:[№]],ACT[Supplier/ Поставщик],"",0,1)</f>
        <v>Namyang NEXMO</v>
      </c>
      <c r="G31" s="38" t="str" cm="1">
        <f t="array" ref="G31">_xlfn.XLOOKUP($A31,ACT[[№]:[№]],ACT[Supplier Invoice No/                          № Инвойса Поставщика],"",0,1)</f>
        <v>GMUZ409</v>
      </c>
      <c r="H31" s="39" cm="1">
        <f t="array" ref="H31">_xlfn.XLOOKUP($A31,ACT[[№]:[№]],ACT[CBM],"",0,1)</f>
        <v>47.18</v>
      </c>
      <c r="I31" s="39" cm="1">
        <f t="array" ref="I31">_xlfn.XLOOKUP($A31,ACT[[№]:[№]],ACT[Gross weight, kg/ Вес брутто, кг],"",0,1)</f>
        <v>9489</v>
      </c>
      <c r="J31" s="39" t="str" cm="1">
        <f t="array" ref="J31">_xlfn.XLOOKUP($A31,ACT[[№]:[№]],ACT[Delivery terms / Условия поставки],"",0,1)</f>
        <v>FCA</v>
      </c>
      <c r="K31" s="39" cm="1">
        <f t="array" ref="K31">_xlfn.XLOOKUP($A31,ACT[[№]:[№]],ACT[Container total CBM],"",0,1)</f>
        <v>57.357999999999997</v>
      </c>
      <c r="L31" s="40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40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40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40" cm="1">
        <f t="array" ref="O31">_xlfn.XLOOKUP($A31,ACT[[№]:[№]],ACT[Documents Work/ Сбор за подготовку документов
KRW],"",0,1)</f>
        <v>41127.654381254571</v>
      </c>
      <c r="P31" s="40" cm="1">
        <f t="array" ref="P31">_xlfn.XLOOKUP($A31,ACT[[№]:[№]],ACT[THC/ Терминальная обработка
KRW],"",0,1)</f>
        <v>152501.34244569196</v>
      </c>
      <c r="Q31" s="40" cm="1">
        <f t="array" ref="Q31">_xlfn.XLOOKUP($A31,ACT[[№]:[№]],ACT[Wharfage/ Портовая пошлина
KRW],"",0,1)</f>
        <v>7485.2330973883327</v>
      </c>
      <c r="R31" s="40" cm="1">
        <f t="array" ref="R31">_xlfn.XLOOKUP($A31,ACT[[№]:[№]],ACT[TRUCKING CHARGE],"",0,1)</f>
        <v>0</v>
      </c>
      <c r="S31" s="40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40" cm="1">
        <f t="array" ref="T31">_xlfn.XLOOKUP($A31,ACT[[№]:[№]],ACT[Special Wooden Shoring / Специальное деревянное крепление],"",0,1)</f>
        <v>0</v>
      </c>
      <c r="U31" s="9"/>
      <c r="V31" s="40" cm="1">
        <f t="array" ref="V31">_xlfn.XLOOKUP($A31,ACT[[№]:[№]],ACT[Total amount/ Общая стоимость KRW (10+11+12+13+14+15+16)],"",0,1)</f>
        <v>2092809.359384916</v>
      </c>
      <c r="W31" s="40" cm="1">
        <f t="array" ref="W31">_xlfn.XLOOKUP($A31,ACT[[№]:[№]],ACT[Total amount/ Общая стоимость (17*exchange rate/ обменный курс)
 USD],"",0,1)</f>
        <v>1646.92</v>
      </c>
      <c r="X31" s="9" cm="1">
        <f t="array" ref="X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1" s="12">
        <f>VLOOKUP(Шаблон_Формулы[[#This Row],[24]],Курс_840[[Дата]:[Курс]],2,0)</f>
        <v>11370.11</v>
      </c>
      <c r="Z31" s="42">
        <f>IFERROR(Шаблон_Формулы[[#This Row],[23]]*Шаблон_Формулы[[#This Row],[25]],"")</f>
        <v>18725661.5612</v>
      </c>
      <c r="AA31" s="13" t="str" cm="1">
        <f t="array" ref="AA31">ACT_number[№ исходящего акта]</f>
        <v>426 LCL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7" cm="1">
        <f t="array" ref="E32">_xlfn.XLOOKUP($A32,ACT[[№]:[№]],ACT[Date of Dispatch/ 
Дата отгрузки],"",0,1)</f>
        <v>44965</v>
      </c>
      <c r="F32" s="38" t="str" cm="1">
        <f t="array" ref="F32">_xlfn.XLOOKUP($A32,ACT[[№]:[№]],ACT[Supplier/ Поставщик],"",0,1)</f>
        <v>Hanyang Precision</v>
      </c>
      <c r="G32" s="38" t="str" cm="1">
        <f t="array" ref="G32">_xlfn.XLOOKUP($A32,ACT[[№]:[№]],ACT[Supplier Invoice No/                          № Инвойса Поставщика],"",0,1)</f>
        <v>HY230109U(14)</v>
      </c>
      <c r="H32" s="39" cm="1">
        <f t="array" ref="H32">_xlfn.XLOOKUP($A32,ACT[[№]:[№]],ACT[CBM],"",0,1)</f>
        <v>17.448</v>
      </c>
      <c r="I32" s="39" cm="1">
        <f t="array" ref="I32">_xlfn.XLOOKUP($A32,ACT[[№]:[№]],ACT[Gross weight, kg/ Вес брутто, кг],"",0,1)</f>
        <v>7853.04</v>
      </c>
      <c r="J32" s="39" t="str" cm="1">
        <f t="array" ref="J32">_xlfn.XLOOKUP($A32,ACT[[№]:[№]],ACT[Delivery terms / Условия поставки],"",0,1)</f>
        <v>FCA</v>
      </c>
      <c r="K32" s="39" cm="1">
        <f t="array" ref="K32">_xlfn.XLOOKUP($A32,ACT[[№]:[№]],ACT[Container total CBM],"",0,1)</f>
        <v>56.303999999999995</v>
      </c>
      <c r="L32" s="40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40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40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40" cm="1">
        <f t="array" ref="O32">_xlfn.XLOOKUP($A32,ACT[[№]:[№]],ACT[Documents Work/ Сбор за подготовку документов
KRW],"",0,1)</f>
        <v>15494.45865302643</v>
      </c>
      <c r="P32" s="40" cm="1">
        <f t="array" ref="P32">_xlfn.XLOOKUP($A32,ACT[[№]:[№]],ACT[THC/ Терминальная обработка
KRW],"",0,1)</f>
        <v>57453.452685422002</v>
      </c>
      <c r="Q32" s="40" cm="1">
        <f t="array" ref="Q32">_xlfn.XLOOKUP($A32,ACT[[№]:[№]],ACT[Wharfage/ Портовая пошлина
KRW],"",0,1)</f>
        <v>2819.9914748508104</v>
      </c>
      <c r="R32" s="40" cm="1">
        <f t="array" ref="R32">_xlfn.XLOOKUP($A32,ACT[[№]:[№]],ACT[TRUCKING CHARGE],"",0,1)</f>
        <v>0</v>
      </c>
      <c r="S32" s="40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40" cm="1">
        <f t="array" ref="T32">_xlfn.XLOOKUP($A32,ACT[[№]:[№]],ACT[Special Wooden Shoring / Специальное деревянное крепление],"",0,1)</f>
        <v>0</v>
      </c>
      <c r="U32" s="9"/>
      <c r="V32" s="40" cm="1">
        <f t="array" ref="V32">_xlfn.XLOOKUP($A32,ACT[[№]:[№]],ACT[Total amount/ Общая стоимость KRW (10+11+12+13+14+15+16)],"",0,1)</f>
        <v>1069381.857595908</v>
      </c>
      <c r="W32" s="40" cm="1">
        <f t="array" ref="W32">_xlfn.XLOOKUP($A32,ACT[[№]:[№]],ACT[Total amount/ Общая стоимость (17*exchange rate/ обменный курс)
 USD],"",0,1)</f>
        <v>841.54</v>
      </c>
      <c r="X32" s="9" cm="1">
        <f t="array" ref="X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2" s="12">
        <f>VLOOKUP(Шаблон_Формулы[[#This Row],[24]],Курс_840[[Дата]:[Курс]],2,0)</f>
        <v>11370.11</v>
      </c>
      <c r="Z32" s="42">
        <f>IFERROR(Шаблон_Формулы[[#This Row],[23]]*Шаблон_Формулы[[#This Row],[25]],"")</f>
        <v>9568402.3694000002</v>
      </c>
      <c r="AA32" s="13" t="str" cm="1">
        <f t="array" ref="AA32">ACT_number[№ исходящего акта]</f>
        <v>426 LCL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7" cm="1">
        <f t="array" ref="E33">_xlfn.XLOOKUP($A33,ACT[[№]:[№]],ACT[Date of Dispatch/ 
Дата отгрузки],"",0,1)</f>
        <v>44965</v>
      </c>
      <c r="F33" s="38" t="str" cm="1">
        <f t="array" ref="F33">_xlfn.XLOOKUP($A33,ACT[[№]:[№]],ACT[Supplier/ Поставщик],"",0,1)</f>
        <v>Central</v>
      </c>
      <c r="G33" s="38" t="str" cm="1">
        <f t="array" ref="G33">_xlfn.XLOOKUP($A33,ACT[[№]:[№]],ACT[Supplier Invoice No/                          № Инвойса Поставщика],"",0,1)</f>
        <v>UZA230112</v>
      </c>
      <c r="H33" s="39" cm="1">
        <f t="array" ref="H33">_xlfn.XLOOKUP($A33,ACT[[№]:[№]],ACT[CBM],"",0,1)</f>
        <v>4.6360000000000001</v>
      </c>
      <c r="I33" s="39" cm="1">
        <f t="array" ref="I33">_xlfn.XLOOKUP($A33,ACT[[№]:[№]],ACT[Gross weight, kg/ Вес брутто, кг],"",0,1)</f>
        <v>1621.65</v>
      </c>
      <c r="J33" s="39" t="str" cm="1">
        <f t="array" ref="J33">_xlfn.XLOOKUP($A33,ACT[[№]:[№]],ACT[Delivery terms / Условия поставки],"",0,1)</f>
        <v>FOB</v>
      </c>
      <c r="K33" s="39" cm="1">
        <f t="array" ref="K33">_xlfn.XLOOKUP($A33,ACT[[№]:[№]],ACT[Container total CBM],"",0,1)</f>
        <v>56.303999999999995</v>
      </c>
      <c r="L33" s="40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40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40" cm="1">
        <f t="array" ref="N33">_xlfn.XLOOKUP($A33,ACT[[№]:[№]],ACT[Shoring, Banding, Sealing, Handling/ Крепление, Перевязка, Опечатование, Обработка
KRW],"",0,1)</f>
        <v>0</v>
      </c>
      <c r="O33" s="40" cm="1">
        <f t="array" ref="O33">_xlfn.XLOOKUP($A33,ACT[[№]:[№]],ACT[Documents Work/ Сбор за подготовку документов
KRW],"",0,1)</f>
        <v>0</v>
      </c>
      <c r="P33" s="40" cm="1">
        <f t="array" ref="P33">_xlfn.XLOOKUP($A33,ACT[[№]:[№]],ACT[THC/ Терминальная обработка
KRW],"",0,1)</f>
        <v>0</v>
      </c>
      <c r="Q33" s="40" cm="1">
        <f t="array" ref="Q33">_xlfn.XLOOKUP($A33,ACT[[№]:[№]],ACT[Wharfage/ Портовая пошлина
KRW],"",0,1)</f>
        <v>0</v>
      </c>
      <c r="R33" s="40" cm="1">
        <f t="array" ref="R33">_xlfn.XLOOKUP($A33,ACT[[№]:[№]],ACT[TRUCKING CHARGE],"",0,1)</f>
        <v>0</v>
      </c>
      <c r="S33" s="40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40" cm="1">
        <f t="array" ref="T33">_xlfn.XLOOKUP($A33,ACT[[№]:[№]],ACT[Special Wooden Shoring / Специальное деревянное крепление],"",0,1)</f>
        <v>0</v>
      </c>
      <c r="U33" s="9"/>
      <c r="V33" s="40" cm="1">
        <f t="array" ref="V33">_xlfn.XLOOKUP($A33,ACT[[№]:[№]],ACT[Total amount/ Общая стоимость KRW (10+11+12+13+14+15+16)],"",0,1)</f>
        <v>0</v>
      </c>
      <c r="W33" s="40" cm="1">
        <f t="array" ref="W33">_xlfn.XLOOKUP($A33,ACT[[№]:[№]],ACT[Total amount/ Общая стоимость (17*exchange rate/ обменный курс)
 USD],"",0,1)</f>
        <v>0</v>
      </c>
      <c r="X33" s="9" cm="1">
        <f t="array" ref="X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3" s="12">
        <f>VLOOKUP(Шаблон_Формулы[[#This Row],[24]],Курс_840[[Дата]:[Курс]],2,0)</f>
        <v>11370.11</v>
      </c>
      <c r="Z33" s="42">
        <f>IFERROR(Шаблон_Формулы[[#This Row],[23]]*Шаблон_Формулы[[#This Row],[25]],"")</f>
        <v>0</v>
      </c>
      <c r="AA33" s="13" t="str" cm="1">
        <f t="array" ref="AA33">ACT_number[№ исходящего акта]</f>
        <v>426 LCL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7" cm="1">
        <f t="array" ref="E34">_xlfn.XLOOKUP($A34,ACT[[№]:[№]],ACT[Date of Dispatch/ 
Дата отгрузки],"",0,1)</f>
        <v>44965</v>
      </c>
      <c r="F34" s="38" t="str" cm="1">
        <f t="array" ref="F34">_xlfn.XLOOKUP($A34,ACT[[№]:[№]],ACT[Supplier/ Поставщик],"",0,1)</f>
        <v>DAESHIN</v>
      </c>
      <c r="G34" s="38" t="str" cm="1">
        <f t="array" ref="G34">_xlfn.XLOOKUP($A34,ACT[[№]:[№]],ACT[Supplier Invoice No/                          № Инвойса Поставщика],"",0,1)</f>
        <v>U23011201</v>
      </c>
      <c r="H34" s="39" cm="1">
        <f t="array" ref="H34">_xlfn.XLOOKUP($A34,ACT[[№]:[№]],ACT[CBM],"",0,1)</f>
        <v>10.201000000000001</v>
      </c>
      <c r="I34" s="39" cm="1">
        <f t="array" ref="I34">_xlfn.XLOOKUP($A34,ACT[[№]:[№]],ACT[Gross weight, kg/ Вес брутто, кг],"",0,1)</f>
        <v>778.8</v>
      </c>
      <c r="J34" s="39" t="str" cm="1">
        <f t="array" ref="J34">_xlfn.XLOOKUP($A34,ACT[[№]:[№]],ACT[Delivery terms / Условия поставки],"",0,1)</f>
        <v>FCA</v>
      </c>
      <c r="K34" s="39" cm="1">
        <f t="array" ref="K34">_xlfn.XLOOKUP($A34,ACT[[№]:[№]],ACT[Container total CBM],"",0,1)</f>
        <v>56.303999999999995</v>
      </c>
      <c r="L34" s="40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40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40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40" cm="1">
        <f t="array" ref="O34">_xlfn.XLOOKUP($A34,ACT[[№]:[№]],ACT[Documents Work/ Сбор за подготовку документов
KRW],"",0,1)</f>
        <v>9058.8590508667239</v>
      </c>
      <c r="P34" s="40" cm="1">
        <f t="array" ref="P34">_xlfn.XLOOKUP($A34,ACT[[№]:[№]],ACT[THC/ Терминальная обработка
KRW],"",0,1)</f>
        <v>33590.249360613816</v>
      </c>
      <c r="Q34" s="40" cm="1">
        <f t="array" ref="Q34">_xlfn.XLOOKUP($A34,ACT[[№]:[№]],ACT[Wharfage/ Портовая пошлина
KRW],"",0,1)</f>
        <v>1648.7123472577441</v>
      </c>
      <c r="R34" s="40" cm="1">
        <f t="array" ref="R34">_xlfn.XLOOKUP($A34,ACT[[№]:[№]],ACT[TRUCKING CHARGE],"",0,1)</f>
        <v>0</v>
      </c>
      <c r="S34" s="40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40" cm="1">
        <f t="array" ref="T34">_xlfn.XLOOKUP($A34,ACT[[№]:[№]],ACT[Special Wooden Shoring / Специальное деревянное крепление],"",0,1)</f>
        <v>0</v>
      </c>
      <c r="U34" s="9"/>
      <c r="V34" s="40" cm="1">
        <f t="array" ref="V34">_xlfn.XLOOKUP($A34,ACT[[№]:[№]],ACT[Total amount/ Общая стоимость KRW (10+11+12+13+14+15+16)],"",0,1)</f>
        <v>664836.64771525993</v>
      </c>
      <c r="W34" s="40" cm="1">
        <f t="array" ref="W34">_xlfn.XLOOKUP($A34,ACT[[№]:[№]],ACT[Total amount/ Общая стоимость (17*exchange rate/ обменный курс)
 USD],"",0,1)</f>
        <v>523.19000000000005</v>
      </c>
      <c r="X34" s="9" cm="1">
        <f t="array" ref="X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4" s="12">
        <f>VLOOKUP(Шаблон_Формулы[[#This Row],[24]],Курс_840[[Дата]:[Курс]],2,0)</f>
        <v>11370.11</v>
      </c>
      <c r="Z34" s="42">
        <f>IFERROR(Шаблон_Формулы[[#This Row],[23]]*Шаблон_Формулы[[#This Row],[25]],"")</f>
        <v>5948727.8509000009</v>
      </c>
      <c r="AA34" s="13" t="str" cm="1">
        <f t="array" ref="AA34">ACT_number[№ исходящего акта]</f>
        <v>426 LCL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7" cm="1">
        <f t="array" ref="E35">_xlfn.XLOOKUP($A35,ACT[[№]:[№]],ACT[Date of Dispatch/ 
Дата отгрузки],"",0,1)</f>
        <v>44965</v>
      </c>
      <c r="F35" s="38" t="str" cm="1">
        <f t="array" ref="F35">_xlfn.XLOOKUP($A35,ACT[[№]:[№]],ACT[Supplier/ Поставщик],"",0,1)</f>
        <v>Pyeonghwa</v>
      </c>
      <c r="G35" s="38" t="str" cm="1">
        <f t="array" ref="G35">_xlfn.XLOOKUP($A35,ACT[[№]:[№]],ACT[Supplier Invoice No/                          № Инвойса Поставщика],"",0,1)</f>
        <v>F230112U1</v>
      </c>
      <c r="H35" s="39" cm="1">
        <f t="array" ref="H35">_xlfn.XLOOKUP($A35,ACT[[№]:[№]],ACT[CBM],"",0,1)</f>
        <v>8.407</v>
      </c>
      <c r="I35" s="39" cm="1">
        <f t="array" ref="I35">_xlfn.XLOOKUP($A35,ACT[[№]:[№]],ACT[Gross weight, kg/ Вес брутто, кг],"",0,1)</f>
        <v>2004.04</v>
      </c>
      <c r="J35" s="39" t="str" cm="1">
        <f t="array" ref="J35">_xlfn.XLOOKUP($A35,ACT[[№]:[№]],ACT[Delivery terms / Условия поставки],"",0,1)</f>
        <v>FCA</v>
      </c>
      <c r="K35" s="39" cm="1">
        <f t="array" ref="K35">_xlfn.XLOOKUP($A35,ACT[[№]:[№]],ACT[Container total CBM],"",0,1)</f>
        <v>56.303999999999995</v>
      </c>
      <c r="L35" s="40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40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40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40" cm="1">
        <f t="array" ref="O35">_xlfn.XLOOKUP($A35,ACT[[№]:[№]],ACT[Documents Work/ Сбор за подготовку документов
KRW],"",0,1)</f>
        <v>7465.7217959647633</v>
      </c>
      <c r="P35" s="40" cm="1">
        <f t="array" ref="P35">_xlfn.XLOOKUP($A35,ACT[[№]:[№]],ACT[THC/ Терминальная обработка
KRW],"",0,1)</f>
        <v>27682.896419437344</v>
      </c>
      <c r="Q35" s="40" cm="1">
        <f t="array" ref="Q35">_xlfn.XLOOKUP($A35,ACT[[№]:[№]],ACT[Wharfage/ Портовая пошлина
KRW],"",0,1)</f>
        <v>1358.761366865587</v>
      </c>
      <c r="R35" s="40" cm="1">
        <f t="array" ref="R35">_xlfn.XLOOKUP($A35,ACT[[№]:[№]],ACT[TRUCKING CHARGE],"",0,1)</f>
        <v>0</v>
      </c>
      <c r="S35" s="40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40" cm="1">
        <f t="array" ref="T35">_xlfn.XLOOKUP($A35,ACT[[№]:[№]],ACT[Special Wooden Shoring / Специальное деревянное крепление],"",0,1)</f>
        <v>0</v>
      </c>
      <c r="U35" s="9"/>
      <c r="V35" s="40" cm="1">
        <f t="array" ref="V35">_xlfn.XLOOKUP($A35,ACT[[№]:[№]],ACT[Total amount/ Общая стоимость KRW (10+11+12+13+14+15+16)],"",0,1)</f>
        <v>463702.64653878944</v>
      </c>
      <c r="W35" s="40" cm="1">
        <f t="array" ref="W35">_xlfn.XLOOKUP($A35,ACT[[№]:[№]],ACT[Total amount/ Общая стоимость (17*exchange rate/ обменный курс)
 USD],"",0,1)</f>
        <v>364.91</v>
      </c>
      <c r="X35" s="9" cm="1">
        <f t="array" ref="X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5" s="12">
        <f>VLOOKUP(Шаблон_Формулы[[#This Row],[24]],Курс_840[[Дата]:[Курс]],2,0)</f>
        <v>11370.11</v>
      </c>
      <c r="Z35" s="42">
        <f>IFERROR(Шаблон_Формулы[[#This Row],[23]]*Шаблон_Формулы[[#This Row],[25]],"")</f>
        <v>4149066.8401000006</v>
      </c>
      <c r="AA35" s="13" t="str" cm="1">
        <f t="array" ref="AA35">ACT_number[№ исходящего акта]</f>
        <v>426 LCL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7" cm="1">
        <f t="array" ref="E36">_xlfn.XLOOKUP($A36,ACT[[№]:[№]],ACT[Date of Dispatch/ 
Дата отгрузки],"",0,1)</f>
        <v>44965</v>
      </c>
      <c r="F36" s="38" t="str" cm="1">
        <f t="array" ref="F36">_xlfn.XLOOKUP($A36,ACT[[№]:[№]],ACT[Supplier/ Поставщик],"",0,1)</f>
        <v>Pyeonghwa</v>
      </c>
      <c r="G36" s="38" t="str" cm="1">
        <f t="array" ref="G36">_xlfn.XLOOKUP($A36,ACT[[№]:[№]],ACT[Supplier Invoice No/                          № Инвойса Поставщика],"",0,1)</f>
        <v>F230112U2</v>
      </c>
      <c r="H36" s="39" cm="1">
        <f t="array" ref="H36">_xlfn.XLOOKUP($A36,ACT[[№]:[№]],ACT[CBM],"",0,1)</f>
        <v>0.86499999999999999</v>
      </c>
      <c r="I36" s="39" cm="1">
        <f t="array" ref="I36">_xlfn.XLOOKUP($A36,ACT[[№]:[№]],ACT[Gross weight, kg/ Вес брутто, кг],"",0,1)</f>
        <v>388.68</v>
      </c>
      <c r="J36" s="39" t="str" cm="1">
        <f t="array" ref="J36">_xlfn.XLOOKUP($A36,ACT[[№]:[№]],ACT[Delivery terms / Условия поставки],"",0,1)</f>
        <v>FCA</v>
      </c>
      <c r="K36" s="39" cm="1">
        <f t="array" ref="K36">_xlfn.XLOOKUP($A36,ACT[[№]:[№]],ACT[Container total CBM],"",0,1)</f>
        <v>56.303999999999995</v>
      </c>
      <c r="L36" s="40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40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40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40" cm="1">
        <f t="array" ref="O36">_xlfn.XLOOKUP($A36,ACT[[№]:[№]],ACT[Documents Work/ Сбор за подготовку документов
KRW],"",0,1)</f>
        <v>768.15146348394433</v>
      </c>
      <c r="P36" s="40" cm="1">
        <f t="array" ref="P36">_xlfn.XLOOKUP($A36,ACT[[№]:[№]],ACT[THC/ Терминальная обработка
KRW],"",0,1)</f>
        <v>2848.3056265984656</v>
      </c>
      <c r="Q36" s="40" cm="1">
        <f t="array" ref="Q36">_xlfn.XLOOKUP($A36,ACT[[№]:[№]],ACT[Wharfage/ Портовая пошлина
KRW],"",0,1)</f>
        <v>139.80356635407787</v>
      </c>
      <c r="R36" s="40" cm="1">
        <f t="array" ref="R36">_xlfn.XLOOKUP($A36,ACT[[№]:[№]],ACT[TRUCKING CHARGE],"",0,1)</f>
        <v>0</v>
      </c>
      <c r="S36" s="40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40" cm="1">
        <f t="array" ref="T36">_xlfn.XLOOKUP($A36,ACT[[№]:[№]],ACT[Special Wooden Shoring / Специальное деревянное крепление],"",0,1)</f>
        <v>0</v>
      </c>
      <c r="U36" s="9"/>
      <c r="V36" s="40" cm="1">
        <f t="array" ref="V36">_xlfn.XLOOKUP($A36,ACT[[№]:[№]],ACT[Total amount/ Общая стоимость KRW (10+11+12+13+14+15+16)],"",0,1)</f>
        <v>216386.79543904521</v>
      </c>
      <c r="W36" s="40" cm="1">
        <f t="array" ref="W36">_xlfn.XLOOKUP($A36,ACT[[№]:[№]],ACT[Total amount/ Общая стоимость (17*exchange rate/ обменный курс)
 USD],"",0,1)</f>
        <v>170.28</v>
      </c>
      <c r="X36" s="9" cm="1">
        <f t="array" ref="X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6" s="12">
        <f>VLOOKUP(Шаблон_Формулы[[#This Row],[24]],Курс_840[[Дата]:[Курс]],2,0)</f>
        <v>11370.11</v>
      </c>
      <c r="Z36" s="42">
        <f>IFERROR(Шаблон_Формулы[[#This Row],[23]]*Шаблон_Формулы[[#This Row],[25]],"")</f>
        <v>1936102.3308000001</v>
      </c>
      <c r="AA36" s="13" t="str" cm="1">
        <f t="array" ref="AA36">ACT_number[№ исходящего акта]</f>
        <v>426 LCL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7" cm="1">
        <f t="array" ref="E37">_xlfn.XLOOKUP($A37,ACT[[№]:[№]],ACT[Date of Dispatch/ 
Дата отгрузки],"",0,1)</f>
        <v>44965</v>
      </c>
      <c r="F37" s="38" t="str" cm="1">
        <f t="array" ref="F37">_xlfn.XLOOKUP($A37,ACT[[№]:[№]],ACT[Supplier/ Поставщик],"",0,1)</f>
        <v>Samsong</v>
      </c>
      <c r="G37" s="38" t="str" cm="1">
        <f t="array" ref="G37">_xlfn.XLOOKUP($A37,ACT[[№]:[№]],ACT[Supplier Invoice No/                          № Инвойса Поставщика],"",0,1)</f>
        <v>GM-UZ-231002</v>
      </c>
      <c r="H37" s="39" cm="1">
        <f t="array" ref="H37">_xlfn.XLOOKUP($A37,ACT[[№]:[№]],ACT[CBM],"",0,1)</f>
        <v>14.747</v>
      </c>
      <c r="I37" s="39" cm="1">
        <f t="array" ref="I37">_xlfn.XLOOKUP($A37,ACT[[№]:[№]],ACT[Gross weight, kg/ Вес брутто, кг],"",0,1)</f>
        <v>3012</v>
      </c>
      <c r="J37" s="39" t="str" cm="1">
        <f t="array" ref="J37">_xlfn.XLOOKUP($A37,ACT[[№]:[№]],ACT[Delivery terms / Условия поставки],"",0,1)</f>
        <v>FCA</v>
      </c>
      <c r="K37" s="39" cm="1">
        <f t="array" ref="K37">_xlfn.XLOOKUP($A37,ACT[[№]:[№]],ACT[Container total CBM],"",0,1)</f>
        <v>56.303999999999995</v>
      </c>
      <c r="L37" s="40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40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40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40" cm="1">
        <f t="array" ref="O37">_xlfn.XLOOKUP($A37,ACT[[№]:[№]],ACT[Documents Work/ Сбор за подготовку документов
KRW],"",0,1)</f>
        <v>13095.87240693379</v>
      </c>
      <c r="P37" s="40" cm="1">
        <f t="array" ref="P37">_xlfn.XLOOKUP($A37,ACT[[№]:[№]],ACT[THC/ Терминальная обработка
KRW],"",0,1)</f>
        <v>48559.494884910491</v>
      </c>
      <c r="Q37" s="40" cm="1">
        <f t="array" ref="Q37">_xlfn.XLOOKUP($A37,ACT[[№]:[№]],ACT[Wharfage/ Портовая пошлина
KRW],"",0,1)</f>
        <v>2383.4487780619497</v>
      </c>
      <c r="R37" s="40" cm="1">
        <f t="array" ref="R37">_xlfn.XLOOKUP($A37,ACT[[№]:[№]],ACT[TRUCKING CHARGE],"",0,1)</f>
        <v>0</v>
      </c>
      <c r="S37" s="40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40" cm="1">
        <f t="array" ref="T37">_xlfn.XLOOKUP($A37,ACT[[№]:[№]],ACT[Special Wooden Shoring / Специальное деревянное крепление],"",0,1)</f>
        <v>0</v>
      </c>
      <c r="U37" s="9"/>
      <c r="V37" s="40" cm="1">
        <f t="array" ref="V37">_xlfn.XLOOKUP($A37,ACT[[№]:[№]],ACT[Total amount/ Общая стоимость KRW (10+11+12+13+14+15+16)],"",0,1)</f>
        <v>529968.2917220802</v>
      </c>
      <c r="W37" s="40" cm="1">
        <f t="array" ref="W37">_xlfn.XLOOKUP($A37,ACT[[№]:[№]],ACT[Total amount/ Общая стоимость (17*exchange rate/ обменный курс)
 USD],"",0,1)</f>
        <v>417.05</v>
      </c>
      <c r="X37" s="9" cm="1">
        <f t="array" ref="X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7" s="12">
        <f>VLOOKUP(Шаблон_Формулы[[#This Row],[24]],Курс_840[[Дата]:[Курс]],2,0)</f>
        <v>11370.11</v>
      </c>
      <c r="Z37" s="42">
        <f>IFERROR(Шаблон_Формулы[[#This Row],[23]]*Шаблон_Формулы[[#This Row],[25]],"")</f>
        <v>4741904.3755000001</v>
      </c>
      <c r="AA37" s="13" t="str" cm="1">
        <f t="array" ref="AA37">ACT_number[№ исходящего акта]</f>
        <v>426 LCL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7" cm="1">
        <f t="array" ref="E38">_xlfn.XLOOKUP($A38,ACT[[№]:[№]],ACT[Date of Dispatch/ 
Дата отгрузки],"",0,1)</f>
        <v>44965</v>
      </c>
      <c r="F38" s="38" t="str" cm="1">
        <f t="array" ref="F38">_xlfn.XLOOKUP($A38,ACT[[№]:[№]],ACT[Supplier/ Поставщик],"",0,1)</f>
        <v>Hanyang Precision</v>
      </c>
      <c r="G38" s="38" t="str" cm="1">
        <f t="array" ref="G38">_xlfn.XLOOKUP($A38,ACT[[№]:[№]],ACT[Supplier Invoice No/                          № Инвойса Поставщика],"",0,1)</f>
        <v>HY230109U(15)</v>
      </c>
      <c r="H38" s="39" cm="1">
        <f t="array" ref="H38">_xlfn.XLOOKUP($A38,ACT[[№]:[№]],ACT[CBM],"",0,1)</f>
        <v>24.72</v>
      </c>
      <c r="I38" s="39" cm="1">
        <f t="array" ref="I38">_xlfn.XLOOKUP($A38,ACT[[№]:[№]],ACT[Gross weight, kg/ Вес брутто, кг],"",0,1)</f>
        <v>18480</v>
      </c>
      <c r="J38" s="39" t="str" cm="1">
        <f t="array" ref="J38">_xlfn.XLOOKUP($A38,ACT[[№]:[№]],ACT[Delivery terms / Условия поставки],"",0,1)</f>
        <v>FCA</v>
      </c>
      <c r="K38" s="39" cm="1">
        <f t="array" ref="K38">_xlfn.XLOOKUP($A38,ACT[[№]:[№]],ACT[Container total CBM],"",0,1)</f>
        <v>56.418999999999997</v>
      </c>
      <c r="L38" s="40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40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40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40" cm="1">
        <f t="array" ref="O38">_xlfn.XLOOKUP($A38,ACT[[№]:[№]],ACT[Documents Work/ Сбор за подготовку документов
KRW],"",0,1)</f>
        <v>21907.513426328005</v>
      </c>
      <c r="P38" s="40" cm="1">
        <f t="array" ref="P38">_xlfn.XLOOKUP($A38,ACT[[№]:[№]],ACT[THC/ Терминальная обработка
KRW],"",0,1)</f>
        <v>81233.059784824247</v>
      </c>
      <c r="Q38" s="40" cm="1">
        <f t="array" ref="Q38">_xlfn.XLOOKUP($A38,ACT[[№]:[№]],ACT[Wharfage/ Портовая пошлина
KRW],"",0,1)</f>
        <v>3987.1674435916966</v>
      </c>
      <c r="R38" s="40" cm="1">
        <f t="array" ref="R38">_xlfn.XLOOKUP($A38,ACT[[№]:[№]],ACT[TRUCKING CHARGE],"",0,1)</f>
        <v>0</v>
      </c>
      <c r="S38" s="40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40" cm="1">
        <f t="array" ref="T38">_xlfn.XLOOKUP($A38,ACT[[№]:[№]],ACT[Special Wooden Shoring / Специальное деревянное крепление],"",0,1)</f>
        <v>0</v>
      </c>
      <c r="U38" s="9"/>
      <c r="V38" s="40" cm="1">
        <f t="array" ref="V38">_xlfn.XLOOKUP($A38,ACT[[№]:[№]],ACT[Total amount/ Общая стоимость KRW (10+11+12+13+14+15+16)],"",0,1)</f>
        <v>1975315.2130168916</v>
      </c>
      <c r="W38" s="40" cm="1">
        <f t="array" ref="W38">_xlfn.XLOOKUP($A38,ACT[[№]:[№]],ACT[Total amount/ Общая стоимость (17*exchange rate/ обменный курс)
 USD],"",0,1)</f>
        <v>1554.46</v>
      </c>
      <c r="X38" s="9" cm="1">
        <f t="array" ref="X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8" s="12">
        <f>VLOOKUP(Шаблон_Формулы[[#This Row],[24]],Курс_840[[Дата]:[Курс]],2,0)</f>
        <v>11370.11</v>
      </c>
      <c r="Z38" s="42">
        <f>IFERROR(Шаблон_Формулы[[#This Row],[23]]*Шаблон_Формулы[[#This Row],[25]],"")</f>
        <v>17674381.1906</v>
      </c>
      <c r="AA38" s="13" t="str" cm="1">
        <f t="array" ref="AA38">ACT_number[№ исходящего акта]</f>
        <v>426 LCL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7" cm="1">
        <f t="array" ref="E39">_xlfn.XLOOKUP($A39,ACT[[№]:[№]],ACT[Date of Dispatch/ 
Дата отгрузки],"",0,1)</f>
        <v>44965</v>
      </c>
      <c r="F39" s="38" t="str" cm="1">
        <f t="array" ref="F39">_xlfn.XLOOKUP($A39,ACT[[№]:[№]],ACT[Supplier/ Поставщик],"",0,1)</f>
        <v>Cosmo Eng</v>
      </c>
      <c r="G39" s="38" t="str" cm="1">
        <f t="array" ref="G39">_xlfn.XLOOKUP($A39,ACT[[№]:[№]],ACT[Supplier Invoice No/                          № Инвойса Поставщика],"",0,1)</f>
        <v>UZ230102</v>
      </c>
      <c r="H39" s="39" cm="1">
        <f t="array" ref="H39">_xlfn.XLOOKUP($A39,ACT[[№]:[№]],ACT[CBM],"",0,1)</f>
        <v>31.440999999999999</v>
      </c>
      <c r="I39" s="39" cm="1">
        <f t="array" ref="I39">_xlfn.XLOOKUP($A39,ACT[[№]:[№]],ACT[Gross weight, kg/ Вес брутто, кг],"",0,1)</f>
        <v>2788</v>
      </c>
      <c r="J39" s="39" t="str" cm="1">
        <f t="array" ref="J39">_xlfn.XLOOKUP($A39,ACT[[№]:[№]],ACT[Delivery terms / Условия поставки],"",0,1)</f>
        <v>FCA</v>
      </c>
      <c r="K39" s="39" cm="1">
        <f t="array" ref="K39">_xlfn.XLOOKUP($A39,ACT[[№]:[№]],ACT[Container total CBM],"",0,1)</f>
        <v>56.418999999999997</v>
      </c>
      <c r="L39" s="40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40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40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40" cm="1">
        <f t="array" ref="O39">_xlfn.XLOOKUP($A39,ACT[[№]:[№]],ACT[Documents Work/ Сбор за подготовку документов
KRW],"",0,1)</f>
        <v>27863.840195678757</v>
      </c>
      <c r="P39" s="40" cm="1">
        <f t="array" ref="P39">_xlfn.XLOOKUP($A39,ACT[[№]:[№]],ACT[THC/ Терминальная обработка
KRW],"",0,1)</f>
        <v>103319.11944557684</v>
      </c>
      <c r="Q39" s="40" cm="1">
        <f t="array" ref="Q39">_xlfn.XLOOKUP($A39,ACT[[№]:[№]],ACT[Wharfage/ Портовая пошлина
KRW],"",0,1)</f>
        <v>5071.2189156135337</v>
      </c>
      <c r="R39" s="40" cm="1">
        <f t="array" ref="R39">_xlfn.XLOOKUP($A39,ACT[[№]:[№]],ACT[TRUCKING CHARGE],"",0,1)</f>
        <v>0</v>
      </c>
      <c r="S39" s="40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40" cm="1">
        <f t="array" ref="T39">_xlfn.XLOOKUP($A39,ACT[[№]:[№]],ACT[Special Wooden Shoring / Специальное деревянное крепление],"",0,1)</f>
        <v>0</v>
      </c>
      <c r="U39" s="9"/>
      <c r="V39" s="40" cm="1">
        <f t="array" ref="V39">_xlfn.XLOOKUP($A39,ACT[[№]:[№]],ACT[Total amount/ Общая стоимость KRW (10+11+12+13+14+15+16)],"",0,1)</f>
        <v>1419504.6566530778</v>
      </c>
      <c r="W39" s="40" cm="1">
        <f t="array" ref="W39">_xlfn.XLOOKUP($A39,ACT[[№]:[№]],ACT[Total amount/ Общая стоимость (17*exchange rate/ обменный курс)
 USD],"",0,1)</f>
        <v>1117.07</v>
      </c>
      <c r="X39" s="9" cm="1">
        <f t="array" ref="X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9" s="12">
        <f>VLOOKUP(Шаблон_Формулы[[#This Row],[24]],Курс_840[[Дата]:[Курс]],2,0)</f>
        <v>11370.11</v>
      </c>
      <c r="Z39" s="42">
        <f>IFERROR(Шаблон_Формулы[[#This Row],[23]]*Шаблон_Формулы[[#This Row],[25]],"")</f>
        <v>12701208.7777</v>
      </c>
      <c r="AA39" s="13" t="str" cm="1">
        <f t="array" ref="AA39">ACT_number[№ исходящего акта]</f>
        <v>426 LCL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7" cm="1">
        <f t="array" ref="E40">_xlfn.XLOOKUP($A40,ACT[[№]:[№]],ACT[Date of Dispatch/ 
Дата отгрузки],"",0,1)</f>
        <v>44965</v>
      </c>
      <c r="F40" s="38" t="str" cm="1">
        <f t="array" ref="F40">_xlfn.XLOOKUP($A40,ACT[[№]:[№]],ACT[Supplier/ Поставщик],"",0,1)</f>
        <v>Cosmo Eng</v>
      </c>
      <c r="G40" s="38" t="str" cm="1">
        <f t="array" ref="G40">_xlfn.XLOOKUP($A40,ACT[[№]:[№]],ACT[Supplier Invoice No/                          № Инвойса Поставщика],"",0,1)</f>
        <v>COSMO230101</v>
      </c>
      <c r="H40" s="39" cm="1">
        <f t="array" ref="H40">_xlfn.XLOOKUP($A40,ACT[[№]:[№]],ACT[CBM],"",0,1)</f>
        <v>0.25800000000000001</v>
      </c>
      <c r="I40" s="39" cm="1">
        <f t="array" ref="I40">_xlfn.XLOOKUP($A40,ACT[[№]:[№]],ACT[Gross weight, kg/ Вес брутто, кг],"",0,1)</f>
        <v>23</v>
      </c>
      <c r="J40" s="39" t="str" cm="1">
        <f t="array" ref="J40">_xlfn.XLOOKUP($A40,ACT[[№]:[№]],ACT[Delivery terms / Условия поставки],"",0,1)</f>
        <v>FCA</v>
      </c>
      <c r="K40" s="39" cm="1">
        <f t="array" ref="K40">_xlfn.XLOOKUP($A40,ACT[[№]:[№]],ACT[Container total CBM],"",0,1)</f>
        <v>56.418999999999997</v>
      </c>
      <c r="L40" s="40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40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40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40" cm="1">
        <f t="array" ref="O40">_xlfn.XLOOKUP($A40,ACT[[№]:[№]],ACT[Documents Work/ Сбор за подготовку документов
KRW],"",0,1)</f>
        <v>228.64637799322921</v>
      </c>
      <c r="P40" s="40" cm="1">
        <f t="array" ref="P40">_xlfn.XLOOKUP($A40,ACT[[№]:[№]],ACT[THC/ Терминальная обработка
KRW],"",0,1)</f>
        <v>847.820769598894</v>
      </c>
      <c r="Q40" s="40" cm="1">
        <f t="array" ref="Q40">_xlfn.XLOOKUP($A40,ACT[[№]:[№]],ACT[Wharfage/ Портовая пошлина
KRW],"",0,1)</f>
        <v>41.613640794767718</v>
      </c>
      <c r="R40" s="40" cm="1">
        <f t="array" ref="R40">_xlfn.XLOOKUP($A40,ACT[[№]:[№]],ACT[TRUCKING CHARGE],"",0,1)</f>
        <v>0</v>
      </c>
      <c r="S40" s="40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40" cm="1">
        <f t="array" ref="T40">_xlfn.XLOOKUP($A40,ACT[[№]:[№]],ACT[Special Wooden Shoring / Специальное деревянное крепление],"",0,1)</f>
        <v>0</v>
      </c>
      <c r="U40" s="9"/>
      <c r="V40" s="40" cm="1">
        <f t="array" ref="V40">_xlfn.XLOOKUP($A40,ACT[[№]:[№]],ACT[Total amount/ Общая стоимость KRW (10+11+12+13+14+15+16)],"",0,1)</f>
        <v>417477.44033003063</v>
      </c>
      <c r="W40" s="40" cm="1">
        <f t="array" ref="W40">_xlfn.XLOOKUP($A40,ACT[[№]:[№]],ACT[Total amount/ Общая стоимость (17*exchange rate/ обменный курс)
 USD],"",0,1)</f>
        <v>328.53</v>
      </c>
      <c r="X40" s="9" cm="1">
        <f t="array" ref="X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0" s="12">
        <f>VLOOKUP(Шаблон_Формулы[[#This Row],[24]],Курс_840[[Дата]:[Курс]],2,0)</f>
        <v>11370.11</v>
      </c>
      <c r="Z40" s="42">
        <f>IFERROR(Шаблон_Формулы[[#This Row],[23]]*Шаблон_Формулы[[#This Row],[25]],"")</f>
        <v>3735422.2382999999</v>
      </c>
      <c r="AA40" s="13" t="str" cm="1">
        <f t="array" ref="AA40">ACT_number[№ исходящего акта]</f>
        <v>426 LCL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7" cm="1">
        <f t="array" ref="E41">_xlfn.XLOOKUP($A41,ACT[[№]:[№]],ACT[Date of Dispatch/ 
Дата отгрузки],"",0,1)</f>
        <v>44965</v>
      </c>
      <c r="F41" s="38" t="str" cm="1">
        <f t="array" ref="F41">_xlfn.XLOOKUP($A41,ACT[[№]:[№]],ACT[Supplier/ Поставщик],"",0,1)</f>
        <v>Hanyang Precision</v>
      </c>
      <c r="G41" s="38" t="str" cm="1">
        <f t="array" ref="G41">_xlfn.XLOOKUP($A41,ACT[[№]:[№]],ACT[Supplier Invoice No/                          № Инвойса Поставщика],"",0,1)</f>
        <v>HY230109U(16)</v>
      </c>
      <c r="H41" s="39" cm="1">
        <f t="array" ref="H41">_xlfn.XLOOKUP($A41,ACT[[№]:[№]],ACT[CBM],"",0,1)</f>
        <v>20.518000000000001</v>
      </c>
      <c r="I41" s="39" cm="1">
        <f t="array" ref="I41">_xlfn.XLOOKUP($A41,ACT[[№]:[№]],ACT[Gross weight, kg/ Вес брутто, кг],"",0,1)</f>
        <v>15400</v>
      </c>
      <c r="J41" s="39" t="str" cm="1">
        <f t="array" ref="J41">_xlfn.XLOOKUP($A41,ACT[[№]:[№]],ACT[Delivery terms / Условия поставки],"",0,1)</f>
        <v>FCA</v>
      </c>
      <c r="K41" s="39" cm="1">
        <f t="array" ref="K41">_xlfn.XLOOKUP($A41,ACT[[№]:[№]],ACT[Container total CBM],"",0,1)</f>
        <v>49.645000000000003</v>
      </c>
      <c r="L41" s="40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40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40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40" cm="1">
        <f t="array" ref="O41">_xlfn.XLOOKUP($A41,ACT[[№]:[№]],ACT[Documents Work/ Сбор за подготовку документов
KRW],"",0,1)</f>
        <v>20664.719508510425</v>
      </c>
      <c r="P41" s="40" cm="1">
        <f t="array" ref="P41">_xlfn.XLOOKUP($A41,ACT[[№]:[№]],ACT[THC/ Терминальная обработка
KRW],"",0,1)</f>
        <v>76624.779937556654</v>
      </c>
      <c r="Q41" s="40" cm="1">
        <f t="array" ref="Q41">_xlfn.XLOOKUP($A41,ACT[[№]:[№]],ACT[Wharfage/ Портовая пошлина
KRW],"",0,1)</f>
        <v>3760.978950548897</v>
      </c>
      <c r="R41" s="40" cm="1">
        <f t="array" ref="R41">_xlfn.XLOOKUP($A41,ACT[[№]:[№]],ACT[TRUCKING CHARGE],"",0,1)</f>
        <v>0</v>
      </c>
      <c r="S41" s="40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40" cm="1">
        <f t="array" ref="T41">_xlfn.XLOOKUP($A41,ACT[[№]:[№]],ACT[Special Wooden Shoring / Специальное деревянное крепление],"",0,1)</f>
        <v>0</v>
      </c>
      <c r="U41" s="9"/>
      <c r="V41" s="40" cm="1">
        <f t="array" ref="V41">_xlfn.XLOOKUP($A41,ACT[[№]:[№]],ACT[Total amount/ Общая стоимость KRW (10+11+12+13+14+15+16)],"",0,1)</f>
        <v>1855773.8276543459</v>
      </c>
      <c r="W41" s="40" cm="1">
        <f t="array" ref="W41">_xlfn.XLOOKUP($A41,ACT[[№]:[№]],ACT[Total amount/ Общая стоимость (17*exchange rate/ обменный курс)
 USD],"",0,1)</f>
        <v>1460.39</v>
      </c>
      <c r="X41" s="9" cm="1">
        <f t="array" ref="X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1" s="12">
        <f>VLOOKUP(Шаблон_Формулы[[#This Row],[24]],Курс_840[[Дата]:[Курс]],2,0)</f>
        <v>11370.11</v>
      </c>
      <c r="Z41" s="42">
        <f>IFERROR(Шаблон_Формулы[[#This Row],[23]]*Шаблон_Формулы[[#This Row],[25]],"")</f>
        <v>16604794.942900002</v>
      </c>
      <c r="AA41" s="13" t="str" cm="1">
        <f t="array" ref="AA41">ACT_number[№ исходящего акта]</f>
        <v>426 LCL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7" cm="1">
        <f t="array" ref="E42">_xlfn.XLOOKUP($A42,ACT[[№]:[№]],ACT[Date of Dispatch/ 
Дата отгрузки],"",0,1)</f>
        <v>44965</v>
      </c>
      <c r="F42" s="38" t="str" cm="1">
        <f t="array" ref="F42">_xlfn.XLOOKUP($A42,ACT[[№]:[№]],ACT[Supplier/ Поставщик],"",0,1)</f>
        <v>UZAUTO KOREA</v>
      </c>
      <c r="G42" s="38" t="str" cm="1">
        <f t="array" ref="G42">_xlfn.XLOOKUP($A42,ACT[[№]:[№]],ACT[Supplier Invoice No/                          № Инвойса Поставщика],"",0,1)</f>
        <v>CNSMT-C230101DW</v>
      </c>
      <c r="H42" s="39" cm="1">
        <f t="array" ref="H42">_xlfn.XLOOKUP($A42,ACT[[№]:[№]],ACT[CBM],"",0,1)</f>
        <v>13.082000000000001</v>
      </c>
      <c r="I42" s="39" cm="1">
        <f t="array" ref="I42">_xlfn.XLOOKUP($A42,ACT[[№]:[№]],ACT[Gross weight, kg/ Вес брутто, кг],"",0,1)</f>
        <v>2893</v>
      </c>
      <c r="J42" s="39" t="str" cm="1">
        <f t="array" ref="J42">_xlfn.XLOOKUP($A42,ACT[[№]:[№]],ACT[Delivery terms / Условия поставки],"",0,1)</f>
        <v>FOB</v>
      </c>
      <c r="K42" s="39" cm="1">
        <f t="array" ref="K42">_xlfn.XLOOKUP($A42,ACT[[№]:[№]],ACT[Container total CBM],"",0,1)</f>
        <v>49.645000000000003</v>
      </c>
      <c r="L42" s="40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40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40" cm="1">
        <f t="array" ref="N42">_xlfn.XLOOKUP($A42,ACT[[№]:[№]],ACT[Shoring, Banding, Sealing, Handling/ Крепление, Перевязка, Опечатование, Обработка
KRW],"",0,1)</f>
        <v>0</v>
      </c>
      <c r="O42" s="40" cm="1">
        <f t="array" ref="O42">_xlfn.XLOOKUP($A42,ACT[[№]:[№]],ACT[Documents Work/ Сбор за подготовку документов
KRW],"",0,1)</f>
        <v>0</v>
      </c>
      <c r="P42" s="40" cm="1">
        <f t="array" ref="P42">_xlfn.XLOOKUP($A42,ACT[[№]:[№]],ACT[THC/ Терминальная обработка
KRW],"",0,1)</f>
        <v>0</v>
      </c>
      <c r="Q42" s="40" cm="1">
        <f t="array" ref="Q42">_xlfn.XLOOKUP($A42,ACT[[№]:[№]],ACT[Wharfage/ Портовая пошлина
KRW],"",0,1)</f>
        <v>0</v>
      </c>
      <c r="R42" s="40" cm="1">
        <f t="array" ref="R42">_xlfn.XLOOKUP($A42,ACT[[№]:[№]],ACT[TRUCKING CHARGE],"",0,1)</f>
        <v>0</v>
      </c>
      <c r="S42" s="40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40" cm="1">
        <f t="array" ref="T42">_xlfn.XLOOKUP($A42,ACT[[№]:[№]],ACT[Special Wooden Shoring / Специальное деревянное крепление],"",0,1)</f>
        <v>0</v>
      </c>
      <c r="U42" s="9"/>
      <c r="V42" s="40" cm="1">
        <f t="array" ref="V42">_xlfn.XLOOKUP($A42,ACT[[№]:[№]],ACT[Total amount/ Общая стоимость KRW (10+11+12+13+14+15+16)],"",0,1)</f>
        <v>0</v>
      </c>
      <c r="W42" s="40" cm="1">
        <f t="array" ref="W42">_xlfn.XLOOKUP($A42,ACT[[№]:[№]],ACT[Total amount/ Общая стоимость (17*exchange rate/ обменный курс)
 USD],"",0,1)</f>
        <v>0</v>
      </c>
      <c r="X42" s="9" cm="1">
        <f t="array" ref="X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2" s="12">
        <f>VLOOKUP(Шаблон_Формулы[[#This Row],[24]],Курс_840[[Дата]:[Курс]],2,0)</f>
        <v>11370.11</v>
      </c>
      <c r="Z42" s="42">
        <f>IFERROR(Шаблон_Формулы[[#This Row],[23]]*Шаблон_Формулы[[#This Row],[25]],"")</f>
        <v>0</v>
      </c>
      <c r="AA42" s="13" t="str" cm="1">
        <f t="array" ref="AA42">ACT_number[№ исходящего акта]</f>
        <v>426 LCL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7" cm="1">
        <f t="array" ref="E43">_xlfn.XLOOKUP($A43,ACT[[№]:[№]],ACT[Date of Dispatch/ 
Дата отгрузки],"",0,1)</f>
        <v>44965</v>
      </c>
      <c r="F43" s="38" t="str" cm="1">
        <f t="array" ref="F43">_xlfn.XLOOKUP($A43,ACT[[№]:[№]],ACT[Supplier/ Поставщик],"",0,1)</f>
        <v>UZAUTO KOREA</v>
      </c>
      <c r="G43" s="38" t="str" cm="1">
        <f t="array" ref="G43">_xlfn.XLOOKUP($A43,ACT[[№]:[№]],ACT[Supplier Invoice No/                          № Инвойса Поставщика],"",0,1)</f>
        <v>CNSMT-C230102SM-4</v>
      </c>
      <c r="H43" s="39" cm="1">
        <f t="array" ref="H43">_xlfn.XLOOKUP($A43,ACT[[№]:[№]],ACT[CBM],"",0,1)</f>
        <v>16.045000000000002</v>
      </c>
      <c r="I43" s="39" cm="1">
        <f t="array" ref="I43">_xlfn.XLOOKUP($A43,ACT[[№]:[№]],ACT[Gross weight, kg/ Вес брутто, кг],"",0,1)</f>
        <v>1935</v>
      </c>
      <c r="J43" s="39" t="str" cm="1">
        <f t="array" ref="J43">_xlfn.XLOOKUP($A43,ACT[[№]:[№]],ACT[Delivery terms / Условия поставки],"",0,1)</f>
        <v>FOB</v>
      </c>
      <c r="K43" s="39" cm="1">
        <f t="array" ref="K43">_xlfn.XLOOKUP($A43,ACT[[№]:[№]],ACT[Container total CBM],"",0,1)</f>
        <v>49.645000000000003</v>
      </c>
      <c r="L43" s="40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40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40" cm="1">
        <f t="array" ref="N43">_xlfn.XLOOKUP($A43,ACT[[№]:[№]],ACT[Shoring, Banding, Sealing, Handling/ Крепление, Перевязка, Опечатование, Обработка
KRW],"",0,1)</f>
        <v>0</v>
      </c>
      <c r="O43" s="40" cm="1">
        <f t="array" ref="O43">_xlfn.XLOOKUP($A43,ACT[[№]:[№]],ACT[Documents Work/ Сбор за подготовку документов
KRW],"",0,1)</f>
        <v>0</v>
      </c>
      <c r="P43" s="40" cm="1">
        <f t="array" ref="P43">_xlfn.XLOOKUP($A43,ACT[[№]:[№]],ACT[THC/ Терминальная обработка
KRW],"",0,1)</f>
        <v>0</v>
      </c>
      <c r="Q43" s="40" cm="1">
        <f t="array" ref="Q43">_xlfn.XLOOKUP($A43,ACT[[№]:[№]],ACT[Wharfage/ Портовая пошлина
KRW],"",0,1)</f>
        <v>0</v>
      </c>
      <c r="R43" s="40" cm="1">
        <f t="array" ref="R43">_xlfn.XLOOKUP($A43,ACT[[№]:[№]],ACT[TRUCKING CHARGE],"",0,1)</f>
        <v>0</v>
      </c>
      <c r="S43" s="40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40" cm="1">
        <f t="array" ref="T43">_xlfn.XLOOKUP($A43,ACT[[№]:[№]],ACT[Special Wooden Shoring / Специальное деревянное крепление],"",0,1)</f>
        <v>0</v>
      </c>
      <c r="U43" s="9"/>
      <c r="V43" s="40" cm="1">
        <f t="array" ref="V43">_xlfn.XLOOKUP($A43,ACT[[№]:[№]],ACT[Total amount/ Общая стоимость KRW (10+11+12+13+14+15+16)],"",0,1)</f>
        <v>0</v>
      </c>
      <c r="W43" s="40" cm="1">
        <f t="array" ref="W43">_xlfn.XLOOKUP($A43,ACT[[№]:[№]],ACT[Total amount/ Общая стоимость (17*exchange rate/ обменный курс)
 USD],"",0,1)</f>
        <v>0</v>
      </c>
      <c r="X43" s="9" cm="1">
        <f t="array" ref="X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3" s="12">
        <f>VLOOKUP(Шаблон_Формулы[[#This Row],[24]],Курс_840[[Дата]:[Курс]],2,0)</f>
        <v>11370.11</v>
      </c>
      <c r="Z43" s="42">
        <f>IFERROR(Шаблон_Формулы[[#This Row],[23]]*Шаблон_Формулы[[#This Row],[25]],"")</f>
        <v>0</v>
      </c>
      <c r="AA43" s="13" t="str" cm="1">
        <f t="array" ref="AA43">ACT_number[№ исходящего акта]</f>
        <v>426 LCL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7" cm="1">
        <f t="array" ref="E44">_xlfn.XLOOKUP($A44,ACT[[№]:[№]],ACT[Date of Dispatch/ 
Дата отгрузки],"",0,1)</f>
        <v>44965</v>
      </c>
      <c r="F44" s="38" t="str" cm="1">
        <f t="array" ref="F44">_xlfn.XLOOKUP($A44,ACT[[№]:[№]],ACT[Supplier/ Поставщик],"",0,1)</f>
        <v>Hanyang Precision</v>
      </c>
      <c r="G44" s="38" t="str" cm="1">
        <f t="array" ref="G44">_xlfn.XLOOKUP($A44,ACT[[№]:[№]],ACT[Supplier Invoice No/                          № Инвойса Поставщика],"",0,1)</f>
        <v>HY230109U(17)</v>
      </c>
      <c r="H44" s="39" cm="1">
        <f t="array" ref="H44">_xlfn.XLOOKUP($A44,ACT[[№]:[№]],ACT[CBM],"",0,1)</f>
        <v>14.32</v>
      </c>
      <c r="I44" s="39" cm="1">
        <f t="array" ref="I44">_xlfn.XLOOKUP($A44,ACT[[№]:[№]],ACT[Gross weight, kg/ Вес брутто, кг],"",0,1)</f>
        <v>10780</v>
      </c>
      <c r="J44" s="39" t="str" cm="1">
        <f t="array" ref="J44">_xlfn.XLOOKUP($A44,ACT[[№]:[№]],ACT[Delivery terms / Условия поставки],"",0,1)</f>
        <v>FCA</v>
      </c>
      <c r="K44" s="39" cm="1">
        <f t="array" ref="K44">_xlfn.XLOOKUP($A44,ACT[[№]:[№]],ACT[Container total CBM],"",0,1)</f>
        <v>56.81</v>
      </c>
      <c r="L44" s="40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40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40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40" cm="1">
        <f t="array" ref="O44">_xlfn.XLOOKUP($A44,ACT[[№]:[№]],ACT[Documents Work/ Сбор за подготовку документов
KRW],"",0,1)</f>
        <v>12603.414891744413</v>
      </c>
      <c r="P44" s="40" cm="1">
        <f t="array" ref="P44">_xlfn.XLOOKUP($A44,ACT[[№]:[№]],ACT[THC/ Терминальная обработка
KRW],"",0,1)</f>
        <v>46733.462418588271</v>
      </c>
      <c r="Q44" s="40" cm="1">
        <f t="array" ref="Q44">_xlfn.XLOOKUP($A44,ACT[[№]:[№]],ACT[Wharfage/ Портовая пошлина
KRW],"",0,1)</f>
        <v>2293.8215102974827</v>
      </c>
      <c r="R44" s="40" cm="1">
        <f t="array" ref="R44">_xlfn.XLOOKUP($A44,ACT[[№]:[№]],ACT[TRUCKING CHARGE],"",0,1)</f>
        <v>0</v>
      </c>
      <c r="S44" s="40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40" cm="1">
        <f t="array" ref="T44">_xlfn.XLOOKUP($A44,ACT[[№]:[№]],ACT[Special Wooden Shoring / Специальное деревянное крепление],"",0,1)</f>
        <v>0</v>
      </c>
      <c r="U44" s="9"/>
      <c r="V44" s="40" cm="1">
        <f t="array" ref="V44">_xlfn.XLOOKUP($A44,ACT[[№]:[№]],ACT[Total amount/ Общая стоимость KRW (10+11+12+13+14+15+16)],"",0,1)</f>
        <v>1054763.4924837176</v>
      </c>
      <c r="W44" s="40" cm="1">
        <f t="array" ref="W44">_xlfn.XLOOKUP($A44,ACT[[№]:[№]],ACT[Total amount/ Общая стоимость (17*exchange rate/ обменный курс)
 USD],"",0,1)</f>
        <v>830.04</v>
      </c>
      <c r="X44" s="9" cm="1">
        <f t="array" ref="X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4" s="12">
        <f>VLOOKUP(Шаблон_Формулы[[#This Row],[24]],Курс_840[[Дата]:[Курс]],2,0)</f>
        <v>11370.11</v>
      </c>
      <c r="Z44" s="42">
        <f>IFERROR(Шаблон_Формулы[[#This Row],[23]]*Шаблон_Формулы[[#This Row],[25]],"")</f>
        <v>9437646.1043999996</v>
      </c>
      <c r="AA44" s="13" t="str" cm="1">
        <f t="array" ref="AA44">ACT_number[№ исходящего акта]</f>
        <v>426 LCL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7" cm="1">
        <f t="array" ref="E45">_xlfn.XLOOKUP($A45,ACT[[№]:[№]],ACT[Date of Dispatch/ 
Дата отгрузки],"",0,1)</f>
        <v>44965</v>
      </c>
      <c r="F45" s="38" t="str" cm="1">
        <f t="array" ref="F45">_xlfn.XLOOKUP($A45,ACT[[№]:[№]],ACT[Supplier/ Поставщик],"",0,1)</f>
        <v>Cosmo Eng</v>
      </c>
      <c r="G45" s="38" t="str" cm="1">
        <f t="array" ref="G45">_xlfn.XLOOKUP($A45,ACT[[№]:[№]],ACT[Supplier Invoice No/                          № Инвойса Поставщика],"",0,1)</f>
        <v>GUZ230102(1)</v>
      </c>
      <c r="H45" s="39" cm="1">
        <f t="array" ref="H45">_xlfn.XLOOKUP($A45,ACT[[№]:[№]],ACT[CBM],"",0,1)</f>
        <v>27.094999999999999</v>
      </c>
      <c r="I45" s="39" cm="1">
        <f t="array" ref="I45">_xlfn.XLOOKUP($A45,ACT[[№]:[№]],ACT[Gross weight, kg/ Вес брутто, кг],"",0,1)</f>
        <v>1908</v>
      </c>
      <c r="J45" s="39" t="str" cm="1">
        <f t="array" ref="J45">_xlfn.XLOOKUP($A45,ACT[[№]:[№]],ACT[Delivery terms / Условия поставки],"",0,1)</f>
        <v>FCA</v>
      </c>
      <c r="K45" s="39" cm="1">
        <f t="array" ref="K45">_xlfn.XLOOKUP($A45,ACT[[№]:[№]],ACT[Container total CBM],"",0,1)</f>
        <v>56.81</v>
      </c>
      <c r="L45" s="40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40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40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40" cm="1">
        <f t="array" ref="O45">_xlfn.XLOOKUP($A45,ACT[[№]:[№]],ACT[Documents Work/ Сбор за подготовку документов
KRW],"",0,1)</f>
        <v>23847.033972892095</v>
      </c>
      <c r="P45" s="40" cm="1">
        <f t="array" ref="P45">_xlfn.XLOOKUP($A45,ACT[[№]:[№]],ACT[THC/ Терминальная обработка
KRW],"",0,1)</f>
        <v>88424.801971483888</v>
      </c>
      <c r="Q45" s="40" cm="1">
        <f t="array" ref="Q45">_xlfn.XLOOKUP($A45,ACT[[№]:[№]],ACT[Wharfage/ Портовая пошлина
KRW],"",0,1)</f>
        <v>4340.1601830663612</v>
      </c>
      <c r="R45" s="40" cm="1">
        <f t="array" ref="R45">_xlfn.XLOOKUP($A45,ACT[[№]:[№]],ACT[TRUCKING CHARGE],"",0,1)</f>
        <v>0</v>
      </c>
      <c r="S45" s="40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40" cm="1">
        <f t="array" ref="T45">_xlfn.XLOOKUP($A45,ACT[[№]:[№]],ACT[Special Wooden Shoring / Специальное деревянное крепление],"",0,1)</f>
        <v>0</v>
      </c>
      <c r="U45" s="9"/>
      <c r="V45" s="40" cm="1">
        <f t="array" ref="V45">_xlfn.XLOOKUP($A45,ACT[[№]:[№]],ACT[Total amount/ Общая стоимость KRW (10+11+12+13+14+15+16)],"",0,1)</f>
        <v>1324861.5103942968</v>
      </c>
      <c r="W45" s="40" cm="1">
        <f t="array" ref="W45">_xlfn.XLOOKUP($A45,ACT[[№]:[№]],ACT[Total amount/ Общая стоимость (17*exchange rate/ обменный курс)
 USD],"",0,1)</f>
        <v>1042.5899999999999</v>
      </c>
      <c r="X45" s="9" cm="1">
        <f t="array" ref="X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5" s="12">
        <f>VLOOKUP(Шаблон_Формулы[[#This Row],[24]],Курс_840[[Дата]:[Курс]],2,0)</f>
        <v>11370.11</v>
      </c>
      <c r="Z45" s="42">
        <f>IFERROR(Шаблон_Формулы[[#This Row],[23]]*Шаблон_Формулы[[#This Row],[25]],"")</f>
        <v>11854362.9849</v>
      </c>
      <c r="AA45" s="13" t="str" cm="1">
        <f t="array" ref="AA45">ACT_number[№ исходящего акта]</f>
        <v>426 LCL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7" cm="1">
        <f t="array" ref="E46">_xlfn.XLOOKUP($A46,ACT[[№]:[№]],ACT[Date of Dispatch/ 
Дата отгрузки],"",0,1)</f>
        <v>44965</v>
      </c>
      <c r="F46" s="38" t="str" cm="1">
        <f t="array" ref="F46">_xlfn.XLOOKUP($A46,ACT[[№]:[№]],ACT[Supplier/ Поставщик],"",0,1)</f>
        <v>Daewonkangup (DWKU)</v>
      </c>
      <c r="G46" s="38" t="str" cm="1">
        <f t="array" ref="G46">_xlfn.XLOOKUP($A46,ACT[[№]:[№]],ACT[Supplier Invoice No/                          № Инвойса Поставщика],"",0,1)</f>
        <v>DW230102</v>
      </c>
      <c r="H46" s="39" cm="1">
        <f t="array" ref="H46">_xlfn.XLOOKUP($A46,ACT[[№]:[№]],ACT[CBM],"",0,1)</f>
        <v>9.36</v>
      </c>
      <c r="I46" s="39" cm="1">
        <f t="array" ref="I46">_xlfn.XLOOKUP($A46,ACT[[№]:[№]],ACT[Gross weight, kg/ Вес брутто, кг],"",0,1)</f>
        <v>3864</v>
      </c>
      <c r="J46" s="39" t="str" cm="1">
        <f t="array" ref="J46">_xlfn.XLOOKUP($A46,ACT[[№]:[№]],ACT[Delivery terms / Условия поставки],"",0,1)</f>
        <v>FCA</v>
      </c>
      <c r="K46" s="39" cm="1">
        <f t="array" ref="K46">_xlfn.XLOOKUP($A46,ACT[[№]:[№]],ACT[Container total CBM],"",0,1)</f>
        <v>56.81</v>
      </c>
      <c r="L46" s="40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40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40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40" cm="1">
        <f t="array" ref="O46">_xlfn.XLOOKUP($A46,ACT[[№]:[№]],ACT[Documents Work/ Сбор за подготовку документов
KRW],"",0,1)</f>
        <v>8237.9862700228823</v>
      </c>
      <c r="P46" s="40" cm="1">
        <f t="array" ref="P46">_xlfn.XLOOKUP($A46,ACT[[№]:[№]],ACT[THC/ Терминальная обработка
KRW],"",0,1)</f>
        <v>30546.453089244849</v>
      </c>
      <c r="Q46" s="40" cm="1">
        <f t="array" ref="Q46">_xlfn.XLOOKUP($A46,ACT[[№]:[№]],ACT[Wharfage/ Портовая пошлина
KRW],"",0,1)</f>
        <v>1499.3135011441648</v>
      </c>
      <c r="R46" s="40" cm="1">
        <f t="array" ref="R46">_xlfn.XLOOKUP($A46,ACT[[№]:[№]],ACT[TRUCKING CHARGE],"",0,1)</f>
        <v>0</v>
      </c>
      <c r="S46" s="40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40" cm="1">
        <f t="array" ref="T46">_xlfn.XLOOKUP($A46,ACT[[№]:[№]],ACT[Special Wooden Shoring / Специальное деревянное крепление],"",0,1)</f>
        <v>0</v>
      </c>
      <c r="U46" s="9"/>
      <c r="V46" s="40" cm="1">
        <f t="array" ref="V46">_xlfn.XLOOKUP($A46,ACT[[№]:[№]],ACT[Total amount/ Общая стоимость KRW (10+11+12+13+14+15+16)],"",0,1)</f>
        <v>790895.690617849</v>
      </c>
      <c r="W46" s="40" cm="1">
        <f t="array" ref="W46">_xlfn.XLOOKUP($A46,ACT[[№]:[№]],ACT[Total amount/ Общая стоимость (17*exchange rate/ обменный курс)
 USD],"",0,1)</f>
        <v>622.39</v>
      </c>
      <c r="X46" s="9" cm="1">
        <f t="array" ref="X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6" s="12">
        <f>VLOOKUP(Шаблон_Формулы[[#This Row],[24]],Курс_840[[Дата]:[Курс]],2,0)</f>
        <v>11370.11</v>
      </c>
      <c r="Z46" s="42">
        <f>IFERROR(Шаблон_Формулы[[#This Row],[23]]*Шаблон_Формулы[[#This Row],[25]],"")</f>
        <v>7076642.7629000004</v>
      </c>
      <c r="AA46" s="13" t="str" cm="1">
        <f t="array" ref="AA46">ACT_number[№ исходящего акта]</f>
        <v>426 LCL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7" cm="1">
        <f t="array" ref="E47">_xlfn.XLOOKUP($A47,ACT[[№]:[№]],ACT[Date of Dispatch/ 
Дата отгрузки],"",0,1)</f>
        <v>44965</v>
      </c>
      <c r="F47" s="38" t="str" cm="1">
        <f t="array" ref="F47">_xlfn.XLOOKUP($A47,ACT[[№]:[№]],ACT[Supplier/ Поставщик],"",0,1)</f>
        <v>Samwon (GEM Project)</v>
      </c>
      <c r="G47" s="38" t="str" cm="1">
        <f t="array" ref="G47">_xlfn.XLOOKUP($A47,ACT[[№]:[№]],ACT[Supplier Invoice No/                          № Инвойса Поставщика],"",0,1)</f>
        <v>UZATK0035(1)</v>
      </c>
      <c r="H47" s="39" cm="1">
        <f t="array" ref="H47">_xlfn.XLOOKUP($A47,ACT[[№]:[№]],ACT[CBM],"",0,1)</f>
        <v>6.0350000000000001</v>
      </c>
      <c r="I47" s="39" cm="1">
        <f t="array" ref="I47">_xlfn.XLOOKUP($A47,ACT[[№]:[№]],ACT[Gross weight, kg/ Вес брутто, кг],"",0,1)</f>
        <v>1070.76</v>
      </c>
      <c r="J47" s="39" t="str" cm="1">
        <f t="array" ref="J47">_xlfn.XLOOKUP($A47,ACT[[№]:[№]],ACT[Delivery terms / Условия поставки],"",0,1)</f>
        <v>FCA</v>
      </c>
      <c r="K47" s="39" cm="1">
        <f t="array" ref="K47">_xlfn.XLOOKUP($A47,ACT[[№]:[№]],ACT[Container total CBM],"",0,1)</f>
        <v>56.81</v>
      </c>
      <c r="L47" s="40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40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40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40" cm="1">
        <f t="array" ref="O47">_xlfn.XLOOKUP($A47,ACT[[№]:[№]],ACT[Documents Work/ Сбор за подготовку документов
KRW],"",0,1)</f>
        <v>5311.5648653406088</v>
      </c>
      <c r="P47" s="40" cm="1">
        <f t="array" ref="P47">_xlfn.XLOOKUP($A47,ACT[[№]:[№]],ACT[THC/ Терминальная обработка
KRW],"",0,1)</f>
        <v>19695.282520682977</v>
      </c>
      <c r="Q47" s="40" cm="1">
        <f t="array" ref="Q47">_xlfn.XLOOKUP($A47,ACT[[№]:[№]],ACT[Wharfage/ Портовая пошлина
KRW],"",0,1)</f>
        <v>966.70480549199067</v>
      </c>
      <c r="R47" s="40" cm="1">
        <f t="array" ref="R47">_xlfn.XLOOKUP($A47,ACT[[№]:[№]],ACT[TRUCKING CHARGE],"",0,1)</f>
        <v>0</v>
      </c>
      <c r="S47" s="40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40" cm="1">
        <f t="array" ref="T47">_xlfn.XLOOKUP($A47,ACT[[№]:[№]],ACT[Special Wooden Shoring / Специальное деревянное крепление],"",0,1)</f>
        <v>0</v>
      </c>
      <c r="U47" s="9"/>
      <c r="V47" s="40" cm="1">
        <f t="array" ref="V47">_xlfn.XLOOKUP($A47,ACT[[№]:[№]],ACT[Total amount/ Общая стоимость KRW (10+11+12+13+14+15+16)],"",0,1)</f>
        <v>282096.20650413656</v>
      </c>
      <c r="W47" s="40" cm="1">
        <f t="array" ref="W47">_xlfn.XLOOKUP($A47,ACT[[№]:[№]],ACT[Total amount/ Общая стоимость (17*exchange rate/ обменный курс)
 USD],"",0,1)</f>
        <v>221.99</v>
      </c>
      <c r="X47" s="9" cm="1">
        <f t="array" ref="X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7" s="12">
        <f>VLOOKUP(Шаблон_Формулы[[#This Row],[24]],Курс_840[[Дата]:[Курс]],2,0)</f>
        <v>11370.11</v>
      </c>
      <c r="Z47" s="42">
        <f>IFERROR(Шаблон_Формулы[[#This Row],[23]]*Шаблон_Формулы[[#This Row],[25]],"")</f>
        <v>2524050.7189000002</v>
      </c>
      <c r="AA47" s="13" t="str" cm="1">
        <f t="array" ref="AA47">ACT_number[№ исходящего акта]</f>
        <v>426 LCL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7" cm="1">
        <f t="array" ref="E48">_xlfn.XLOOKUP($A48,ACT[[№]:[№]],ACT[Date of Dispatch/ 
Дата отгрузки],"",0,1)</f>
        <v>44965</v>
      </c>
      <c r="F48" s="38" t="str" cm="1">
        <f t="array" ref="F48">_xlfn.XLOOKUP($A48,ACT[[№]:[№]],ACT[Supplier/ Поставщик],"",0,1)</f>
        <v>Cosmo Eng</v>
      </c>
      <c r="G48" s="38" t="str" cm="1">
        <f t="array" ref="G48">_xlfn.XLOOKUP($A48,ACT[[№]:[№]],ACT[Supplier Invoice No/                          № Инвойса Поставщика],"",0,1)</f>
        <v>GUZ230102(2)</v>
      </c>
      <c r="H48" s="39" cm="1">
        <f t="array" ref="H48">_xlfn.XLOOKUP($A48,ACT[[№]:[№]],ACT[CBM],"",0,1)</f>
        <v>54.19</v>
      </c>
      <c r="I48" s="39" cm="1">
        <f t="array" ref="I48">_xlfn.XLOOKUP($A48,ACT[[№]:[№]],ACT[Gross weight, kg/ Вес брутто, кг],"",0,1)</f>
        <v>3815</v>
      </c>
      <c r="J48" s="39" t="str" cm="1">
        <f t="array" ref="J48">_xlfn.XLOOKUP($A48,ACT[[№]:[№]],ACT[Delivery terms / Условия поставки],"",0,1)</f>
        <v>FCA</v>
      </c>
      <c r="K48" s="39" cm="1">
        <f t="array" ref="K48">_xlfn.XLOOKUP($A48,ACT[[№]:[№]],ACT[Container total CBM],"",0,1)</f>
        <v>54.19</v>
      </c>
      <c r="L48" s="40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40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40" cm="1">
        <f t="array" ref="N48">_xlfn.XLOOKUP($A48,ACT[[№]:[№]],ACT[Shoring, Banding, Sealing, Handling/ Крепление, Перевязка, Опечатование, Обработка
KRW],"",0,1)</f>
        <v>193800</v>
      </c>
      <c r="O48" s="40" cm="1">
        <f t="array" ref="O48">_xlfn.XLOOKUP($A48,ACT[[№]:[№]],ACT[Documents Work/ Сбор за подготовку документов
KRW],"",0,1)</f>
        <v>50000</v>
      </c>
      <c r="P48" s="40" cm="1">
        <f t="array" ref="P48">_xlfn.XLOOKUP($A48,ACT[[№]:[№]],ACT[THC/ Терминальная обработка
KRW],"",0,1)</f>
        <v>185400</v>
      </c>
      <c r="Q48" s="40" cm="1">
        <f t="array" ref="Q48">_xlfn.XLOOKUP($A48,ACT[[№]:[№]],ACT[Wharfage/ Портовая пошлина
KRW],"",0,1)</f>
        <v>9100</v>
      </c>
      <c r="R48" s="40" cm="1">
        <f t="array" ref="R48">_xlfn.XLOOKUP($A48,ACT[[№]:[№]],ACT[TRUCKING CHARGE],"",0,1)</f>
        <v>0</v>
      </c>
      <c r="S48" s="40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40" cm="1">
        <f t="array" ref="T48">_xlfn.XLOOKUP($A48,ACT[[№]:[№]],ACT[Special Wooden Shoring / Специальное деревянное крепление],"",0,1)</f>
        <v>0</v>
      </c>
      <c r="U48" s="9"/>
      <c r="V48" s="40" cm="1">
        <f t="array" ref="V48">_xlfn.XLOOKUP($A48,ACT[[№]:[№]],ACT[Total amount/ Общая стоимость KRW (10+11+12+13+14+15+16)],"",0,1)</f>
        <v>2682873.1</v>
      </c>
      <c r="W48" s="40" cm="1">
        <f t="array" ref="W48">_xlfn.XLOOKUP($A48,ACT[[№]:[№]],ACT[Total amount/ Общая стоимость (17*exchange rate/ обменный курс)
 USD],"",0,1)</f>
        <v>2111.27</v>
      </c>
      <c r="X48" s="9" cm="1">
        <f t="array" ref="X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8" s="12">
        <f>VLOOKUP(Шаблон_Формулы[[#This Row],[24]],Курс_840[[Дата]:[Курс]],2,0)</f>
        <v>11370.11</v>
      </c>
      <c r="Z48" s="42">
        <f>IFERROR(Шаблон_Формулы[[#This Row],[23]]*Шаблон_Формулы[[#This Row],[25]],"")</f>
        <v>24005372.139699999</v>
      </c>
      <c r="AA48" s="13" t="str" cm="1">
        <f t="array" ref="AA48">ACT_number[№ исходящего акта]</f>
        <v>426 LCL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7" cm="1">
        <f t="array" ref="E49">_xlfn.XLOOKUP($A49,ACT[[№]:[№]],ACT[Date of Dispatch/ 
Дата отгрузки],"",0,1)</f>
        <v>44965</v>
      </c>
      <c r="F49" s="38" t="str" cm="1">
        <f t="array" ref="F49">_xlfn.XLOOKUP($A49,ACT[[№]:[№]],ACT[Supplier/ Поставщик],"",0,1)</f>
        <v>Schaeffler Ansan</v>
      </c>
      <c r="G49" s="38" t="str" cm="1">
        <f t="array" ref="G49">_xlfn.XLOOKUP($A49,ACT[[№]:[№]],ACT[Supplier Invoice No/                          № Инвойса Поставщика],"",0,1)</f>
        <v>198523074</v>
      </c>
      <c r="H49" s="39" cm="1">
        <f t="array" ref="H49">_xlfn.XLOOKUP($A49,ACT[[№]:[№]],ACT[CBM],"",0,1)</f>
        <v>9.8049999999999997</v>
      </c>
      <c r="I49" s="39" cm="1">
        <f t="array" ref="I49">_xlfn.XLOOKUP($A49,ACT[[№]:[№]],ACT[Gross weight, kg/ Вес брутто, кг],"",0,1)</f>
        <v>3148.4</v>
      </c>
      <c r="J49" s="39" t="str" cm="1">
        <f t="array" ref="J49">_xlfn.XLOOKUP($A49,ACT[[№]:[№]],ACT[Delivery terms / Условия поставки],"",0,1)</f>
        <v>FCA</v>
      </c>
      <c r="K49" s="39" cm="1">
        <f t="array" ref="K49">_xlfn.XLOOKUP($A49,ACT[[№]:[№]],ACT[Container total CBM],"",0,1)</f>
        <v>41.668999999999997</v>
      </c>
      <c r="L49" s="40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40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40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40" cm="1">
        <f t="array" ref="O49">_xlfn.XLOOKUP($A49,ACT[[№]:[№]],ACT[Documents Work/ Сбор за подготовку документов
KRW],"",0,1)</f>
        <v>11765.341140896107</v>
      </c>
      <c r="P49" s="40" cm="1">
        <f t="array" ref="P49">_xlfn.XLOOKUP($A49,ACT[[№]:[№]],ACT[THC/ Терминальная обработка
KRW],"",0,1)</f>
        <v>43625.884950442778</v>
      </c>
      <c r="Q49" s="40" cm="1">
        <f t="array" ref="Q49">_xlfn.XLOOKUP($A49,ACT[[№]:[№]],ACT[Wharfage/ Портовая пошлина
KRW],"",0,1)</f>
        <v>2141.2920876430921</v>
      </c>
      <c r="R49" s="40" cm="1">
        <f t="array" ref="R49">_xlfn.XLOOKUP($A49,ACT[[№]:[№]],ACT[TRUCKING CHARGE],"",0,1)</f>
        <v>0</v>
      </c>
      <c r="S49" s="40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40" cm="1">
        <f t="array" ref="T49">_xlfn.XLOOKUP($A49,ACT[[№]:[№]],ACT[Special Wooden Shoring / Специальное деревянное крепление],"",0,1)</f>
        <v>0</v>
      </c>
      <c r="U49" s="9"/>
      <c r="V49" s="40" cm="1">
        <f t="array" ref="V49">_xlfn.XLOOKUP($A49,ACT[[№]:[№]],ACT[Total amount/ Общая стоимость KRW (10+11+12+13+14+15+16)],"",0,1)</f>
        <v>737382.99424152239</v>
      </c>
      <c r="W49" s="40" cm="1">
        <f t="array" ref="W49">_xlfn.XLOOKUP($A49,ACT[[№]:[№]],ACT[Total amount/ Общая стоимость (17*exchange rate/ обменный курс)
 USD],"",0,1)</f>
        <v>580.28</v>
      </c>
      <c r="X49" s="9" cm="1">
        <f t="array" ref="X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9" s="12">
        <f>VLOOKUP(Шаблон_Формулы[[#This Row],[24]],Курс_840[[Дата]:[Курс]],2,0)</f>
        <v>11370.11</v>
      </c>
      <c r="Z49" s="42">
        <f>IFERROR(Шаблон_Формулы[[#This Row],[23]]*Шаблон_Формулы[[#This Row],[25]],"")</f>
        <v>6597847.4308000002</v>
      </c>
      <c r="AA49" s="13" t="str" cm="1">
        <f t="array" ref="AA49">ACT_number[№ исходящего акта]</f>
        <v>426 LCL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7" cm="1">
        <f t="array" ref="E50">_xlfn.XLOOKUP($A50,ACT[[№]:[№]],ACT[Date of Dispatch/ 
Дата отгрузки],"",0,1)</f>
        <v>44965</v>
      </c>
      <c r="F50" s="38" t="str" cm="1">
        <f t="array" ref="F50">_xlfn.XLOOKUP($A50,ACT[[№]:[№]],ACT[Supplier/ Поставщик],"",0,1)</f>
        <v>UZAUTO KOREA</v>
      </c>
      <c r="G50" s="38" t="str" cm="1">
        <f t="array" ref="G50">_xlfn.XLOOKUP($A50,ACT[[№]:[№]],ACT[Supplier Invoice No/                          № Инвойса Поставщика],"",0,1)</f>
        <v>UZST-C230102SM-3</v>
      </c>
      <c r="H50" s="39" cm="1">
        <f t="array" ref="H50">_xlfn.XLOOKUP($A50,ACT[[№]:[№]],ACT[CBM],"",0,1)</f>
        <v>27.72</v>
      </c>
      <c r="I50" s="39" cm="1">
        <f t="array" ref="I50">_xlfn.XLOOKUP($A50,ACT[[№]:[№]],ACT[Gross weight, kg/ Вес брутто, кг],"",0,1)</f>
        <v>20400</v>
      </c>
      <c r="J50" s="39" t="str" cm="1">
        <f t="array" ref="J50">_xlfn.XLOOKUP($A50,ACT[[№]:[№]],ACT[Delivery terms / Условия поставки],"",0,1)</f>
        <v>FOB</v>
      </c>
      <c r="K50" s="39" cm="1">
        <f t="array" ref="K50">_xlfn.XLOOKUP($A50,ACT[[№]:[№]],ACT[Container total CBM],"",0,1)</f>
        <v>41.668999999999997</v>
      </c>
      <c r="L50" s="40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40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40" cm="1">
        <f t="array" ref="N50">_xlfn.XLOOKUP($A50,ACT[[№]:[№]],ACT[Shoring, Banding, Sealing, Handling/ Крепление, Перевязка, Опечатование, Обработка
KRW],"",0,1)</f>
        <v>0</v>
      </c>
      <c r="O50" s="40" cm="1">
        <f t="array" ref="O50">_xlfn.XLOOKUP($A50,ACT[[№]:[№]],ACT[Documents Work/ Сбор за подготовку документов
KRW],"",0,1)</f>
        <v>0</v>
      </c>
      <c r="P50" s="40" cm="1">
        <f t="array" ref="P50">_xlfn.XLOOKUP($A50,ACT[[№]:[№]],ACT[THC/ Терминальная обработка
KRW],"",0,1)</f>
        <v>0</v>
      </c>
      <c r="Q50" s="40" cm="1">
        <f t="array" ref="Q50">_xlfn.XLOOKUP($A50,ACT[[№]:[№]],ACT[Wharfage/ Портовая пошлина
KRW],"",0,1)</f>
        <v>0</v>
      </c>
      <c r="R50" s="40" cm="1">
        <f t="array" ref="R50">_xlfn.XLOOKUP($A50,ACT[[№]:[№]],ACT[TRUCKING CHARGE],"",0,1)</f>
        <v>0</v>
      </c>
      <c r="S50" s="40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40" cm="1">
        <f t="array" ref="T50">_xlfn.XLOOKUP($A50,ACT[[№]:[№]],ACT[Special Wooden Shoring / Специальное деревянное крепление],"",0,1)</f>
        <v>0</v>
      </c>
      <c r="U50" s="9"/>
      <c r="V50" s="40" cm="1">
        <f t="array" ref="V50">_xlfn.XLOOKUP($A50,ACT[[№]:[№]],ACT[Total amount/ Общая стоимость KRW (10+11+12+13+14+15+16)],"",0,1)</f>
        <v>0</v>
      </c>
      <c r="W50" s="40" cm="1">
        <f t="array" ref="W50">_xlfn.XLOOKUP($A50,ACT[[№]:[№]],ACT[Total amount/ Общая стоимость (17*exchange rate/ обменный курс)
 USD],"",0,1)</f>
        <v>0</v>
      </c>
      <c r="X50" s="9" cm="1">
        <f t="array" ref="X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0" s="12">
        <f>VLOOKUP(Шаблон_Формулы[[#This Row],[24]],Курс_840[[Дата]:[Курс]],2,0)</f>
        <v>11370.11</v>
      </c>
      <c r="Z50" s="42">
        <f>IFERROR(Шаблон_Формулы[[#This Row],[23]]*Шаблон_Формулы[[#This Row],[25]],"")</f>
        <v>0</v>
      </c>
      <c r="AA50" s="13" t="str" cm="1">
        <f t="array" ref="AA50">ACT_number[№ исходящего акта]</f>
        <v>426 LCL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7" cm="1">
        <f t="array" ref="E51">_xlfn.XLOOKUP($A51,ACT[[№]:[№]],ACT[Date of Dispatch/ 
Дата отгрузки],"",0,1)</f>
        <v>44965</v>
      </c>
      <c r="F51" s="38" t="str" cm="1">
        <f t="array" ref="F51">_xlfn.XLOOKUP($A51,ACT[[№]:[№]],ACT[Supplier/ Поставщик],"",0,1)</f>
        <v>UZAUTO KOREA</v>
      </c>
      <c r="G51" s="38" t="str" cm="1">
        <f t="array" ref="G51">_xlfn.XLOOKUP($A51,ACT[[№]:[№]],ACT[Supplier Invoice No/                          № Инвойса Поставщика],"",0,1)</f>
        <v>UZST-C230101EC(1)</v>
      </c>
      <c r="H51" s="39" cm="1">
        <f t="array" ref="H51">_xlfn.XLOOKUP($A51,ACT[[№]:[№]],ACT[CBM],"",0,1)</f>
        <v>0.62</v>
      </c>
      <c r="I51" s="39" cm="1">
        <f t="array" ref="I51">_xlfn.XLOOKUP($A51,ACT[[№]:[№]],ACT[Gross weight, kg/ Вес брутто, кг],"",0,1)</f>
        <v>163</v>
      </c>
      <c r="J51" s="39" t="str" cm="1">
        <f t="array" ref="J51">_xlfn.XLOOKUP($A51,ACT[[№]:[№]],ACT[Delivery terms / Условия поставки],"",0,1)</f>
        <v>FOB</v>
      </c>
      <c r="K51" s="39" cm="1">
        <f t="array" ref="K51">_xlfn.XLOOKUP($A51,ACT[[№]:[№]],ACT[Container total CBM],"",0,1)</f>
        <v>41.668999999999997</v>
      </c>
      <c r="L51" s="40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40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40" cm="1">
        <f t="array" ref="N51">_xlfn.XLOOKUP($A51,ACT[[№]:[№]],ACT[Shoring, Banding, Sealing, Handling/ Крепление, Перевязка, Опечатование, Обработка
KRW],"",0,1)</f>
        <v>0</v>
      </c>
      <c r="O51" s="40" cm="1">
        <f t="array" ref="O51">_xlfn.XLOOKUP($A51,ACT[[№]:[№]],ACT[Documents Work/ Сбор за подготовку документов
KRW],"",0,1)</f>
        <v>0</v>
      </c>
      <c r="P51" s="40" cm="1">
        <f t="array" ref="P51">_xlfn.XLOOKUP($A51,ACT[[№]:[№]],ACT[THC/ Терминальная обработка
KRW],"",0,1)</f>
        <v>0</v>
      </c>
      <c r="Q51" s="40" cm="1">
        <f t="array" ref="Q51">_xlfn.XLOOKUP($A51,ACT[[№]:[№]],ACT[Wharfage/ Портовая пошлина
KRW],"",0,1)</f>
        <v>0</v>
      </c>
      <c r="R51" s="40" cm="1">
        <f t="array" ref="R51">_xlfn.XLOOKUP($A51,ACT[[№]:[№]],ACT[TRUCKING CHARGE],"",0,1)</f>
        <v>0</v>
      </c>
      <c r="S51" s="40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40" cm="1">
        <f t="array" ref="T51">_xlfn.XLOOKUP($A51,ACT[[№]:[№]],ACT[Special Wooden Shoring / Специальное деревянное крепление],"",0,1)</f>
        <v>0</v>
      </c>
      <c r="U51" s="9"/>
      <c r="V51" s="40" cm="1">
        <f t="array" ref="V51">_xlfn.XLOOKUP($A51,ACT[[№]:[№]],ACT[Total amount/ Общая стоимость KRW (10+11+12+13+14+15+16)],"",0,1)</f>
        <v>0</v>
      </c>
      <c r="W51" s="40" cm="1">
        <f t="array" ref="W51">_xlfn.XLOOKUP($A51,ACT[[№]:[№]],ACT[Total amount/ Общая стоимость (17*exchange rate/ обменный курс)
 USD],"",0,1)</f>
        <v>0</v>
      </c>
      <c r="X51" s="9" cm="1">
        <f t="array" ref="X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1" s="12">
        <f>VLOOKUP(Шаблон_Формулы[[#This Row],[24]],Курс_840[[Дата]:[Курс]],2,0)</f>
        <v>11370.11</v>
      </c>
      <c r="Z51" s="42">
        <f>IFERROR(Шаблон_Формулы[[#This Row],[23]]*Шаблон_Формулы[[#This Row],[25]],"")</f>
        <v>0</v>
      </c>
      <c r="AA51" s="13" t="str" cm="1">
        <f t="array" ref="AA51">ACT_number[№ исходящего акта]</f>
        <v>426 LCL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7" cm="1">
        <f t="array" ref="E52">_xlfn.XLOOKUP($A52,ACT[[№]:[№]],ACT[Date of Dispatch/ 
Дата отгрузки],"",0,1)</f>
        <v>44965</v>
      </c>
      <c r="F52" s="38" t="str" cm="1">
        <f t="array" ref="F52">_xlfn.XLOOKUP($A52,ACT[[№]:[№]],ACT[Supplier/ Поставщик],"",0,1)</f>
        <v>UZAUTO KOREA</v>
      </c>
      <c r="G52" s="38" t="str" cm="1">
        <f t="array" ref="G52">_xlfn.XLOOKUP($A52,ACT[[№]:[№]],ACT[Supplier Invoice No/                          № Инвойса Поставщика],"",0,1)</f>
        <v>UZST-C230101EC(2)</v>
      </c>
      <c r="H52" s="39" cm="1">
        <f t="array" ref="H52">_xlfn.XLOOKUP($A52,ACT[[№]:[№]],ACT[CBM],"",0,1)</f>
        <v>3.524</v>
      </c>
      <c r="I52" s="39" cm="1">
        <f t="array" ref="I52">_xlfn.XLOOKUP($A52,ACT[[№]:[№]],ACT[Gross weight, kg/ Вес брутто, кг],"",0,1)</f>
        <v>696</v>
      </c>
      <c r="J52" s="39" t="str" cm="1">
        <f t="array" ref="J52">_xlfn.XLOOKUP($A52,ACT[[№]:[№]],ACT[Delivery terms / Условия поставки],"",0,1)</f>
        <v>FOB</v>
      </c>
      <c r="K52" s="39" cm="1">
        <f t="array" ref="K52">_xlfn.XLOOKUP($A52,ACT[[№]:[№]],ACT[Container total CBM],"",0,1)</f>
        <v>41.668999999999997</v>
      </c>
      <c r="L52" s="40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40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40" cm="1">
        <f t="array" ref="N52">_xlfn.XLOOKUP($A52,ACT[[№]:[№]],ACT[Shoring, Banding, Sealing, Handling/ Крепление, Перевязка, Опечатование, Обработка
KRW],"",0,1)</f>
        <v>0</v>
      </c>
      <c r="O52" s="40" cm="1">
        <f t="array" ref="O52">_xlfn.XLOOKUP($A52,ACT[[№]:[№]],ACT[Documents Work/ Сбор за подготовку документов
KRW],"",0,1)</f>
        <v>0</v>
      </c>
      <c r="P52" s="40" cm="1">
        <f t="array" ref="P52">_xlfn.XLOOKUP($A52,ACT[[№]:[№]],ACT[THC/ Терминальная обработка
KRW],"",0,1)</f>
        <v>0</v>
      </c>
      <c r="Q52" s="40" cm="1">
        <f t="array" ref="Q52">_xlfn.XLOOKUP($A52,ACT[[№]:[№]],ACT[Wharfage/ Портовая пошлина
KRW],"",0,1)</f>
        <v>0</v>
      </c>
      <c r="R52" s="40" cm="1">
        <f t="array" ref="R52">_xlfn.XLOOKUP($A52,ACT[[№]:[№]],ACT[TRUCKING CHARGE],"",0,1)</f>
        <v>0</v>
      </c>
      <c r="S52" s="40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40" cm="1">
        <f t="array" ref="T52">_xlfn.XLOOKUP($A52,ACT[[№]:[№]],ACT[Special Wooden Shoring / Специальное деревянное крепление],"",0,1)</f>
        <v>0</v>
      </c>
      <c r="U52" s="9"/>
      <c r="V52" s="40" cm="1">
        <f t="array" ref="V52">_xlfn.XLOOKUP($A52,ACT[[№]:[№]],ACT[Total amount/ Общая стоимость KRW (10+11+12+13+14+15+16)],"",0,1)</f>
        <v>0</v>
      </c>
      <c r="W52" s="40" cm="1">
        <f t="array" ref="W52">_xlfn.XLOOKUP($A52,ACT[[№]:[№]],ACT[Total amount/ Общая стоимость (17*exchange rate/ обменный курс)
 USD],"",0,1)</f>
        <v>0</v>
      </c>
      <c r="X52" s="9" cm="1">
        <f t="array" ref="X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2" s="12">
        <f>VLOOKUP(Шаблон_Формулы[[#This Row],[24]],Курс_840[[Дата]:[Курс]],2,0)</f>
        <v>11370.11</v>
      </c>
      <c r="Z52" s="42">
        <f>IFERROR(Шаблон_Формулы[[#This Row],[23]]*Шаблон_Формулы[[#This Row],[25]],"")</f>
        <v>0</v>
      </c>
      <c r="AA52" s="13" t="str" cm="1">
        <f t="array" ref="AA52">ACT_number[№ исходящего акта]</f>
        <v>426 LCL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7" cm="1">
        <f t="array" ref="E53">_xlfn.XLOOKUP($A53,ACT[[№]:[№]],ACT[Date of Dispatch/ 
Дата отгрузки],"",0,1)</f>
        <v>44965</v>
      </c>
      <c r="F53" s="38" t="str" cm="1">
        <f t="array" ref="F53">_xlfn.XLOOKUP($A53,ACT[[№]:[№]],ACT[Supplier/ Поставщик],"",0,1)</f>
        <v>Henkel</v>
      </c>
      <c r="G53" s="38" t="str" cm="1">
        <f t="array" ref="G53">_xlfn.XLOOKUP($A53,ACT[[№]:[№]],ACT[Supplier Invoice No/                          № Инвойса Поставщика],"",0,1)</f>
        <v>UZAUTO-230102</v>
      </c>
      <c r="H53" s="39" cm="1">
        <f t="array" ref="H53">_xlfn.XLOOKUP($A53,ACT[[№]:[№]],ACT[CBM],"",0,1)</f>
        <v>4.67</v>
      </c>
      <c r="I53" s="39" cm="1">
        <f t="array" ref="I53">_xlfn.XLOOKUP($A53,ACT[[№]:[№]],ACT[Gross weight, kg/ Вес брутто, кг],"",0,1)</f>
        <v>2198</v>
      </c>
      <c r="J53" s="39" t="str" cm="1">
        <f t="array" ref="J53">_xlfn.XLOOKUP($A53,ACT[[№]:[№]],ACT[Delivery terms / Условия поставки],"",0,1)</f>
        <v>FCA</v>
      </c>
      <c r="K53" s="39" cm="1">
        <f t="array" ref="K53">_xlfn.XLOOKUP($A53,ACT[[№]:[№]],ACT[Container total CBM],"",0,1)</f>
        <v>53.075000000000003</v>
      </c>
      <c r="L53" s="40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40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40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40" cm="1">
        <f t="array" ref="O53">_xlfn.XLOOKUP($A53,ACT[[№]:[№]],ACT[Documents Work/ Сбор за подготовку документов
KRW],"",0,1)</f>
        <v>4399.4347621290626</v>
      </c>
      <c r="P53" s="40" cm="1">
        <f t="array" ref="P53">_xlfn.XLOOKUP($A53,ACT[[№]:[№]],ACT[THC/ Терминальная обработка
KRW],"",0,1)</f>
        <v>16313.104097974565</v>
      </c>
      <c r="Q53" s="40" cm="1">
        <f t="array" ref="Q53">_xlfn.XLOOKUP($A53,ACT[[№]:[№]],ACT[Wharfage/ Портовая пошлина
KRW],"",0,1)</f>
        <v>800.69712670748925</v>
      </c>
      <c r="R53" s="40" cm="1">
        <f t="array" ref="R53">_xlfn.XLOOKUP($A53,ACT[[№]:[№]],ACT[TRUCKING CHARGE],"",0,1)</f>
        <v>0</v>
      </c>
      <c r="S53" s="40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40" cm="1">
        <f t="array" ref="T53">_xlfn.XLOOKUP($A53,ACT[[№]:[№]],ACT[Special Wooden Shoring / Специальное деревянное крепление],"",0,1)</f>
        <v>0</v>
      </c>
      <c r="U53" s="9"/>
      <c r="V53" s="40" cm="1">
        <f t="array" ref="V53">_xlfn.XLOOKUP($A53,ACT[[№]:[№]],ACT[Total amount/ Общая стоимость KRW (10+11+12+13+14+15+16)],"",0,1)</f>
        <v>487894.57414036733</v>
      </c>
      <c r="W53" s="40" cm="1">
        <f t="array" ref="W53">_xlfn.XLOOKUP($A53,ACT[[№]:[№]],ACT[Total amount/ Общая стоимость (17*exchange rate/ обменный курс)
 USD],"",0,1)</f>
        <v>383.95</v>
      </c>
      <c r="X53" s="9" cm="1">
        <f t="array" ref="X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3" s="12">
        <f>VLOOKUP(Шаблон_Формулы[[#This Row],[24]],Курс_840[[Дата]:[Курс]],2,0)</f>
        <v>11370.11</v>
      </c>
      <c r="Z53" s="42">
        <f>IFERROR(Шаблон_Формулы[[#This Row],[23]]*Шаблон_Формулы[[#This Row],[25]],"")</f>
        <v>4365553.7345000003</v>
      </c>
      <c r="AA53" s="13" t="str" cm="1">
        <f t="array" ref="AA53">ACT_number[№ исходящего акта]</f>
        <v>426 LCL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7" cm="1">
        <f t="array" ref="E54">_xlfn.XLOOKUP($A54,ACT[[№]:[№]],ACT[Date of Dispatch/ 
Дата отгрузки],"",0,1)</f>
        <v>44965</v>
      </c>
      <c r="F54" s="38" t="str" cm="1">
        <f t="array" ref="F54">_xlfn.XLOOKUP($A54,ACT[[№]:[№]],ACT[Supplier/ Поставщик],"",0,1)</f>
        <v>UniTech</v>
      </c>
      <c r="G54" s="38" t="str" cm="1">
        <f t="array" ref="G54">_xlfn.XLOOKUP($A54,ACT[[№]:[№]],ACT[Supplier Invoice No/                          № Инвойса Поставщика],"",0,1)</f>
        <v>230114UZ-001 (SEA,2214)</v>
      </c>
      <c r="H54" s="39" cm="1">
        <f t="array" ref="H54">_xlfn.XLOOKUP($A54,ACT[[№]:[№]],ACT[CBM],"",0,1)</f>
        <v>12.054</v>
      </c>
      <c r="I54" s="39" cm="1">
        <f t="array" ref="I54">_xlfn.XLOOKUP($A54,ACT[[№]:[№]],ACT[Gross weight, kg/ Вес брутто, кг],"",0,1)</f>
        <v>7240</v>
      </c>
      <c r="J54" s="39" t="str" cm="1">
        <f t="array" ref="J54">_xlfn.XLOOKUP($A54,ACT[[№]:[№]],ACT[Delivery terms / Условия поставки],"",0,1)</f>
        <v>FCA</v>
      </c>
      <c r="K54" s="39" cm="1">
        <f t="array" ref="K54">_xlfn.XLOOKUP($A54,ACT[[№]:[№]],ACT[Container total CBM],"",0,1)</f>
        <v>53.075000000000003</v>
      </c>
      <c r="L54" s="40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40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40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40" cm="1">
        <f t="array" ref="O54">_xlfn.XLOOKUP($A54,ACT[[№]:[№]],ACT[Documents Work/ Сбор за подготовку документов
KRW],"",0,1)</f>
        <v>11355.628827131415</v>
      </c>
      <c r="P54" s="40" cm="1">
        <f t="array" ref="P54">_xlfn.XLOOKUP($A54,ACT[[№]:[№]],ACT[THC/ Терминальная обработка
KRW],"",0,1)</f>
        <v>42106.671691003299</v>
      </c>
      <c r="Q54" s="40" cm="1">
        <f t="array" ref="Q54">_xlfn.XLOOKUP($A54,ACT[[№]:[№]],ACT[Wharfage/ Портовая пошлина
KRW],"",0,1)</f>
        <v>2066.7244465379181</v>
      </c>
      <c r="R54" s="40" cm="1">
        <f t="array" ref="R54">_xlfn.XLOOKUP($A54,ACT[[№]:[№]],ACT[TRUCKING CHARGE],"",0,1)</f>
        <v>0</v>
      </c>
      <c r="S54" s="40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40" cm="1">
        <f t="array" ref="T54">_xlfn.XLOOKUP($A54,ACT[[№]:[№]],ACT[Special Wooden Shoring / Специальное деревянное крепление],"",0,1)</f>
        <v>0</v>
      </c>
      <c r="U54" s="9"/>
      <c r="V54" s="40" cm="1">
        <f t="array" ref="V54">_xlfn.XLOOKUP($A54,ACT[[№]:[№]],ACT[Total amount/ Общая стоимость KRW (10+11+12+13+14+15+16)],"",0,1)</f>
        <v>797586.98001884134</v>
      </c>
      <c r="W54" s="40" cm="1">
        <f t="array" ref="W54">_xlfn.XLOOKUP($A54,ACT[[№]:[№]],ACT[Total amount/ Общая стоимость (17*exchange rate/ обменный курс)
 USD],"",0,1)</f>
        <v>627.66</v>
      </c>
      <c r="X54" s="9" cm="1">
        <f t="array" ref="X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4" s="12">
        <f>VLOOKUP(Шаблон_Формулы[[#This Row],[24]],Курс_840[[Дата]:[Курс]],2,0)</f>
        <v>11370.11</v>
      </c>
      <c r="Z54" s="42">
        <f>IFERROR(Шаблон_Формулы[[#This Row],[23]]*Шаблон_Формулы[[#This Row],[25]],"")</f>
        <v>7136563.2426000005</v>
      </c>
      <c r="AA54" s="13" t="str" cm="1">
        <f t="array" ref="AA54">ACT_number[№ исходящего акта]</f>
        <v>426 LCL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7" cm="1">
        <f t="array" ref="E55">_xlfn.XLOOKUP($A55,ACT[[№]:[№]],ACT[Date of Dispatch/ 
Дата отгрузки],"",0,1)</f>
        <v>44965</v>
      </c>
      <c r="F55" s="38" t="str" cm="1">
        <f t="array" ref="F55">_xlfn.XLOOKUP($A55,ACT[[№]:[№]],ACT[Supplier/ Поставщик],"",0,1)</f>
        <v>Sehwa Automotive</v>
      </c>
      <c r="G55" s="38" t="str" cm="1">
        <f t="array" ref="G55">_xlfn.XLOOKUP($A55,ACT[[№]:[№]],ACT[Supplier Invoice No/                          № Инвойса Поставщика],"",0,1)</f>
        <v>SH-2301-UZ-4N02</v>
      </c>
      <c r="H55" s="39" cm="1">
        <f t="array" ref="H55">_xlfn.XLOOKUP($A55,ACT[[№]:[№]],ACT[CBM],"",0,1)</f>
        <v>10.53</v>
      </c>
      <c r="I55" s="39" cm="1">
        <f t="array" ref="I55">_xlfn.XLOOKUP($A55,ACT[[№]:[№]],ACT[Gross weight, kg/ Вес брутто, кг],"",0,1)</f>
        <v>6091</v>
      </c>
      <c r="J55" s="39" t="str" cm="1">
        <f t="array" ref="J55">_xlfn.XLOOKUP($A55,ACT[[№]:[№]],ACT[Delivery terms / Условия поставки],"",0,1)</f>
        <v>FCA</v>
      </c>
      <c r="K55" s="39" cm="1">
        <f t="array" ref="K55">_xlfn.XLOOKUP($A55,ACT[[№]:[№]],ACT[Container total CBM],"",0,1)</f>
        <v>53.075000000000003</v>
      </c>
      <c r="L55" s="40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40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40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40" cm="1">
        <f t="array" ref="O55">_xlfn.XLOOKUP($A55,ACT[[№]:[№]],ACT[Documents Work/ Сбор за подготовку документов
KRW],"",0,1)</f>
        <v>9919.9246349505393</v>
      </c>
      <c r="P55" s="40" cm="1">
        <f t="array" ref="P55">_xlfn.XLOOKUP($A55,ACT[[№]:[№]],ACT[THC/ Терминальная обработка
KRW],"",0,1)</f>
        <v>36783.080546396603</v>
      </c>
      <c r="Q55" s="40" cm="1">
        <f t="array" ref="Q55">_xlfn.XLOOKUP($A55,ACT[[№]:[№]],ACT[Wharfage/ Портовая пошлина
KRW],"",0,1)</f>
        <v>1805.4262835609984</v>
      </c>
      <c r="R55" s="40" cm="1">
        <f t="array" ref="R55">_xlfn.XLOOKUP($A55,ACT[[№]:[№]],ACT[TRUCKING CHARGE],"",0,1)</f>
        <v>0</v>
      </c>
      <c r="S55" s="40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40" cm="1">
        <f t="array" ref="T55">_xlfn.XLOOKUP($A55,ACT[[№]:[№]],ACT[Special Wooden Shoring / Специальное деревянное крепление],"",0,1)</f>
        <v>0</v>
      </c>
      <c r="U55" s="9"/>
      <c r="V55" s="40" cm="1">
        <f t="array" ref="V55">_xlfn.XLOOKUP($A55,ACT[[№]:[№]],ACT[Total amount/ Общая стоимость KRW (10+11+12+13+14+15+16)],"",0,1)</f>
        <v>794008.53655204899</v>
      </c>
      <c r="W55" s="40" cm="1">
        <f t="array" ref="W55">_xlfn.XLOOKUP($A55,ACT[[№]:[№]],ACT[Total amount/ Общая стоимость (17*exchange rate/ обменный курс)
 USD],"",0,1)</f>
        <v>624.84</v>
      </c>
      <c r="X55" s="9" cm="1">
        <f t="array" ref="X5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5" s="12">
        <f>VLOOKUP(Шаблон_Формулы[[#This Row],[24]],Курс_840[[Дата]:[Курс]],2,0)</f>
        <v>11370.11</v>
      </c>
      <c r="Z55" s="42">
        <f>IFERROR(Шаблон_Формулы[[#This Row],[23]]*Шаблон_Формулы[[#This Row],[25]],"")</f>
        <v>7104499.5324000008</v>
      </c>
      <c r="AA55" s="13" t="str" cm="1">
        <f t="array" ref="AA55">ACT_number[№ исходящего акта]</f>
        <v>426 LCL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7" cm="1">
        <f t="array" ref="E56">_xlfn.XLOOKUP($A56,ACT[[№]:[№]],ACT[Date of Dispatch/ 
Дата отгрузки],"",0,1)</f>
        <v>44965</v>
      </c>
      <c r="F56" s="38" t="str" cm="1">
        <f t="array" ref="F56">_xlfn.XLOOKUP($A56,ACT[[№]:[№]],ACT[Supplier/ Поставщик],"",0,1)</f>
        <v>UZAUTO KOREA</v>
      </c>
      <c r="G56" s="38" t="str" cm="1">
        <f t="array" ref="G56">_xlfn.XLOOKUP($A56,ACT[[№]:[№]],ACT[Supplier Invoice No/                          № Инвойса Поставщика],"",0,1)</f>
        <v xml:space="preserve"> UZST-C230110C </v>
      </c>
      <c r="H56" s="39" cm="1">
        <f t="array" ref="H56">_xlfn.XLOOKUP($A56,ACT[[№]:[№]],ACT[CBM],"",0,1)</f>
        <v>23.754999999999999</v>
      </c>
      <c r="I56" s="39" cm="1">
        <f t="array" ref="I56">_xlfn.XLOOKUP($A56,ACT[[№]:[№]],ACT[Gross weight, kg/ Вес брутто, кг],"",0,1)</f>
        <v>3397.92</v>
      </c>
      <c r="J56" s="39" t="str" cm="1">
        <f t="array" ref="J56">_xlfn.XLOOKUP($A56,ACT[[№]:[№]],ACT[Delivery terms / Условия поставки],"",0,1)</f>
        <v>FOB</v>
      </c>
      <c r="K56" s="39" cm="1">
        <f t="array" ref="K56">_xlfn.XLOOKUP($A56,ACT[[№]:[№]],ACT[Container total CBM],"",0,1)</f>
        <v>53.075000000000003</v>
      </c>
      <c r="L56" s="40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40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40" cm="1">
        <f t="array" ref="N56">_xlfn.XLOOKUP($A56,ACT[[№]:[№]],ACT[Shoring, Banding, Sealing, Handling/ Крепление, Перевязка, Опечатование, Обработка
KRW],"",0,1)</f>
        <v>0</v>
      </c>
      <c r="O56" s="40" cm="1">
        <f t="array" ref="O56">_xlfn.XLOOKUP($A56,ACT[[№]:[№]],ACT[Documents Work/ Сбор за подготовку документов
KRW],"",0,1)</f>
        <v>0</v>
      </c>
      <c r="P56" s="40" cm="1">
        <f t="array" ref="P56">_xlfn.XLOOKUP($A56,ACT[[№]:[№]],ACT[THC/ Терминальная обработка
KRW],"",0,1)</f>
        <v>0</v>
      </c>
      <c r="Q56" s="40" cm="1">
        <f t="array" ref="Q56">_xlfn.XLOOKUP($A56,ACT[[№]:[№]],ACT[Wharfage/ Портовая пошлина
KRW],"",0,1)</f>
        <v>0</v>
      </c>
      <c r="R56" s="40" cm="1">
        <f t="array" ref="R56">_xlfn.XLOOKUP($A56,ACT[[№]:[№]],ACT[TRUCKING CHARGE],"",0,1)</f>
        <v>0</v>
      </c>
      <c r="S56" s="40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40" cm="1">
        <f t="array" ref="T56">_xlfn.XLOOKUP($A56,ACT[[№]:[№]],ACT[Special Wooden Shoring / Специальное деревянное крепление],"",0,1)</f>
        <v>0</v>
      </c>
      <c r="U56" s="9"/>
      <c r="V56" s="40" cm="1">
        <f t="array" ref="V56">_xlfn.XLOOKUP($A56,ACT[[№]:[№]],ACT[Total amount/ Общая стоимость KRW (10+11+12+13+14+15+16)],"",0,1)</f>
        <v>0</v>
      </c>
      <c r="W56" s="40" cm="1">
        <f t="array" ref="W56">_xlfn.XLOOKUP($A56,ACT[[№]:[№]],ACT[Total amount/ Общая стоимость (17*exchange rate/ обменный курс)
 USD],"",0,1)</f>
        <v>0</v>
      </c>
      <c r="X56" s="9" cm="1">
        <f t="array" ref="X5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6" s="12">
        <f>VLOOKUP(Шаблон_Формулы[[#This Row],[24]],Курс_840[[Дата]:[Курс]],2,0)</f>
        <v>11370.11</v>
      </c>
      <c r="Z56" s="42">
        <f>IFERROR(Шаблон_Формулы[[#This Row],[23]]*Шаблон_Формулы[[#This Row],[25]],"")</f>
        <v>0</v>
      </c>
      <c r="AA56" s="13" t="str" cm="1">
        <f t="array" ref="AA56">ACT_number[№ исходящего акта]</f>
        <v>426 LCL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7" cm="1">
        <f t="array" ref="E57">_xlfn.XLOOKUP($A57,ACT[[№]:[№]],ACT[Date of Dispatch/ 
Дата отгрузки],"",0,1)</f>
        <v>44965</v>
      </c>
      <c r="F57" s="38" t="str" cm="1">
        <f t="array" ref="F57">_xlfn.XLOOKUP($A57,ACT[[№]:[№]],ACT[Supplier/ Поставщик],"",0,1)</f>
        <v>Punkang (GEM Project)</v>
      </c>
      <c r="G57" s="38" t="str" cm="1">
        <f t="array" ref="G57">_xlfn.XLOOKUP($A57,ACT[[№]:[№]],ACT[Supplier Invoice No/                          № Инвойса Поставщика],"",0,1)</f>
        <v>UZATK0035(2)</v>
      </c>
      <c r="H57" s="39" cm="1">
        <f t="array" ref="H57">_xlfn.XLOOKUP($A57,ACT[[№]:[№]],ACT[CBM],"",0,1)</f>
        <v>2.0659999999999998</v>
      </c>
      <c r="I57" s="39" cm="1">
        <f t="array" ref="I57">_xlfn.XLOOKUP($A57,ACT[[№]:[№]],ACT[Gross weight, kg/ Вес брутто, кг],"",0,1)</f>
        <v>2526.13</v>
      </c>
      <c r="J57" s="39" t="str" cm="1">
        <f t="array" ref="J57">_xlfn.XLOOKUP($A57,ACT[[№]:[№]],ACT[Delivery terms / Условия поставки],"",0,1)</f>
        <v>FCA</v>
      </c>
      <c r="K57" s="39" cm="1">
        <f t="array" ref="K57">_xlfn.XLOOKUP($A57,ACT[[№]:[№]],ACT[Container total CBM],"",0,1)</f>
        <v>53.075000000000003</v>
      </c>
      <c r="L57" s="40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40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40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40" cm="1">
        <f t="array" ref="O57">_xlfn.XLOOKUP($A57,ACT[[№]:[№]],ACT[Documents Work/ Сбор за подготовку документов
KRW],"",0,1)</f>
        <v>1946.3024022609511</v>
      </c>
      <c r="P57" s="40" cm="1">
        <f t="array" ref="P57">_xlfn.XLOOKUP($A57,ACT[[№]:[№]],ACT[THC/ Терминальная обработка
KRW],"",0,1)</f>
        <v>7216.8893075836077</v>
      </c>
      <c r="Q57" s="40" cm="1">
        <f t="array" ref="Q57">_xlfn.XLOOKUP($A57,ACT[[№]:[№]],ACT[Wharfage/ Портовая пошлина
KRW],"",0,1)</f>
        <v>354.22703721149315</v>
      </c>
      <c r="R57" s="40" cm="1">
        <f t="array" ref="R57">_xlfn.XLOOKUP($A57,ACT[[№]:[№]],ACT[TRUCKING CHARGE],"",0,1)</f>
        <v>0</v>
      </c>
      <c r="S57" s="40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40" cm="1">
        <f t="array" ref="T57">_xlfn.XLOOKUP($A57,ACT[[№]:[№]],ACT[Special Wooden Shoring / Специальное деревянное крепление],"",0,1)</f>
        <v>0</v>
      </c>
      <c r="U57" s="9"/>
      <c r="V57" s="40" cm="1">
        <f t="array" ref="V57">_xlfn.XLOOKUP($A57,ACT[[№]:[№]],ACT[Total amount/ Общая стоимость KRW (10+11+12+13+14+15+16)],"",0,1)</f>
        <v>436520.38333490345</v>
      </c>
      <c r="W57" s="40" cm="1">
        <f t="array" ref="W57">_xlfn.XLOOKUP($A57,ACT[[№]:[№]],ACT[Total amount/ Общая стоимость (17*exchange rate/ обменный курс)
 USD],"",0,1)</f>
        <v>343.52</v>
      </c>
      <c r="X57" s="9" cm="1">
        <f t="array" ref="X5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7" s="12">
        <f>VLOOKUP(Шаблон_Формулы[[#This Row],[24]],Курс_840[[Дата]:[Курс]],2,0)</f>
        <v>11370.11</v>
      </c>
      <c r="Z57" s="42">
        <f>IFERROR(Шаблон_Формулы[[#This Row],[23]]*Шаблон_Формулы[[#This Row],[25]],"")</f>
        <v>3905860.1872</v>
      </c>
      <c r="AA57" s="13" t="str" cm="1">
        <f t="array" ref="AA57">ACT_number[№ исходящего акта]</f>
        <v>426 LCL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7" cm="1">
        <f t="array" ref="E58">_xlfn.XLOOKUP($A58,ACT[[№]:[№]],ACT[Date of Dispatch/ 
Дата отгрузки],"",0,1)</f>
        <v>44965</v>
      </c>
      <c r="F58" s="38" t="str" cm="1">
        <f t="array" ref="F58">_xlfn.XLOOKUP($A58,ACT[[№]:[№]],ACT[Supplier/ Поставщик],"",0,1)</f>
        <v>Mando Wonju</v>
      </c>
      <c r="G58" s="38" t="str" cm="1">
        <f t="array" ref="G58">_xlfn.XLOOKUP($A58,ACT[[№]:[№]],ACT[Supplier Invoice No/                          № Инвойса Поставщика],"",0,1)</f>
        <v>CKSD2301042</v>
      </c>
      <c r="H58" s="39" cm="1">
        <f t="array" ref="H58">_xlfn.XLOOKUP($A58,ACT[[№]:[№]],ACT[CBM],"",0,1)</f>
        <v>51.600999999999999</v>
      </c>
      <c r="I58" s="39" cm="1">
        <f t="array" ref="I58">_xlfn.XLOOKUP($A58,ACT[[№]:[№]],ACT[Gross weight, kg/ Вес брутто, кг],"",0,1)</f>
        <v>9477.1</v>
      </c>
      <c r="J58" s="39" t="str" cm="1">
        <f t="array" ref="J58">_xlfn.XLOOKUP($A58,ACT[[№]:[№]],ACT[Delivery terms / Условия поставки],"",0,1)</f>
        <v>FCA</v>
      </c>
      <c r="K58" s="39" cm="1">
        <f t="array" ref="K58">_xlfn.XLOOKUP($A58,ACT[[№]:[№]],ACT[Container total CBM],"",0,1)</f>
        <v>66.710000000000008</v>
      </c>
      <c r="L58" s="40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40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40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40" cm="1">
        <f t="array" ref="O58">_xlfn.XLOOKUP($A58,ACT[[№]:[№]],ACT[Documents Work/ Сбор за подготовку документов
KRW],"",0,1)</f>
        <v>38675.610852945581</v>
      </c>
      <c r="P58" s="40" cm="1">
        <f t="array" ref="P58">_xlfn.XLOOKUP($A58,ACT[[№]:[№]],ACT[THC/ Терминальная обработка
KRW],"",0,1)</f>
        <v>143409.16504272222</v>
      </c>
      <c r="Q58" s="40" cm="1">
        <f t="array" ref="Q58">_xlfn.XLOOKUP($A58,ACT[[№]:[№]],ACT[Wharfage/ Портовая пошлина
KRW],"",0,1)</f>
        <v>7038.9611752360952</v>
      </c>
      <c r="R58" s="40" cm="1">
        <f t="array" ref="R58">_xlfn.XLOOKUP($A58,ACT[[№]:[№]],ACT[TRUCKING CHARGE],"",0,1)</f>
        <v>0</v>
      </c>
      <c r="S58" s="40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40" cm="1">
        <f t="array" ref="T58">_xlfn.XLOOKUP($A58,ACT[[№]:[№]],ACT[Special Wooden Shoring / Специальное деревянное крепление],"",0,1)</f>
        <v>0</v>
      </c>
      <c r="U58" s="9"/>
      <c r="V58" s="40" cm="1">
        <f t="array" ref="V58">_xlfn.XLOOKUP($A58,ACT[[№]:[№]],ACT[Total amount/ Общая стоимость KRW (10+11+12+13+14+15+16)],"",0,1)</f>
        <v>2032093.0716219456</v>
      </c>
      <c r="W58" s="40" cm="1">
        <f t="array" ref="W58">_xlfn.XLOOKUP($A58,ACT[[№]:[№]],ACT[Total amount/ Общая стоимость (17*exchange rate/ обменный курс)
 USD],"",0,1)</f>
        <v>1599.14</v>
      </c>
      <c r="X58" s="9" cm="1">
        <f t="array" ref="X5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8" s="12">
        <f>VLOOKUP(Шаблон_Формулы[[#This Row],[24]],Курс_840[[Дата]:[Курс]],2,0)</f>
        <v>11370.11</v>
      </c>
      <c r="Z58" s="42">
        <f>IFERROR(Шаблон_Формулы[[#This Row],[23]]*Шаблон_Формулы[[#This Row],[25]],"")</f>
        <v>18182397.705400001</v>
      </c>
      <c r="AA58" s="13" t="str" cm="1">
        <f t="array" ref="AA58">ACT_number[№ исходящего акта]</f>
        <v>426 LCL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7" cm="1">
        <f t="array" ref="E59">_xlfn.XLOOKUP($A59,ACT[[№]:[№]],ACT[Date of Dispatch/ 
Дата отгрузки],"",0,1)</f>
        <v>44965</v>
      </c>
      <c r="F59" s="38" t="str" cm="1">
        <f t="array" ref="F59">_xlfn.XLOOKUP($A59,ACT[[№]:[№]],ACT[Supplier/ Поставщик],"",0,1)</f>
        <v>Samshin</v>
      </c>
      <c r="G59" s="38" t="str" cm="1">
        <f t="array" ref="G59">_xlfn.XLOOKUP($A59,ACT[[№]:[№]],ACT[Supplier Invoice No/                          № Инвойса Поставщика],"",0,1)</f>
        <v>SUZ-2022-1228</v>
      </c>
      <c r="H59" s="39" cm="1">
        <f t="array" ref="H59">_xlfn.XLOOKUP($A59,ACT[[№]:[№]],ACT[CBM],"",0,1)</f>
        <v>0.59699999999999998</v>
      </c>
      <c r="I59" s="39" cm="1">
        <f t="array" ref="I59">_xlfn.XLOOKUP($A59,ACT[[№]:[№]],ACT[Gross weight, kg/ Вес брутто, кг],"",0,1)</f>
        <v>25</v>
      </c>
      <c r="J59" s="39" t="str" cm="1">
        <f t="array" ref="J59">_xlfn.XLOOKUP($A59,ACT[[№]:[№]],ACT[Delivery terms / Условия поставки],"",0,1)</f>
        <v>FCA</v>
      </c>
      <c r="K59" s="39" cm="1">
        <f t="array" ref="K59">_xlfn.XLOOKUP($A59,ACT[[№]:[№]],ACT[Container total CBM],"",0,1)</f>
        <v>66.710000000000008</v>
      </c>
      <c r="L59" s="40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40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40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40" cm="1">
        <f t="array" ref="O59">_xlfn.XLOOKUP($A59,ACT[[№]:[№]],ACT[Documents Work/ Сбор за подготовку документов
KRW],"",0,1)</f>
        <v>447.45915155149146</v>
      </c>
      <c r="P59" s="40" cm="1">
        <f t="array" ref="P59">_xlfn.XLOOKUP($A59,ACT[[№]:[№]],ACT[THC/ Терминальная обработка
KRW],"",0,1)</f>
        <v>1659.1785339529304</v>
      </c>
      <c r="Q59" s="40" cm="1">
        <f t="array" ref="Q59">_xlfn.XLOOKUP($A59,ACT[[№]:[№]],ACT[Wharfage/ Портовая пошлина
KRW],"",0,1)</f>
        <v>81.437565582371462</v>
      </c>
      <c r="R59" s="40" cm="1">
        <f t="array" ref="R59">_xlfn.XLOOKUP($A59,ACT[[№]:[№]],ACT[TRUCKING CHARGE],"",0,1)</f>
        <v>0</v>
      </c>
      <c r="S59" s="40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40" cm="1">
        <f t="array" ref="T59">_xlfn.XLOOKUP($A59,ACT[[№]:[№]],ACT[Special Wooden Shoring / Специальное деревянное крепление],"",0,1)</f>
        <v>0</v>
      </c>
      <c r="U59" s="9"/>
      <c r="V59" s="40" cm="1">
        <f t="array" ref="V59">_xlfn.XLOOKUP($A59,ACT[[№]:[№]],ACT[Total amount/ Общая стоимость KRW (10+11+12+13+14+15+16)],"",0,1)</f>
        <v>299501.20276270428</v>
      </c>
      <c r="W59" s="40" cm="1">
        <f t="array" ref="W59">_xlfn.XLOOKUP($A59,ACT[[№]:[№]],ACT[Total amount/ Общая стоимость (17*exchange rate/ обменный курс)
 USD],"",0,1)</f>
        <v>235.69</v>
      </c>
      <c r="X59" s="9" cm="1">
        <f t="array" ref="X5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9" s="12">
        <f>VLOOKUP(Шаблон_Формулы[[#This Row],[24]],Курс_840[[Дата]:[Курс]],2,0)</f>
        <v>11370.11</v>
      </c>
      <c r="Z59" s="42">
        <f>IFERROR(Шаблон_Формулы[[#This Row],[23]]*Шаблон_Формулы[[#This Row],[25]],"")</f>
        <v>2679821.2259</v>
      </c>
      <c r="AA59" s="13" t="str" cm="1">
        <f t="array" ref="AA59">ACT_number[№ исходящего акта]</f>
        <v>426 LCL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7" cm="1">
        <f t="array" ref="E60">_xlfn.XLOOKUP($A60,ACT[[№]:[№]],ACT[Date of Dispatch/ 
Дата отгрузки],"",0,1)</f>
        <v>44965</v>
      </c>
      <c r="F60" s="38" t="str" cm="1">
        <f t="array" ref="F60">_xlfn.XLOOKUP($A60,ACT[[№]:[№]],ACT[Supplier/ Поставщик],"",0,1)</f>
        <v>CheongHa (GEM Project)</v>
      </c>
      <c r="G60" s="38" t="str" cm="1">
        <f t="array" ref="G60">_xlfn.XLOOKUP($A60,ACT[[№]:[№]],ACT[Supplier Invoice No/                          № Инвойса Поставщика],"",0,1)</f>
        <v>UZATK0035(3)</v>
      </c>
      <c r="H60" s="39" cm="1">
        <f t="array" ref="H60">_xlfn.XLOOKUP($A60,ACT[[№]:[№]],ACT[CBM],"",0,1)</f>
        <v>8.0679999999999996</v>
      </c>
      <c r="I60" s="39" cm="1">
        <f t="array" ref="I60">_xlfn.XLOOKUP($A60,ACT[[№]:[№]],ACT[Gross weight, kg/ Вес брутто, кг],"",0,1)</f>
        <v>742</v>
      </c>
      <c r="J60" s="39" t="str" cm="1">
        <f t="array" ref="J60">_xlfn.XLOOKUP($A60,ACT[[№]:[№]],ACT[Delivery terms / Условия поставки],"",0,1)</f>
        <v>FCA</v>
      </c>
      <c r="K60" s="39" cm="1">
        <f t="array" ref="K60">_xlfn.XLOOKUP($A60,ACT[[№]:[№]],ACT[Container total CBM],"",0,1)</f>
        <v>66.710000000000008</v>
      </c>
      <c r="L60" s="40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40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40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40" cm="1">
        <f t="array" ref="O60">_xlfn.XLOOKUP($A60,ACT[[№]:[№]],ACT[Documents Work/ Сбор за подготовку документов
KRW],"",0,1)</f>
        <v>6047.0694048868227</v>
      </c>
      <c r="P60" s="40" cm="1">
        <f t="array" ref="P60">_xlfn.XLOOKUP($A60,ACT[[№]:[№]],ACT[THC/ Терминальная обработка
KRW],"",0,1)</f>
        <v>22422.533353320337</v>
      </c>
      <c r="Q60" s="40" cm="1">
        <f t="array" ref="Q60">_xlfn.XLOOKUP($A60,ACT[[№]:[№]],ACT[Wharfage/ Портовая пошлина
KRW],"",0,1)</f>
        <v>1100.5666316894017</v>
      </c>
      <c r="R60" s="40" cm="1">
        <f t="array" ref="R60">_xlfn.XLOOKUP($A60,ACT[[№]:[№]],ACT[TRUCKING CHARGE],"",0,1)</f>
        <v>0</v>
      </c>
      <c r="S60" s="40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40" cm="1">
        <f t="array" ref="T60">_xlfn.XLOOKUP($A60,ACT[[№]:[№]],ACT[Special Wooden Shoring / Специальное деревянное крепление],"",0,1)</f>
        <v>0</v>
      </c>
      <c r="U60" s="9"/>
      <c r="V60" s="40" cm="1">
        <f t="array" ref="V60">_xlfn.XLOOKUP($A60,ACT[[№]:[№]],ACT[Total amount/ Общая стоимость KRW (10+11+12+13+14+15+16)],"",0,1)</f>
        <v>620429.98976465291</v>
      </c>
      <c r="W60" s="40" cm="1">
        <f t="array" ref="W60">_xlfn.XLOOKUP($A60,ACT[[№]:[№]],ACT[Total amount/ Общая стоимость (17*exchange rate/ обменный курс)
 USD],"",0,1)</f>
        <v>488.24</v>
      </c>
      <c r="X60" s="9" cm="1">
        <f t="array" ref="X6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0" s="12">
        <f>VLOOKUP(Шаблон_Формулы[[#This Row],[24]],Курс_840[[Дата]:[Курс]],2,0)</f>
        <v>11370.11</v>
      </c>
      <c r="Z60" s="42">
        <f>IFERROR(Шаблон_Формулы[[#This Row],[23]]*Шаблон_Формулы[[#This Row],[25]],"")</f>
        <v>5551342.5064000003</v>
      </c>
      <c r="AA60" s="13" t="str" cm="1">
        <f t="array" ref="AA60">ACT_number[№ исходящего акта]</f>
        <v>426 LCL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7" cm="1">
        <f t="array" ref="E61">_xlfn.XLOOKUP($A61,ACT[[№]:[№]],ACT[Date of Dispatch/ 
Дата отгрузки],"",0,1)</f>
        <v>44965</v>
      </c>
      <c r="F61" s="38" t="str" cm="1">
        <f t="array" ref="F61">_xlfn.XLOOKUP($A61,ACT[[№]:[№]],ACT[Supplier/ Поставщик],"",0,1)</f>
        <v>Samshin(GEM Project)</v>
      </c>
      <c r="G61" s="38" t="str" cm="1">
        <f t="array" ref="G61">_xlfn.XLOOKUP($A61,ACT[[№]:[№]],ACT[Supplier Invoice No/                          № Инвойса Поставщика],"",0,1)</f>
        <v>UZATK0035(4)</v>
      </c>
      <c r="H61" s="39" cm="1">
        <f t="array" ref="H61">_xlfn.XLOOKUP($A61,ACT[[№]:[№]],ACT[CBM],"",0,1)</f>
        <v>2.1480000000000001</v>
      </c>
      <c r="I61" s="39" cm="1">
        <f t="array" ref="I61">_xlfn.XLOOKUP($A61,ACT[[№]:[№]],ACT[Gross weight, kg/ Вес брутто, кг],"",0,1)</f>
        <v>182</v>
      </c>
      <c r="J61" s="39" t="str" cm="1">
        <f t="array" ref="J61">_xlfn.XLOOKUP($A61,ACT[[№]:[№]],ACT[Delivery terms / Условия поставки],"",0,1)</f>
        <v>FCA</v>
      </c>
      <c r="K61" s="39" cm="1">
        <f t="array" ref="K61">_xlfn.XLOOKUP($A61,ACT[[№]:[№]],ACT[Container total CBM],"",0,1)</f>
        <v>66.710000000000008</v>
      </c>
      <c r="L61" s="40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40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40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40" cm="1">
        <f t="array" ref="O61">_xlfn.XLOOKUP($A61,ACT[[№]:[№]],ACT[Documents Work/ Сбор за подготовку документов
KRW],"",0,1)</f>
        <v>1609.9535302053664</v>
      </c>
      <c r="P61" s="40" cm="1">
        <f t="array" ref="P61">_xlfn.XLOOKUP($A61,ACT[[№]:[№]],ACT[THC/ Терминальная обработка
KRW],"",0,1)</f>
        <v>5969.707690001499</v>
      </c>
      <c r="Q61" s="40" cm="1">
        <f t="array" ref="Q61">_xlfn.XLOOKUP($A61,ACT[[№]:[№]],ACT[Wharfage/ Портовая пошлина
KRW],"",0,1)</f>
        <v>293.01154249737669</v>
      </c>
      <c r="R61" s="40" cm="1">
        <f t="array" ref="R61">_xlfn.XLOOKUP($A61,ACT[[№]:[№]],ACT[TRUCKING CHARGE],"",0,1)</f>
        <v>0</v>
      </c>
      <c r="S61" s="40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40" cm="1">
        <f t="array" ref="T61">_xlfn.XLOOKUP($A61,ACT[[№]:[№]],ACT[Special Wooden Shoring / Специальное деревянное крепление],"",0,1)</f>
        <v>0</v>
      </c>
      <c r="U61" s="9"/>
      <c r="V61" s="40" cm="1">
        <f t="array" ref="V61">_xlfn.XLOOKUP($A61,ACT[[№]:[№]],ACT[Total amount/ Общая стоимость KRW (10+11+12+13+14+15+16)],"",0,1)</f>
        <v>329381.21195023239</v>
      </c>
      <c r="W61" s="40" cm="1">
        <f t="array" ref="W61">_xlfn.XLOOKUP($A61,ACT[[№]:[№]],ACT[Total amount/ Общая стоимость (17*exchange rate/ обменный курс)
 USD],"",0,1)</f>
        <v>259.2</v>
      </c>
      <c r="X61" s="9" cm="1">
        <f t="array" ref="X6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1" s="12">
        <f>VLOOKUP(Шаблон_Формулы[[#This Row],[24]],Курс_840[[Дата]:[Курс]],2,0)</f>
        <v>11370.11</v>
      </c>
      <c r="Z61" s="42">
        <f>IFERROR(Шаблон_Формулы[[#This Row],[23]]*Шаблон_Формулы[[#This Row],[25]],"")</f>
        <v>2947132.5120000001</v>
      </c>
      <c r="AA61" s="13" t="str" cm="1">
        <f t="array" ref="AA61">ACT_number[№ исходящего акта]</f>
        <v>426 LCL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7" cm="1">
        <f t="array" ref="E62">_xlfn.XLOOKUP($A62,ACT[[№]:[№]],ACT[Date of Dispatch/ 
Дата отгрузки],"",0,1)</f>
        <v>44965</v>
      </c>
      <c r="F62" s="38" t="str" cm="1">
        <f t="array" ref="F62">_xlfn.XLOOKUP($A62,ACT[[№]:[№]],ACT[Supplier/ Поставщик],"",0,1)</f>
        <v>Samshin(GEM Project)</v>
      </c>
      <c r="G62" s="38" t="str" cm="1">
        <f t="array" ref="G62">_xlfn.XLOOKUP($A62,ACT[[№]:[№]],ACT[Supplier Invoice No/                          № Инвойса Поставщика],"",0,1)</f>
        <v>UZATK0035(5)</v>
      </c>
      <c r="H62" s="39" cm="1">
        <f t="array" ref="H62">_xlfn.XLOOKUP($A62,ACT[[№]:[№]],ACT[CBM],"",0,1)</f>
        <v>4.2960000000000003</v>
      </c>
      <c r="I62" s="39" cm="1">
        <f t="array" ref="I62">_xlfn.XLOOKUP($A62,ACT[[№]:[№]],ACT[Gross weight, kg/ Вес брутто, кг],"",0,1)</f>
        <v>378</v>
      </c>
      <c r="J62" s="39" t="str" cm="1">
        <f t="array" ref="J62">_xlfn.XLOOKUP($A62,ACT[[№]:[№]],ACT[Delivery terms / Условия поставки],"",0,1)</f>
        <v>FCA</v>
      </c>
      <c r="K62" s="39" cm="1">
        <f t="array" ref="K62">_xlfn.XLOOKUP($A62,ACT[[№]:[№]],ACT[Container total CBM],"",0,1)</f>
        <v>66.710000000000008</v>
      </c>
      <c r="L62" s="40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40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40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40" cm="1">
        <f t="array" ref="O62">_xlfn.XLOOKUP($A62,ACT[[№]:[№]],ACT[Documents Work/ Сбор за подготовку документов
KRW],"",0,1)</f>
        <v>3219.9070604107328</v>
      </c>
      <c r="P62" s="40" cm="1">
        <f t="array" ref="P62">_xlfn.XLOOKUP($A62,ACT[[№]:[№]],ACT[THC/ Терминальная обработка
KRW],"",0,1)</f>
        <v>11939.415380002998</v>
      </c>
      <c r="Q62" s="40" cm="1">
        <f t="array" ref="Q62">_xlfn.XLOOKUP($A62,ACT[[№]:[№]],ACT[Wharfage/ Портовая пошлина
KRW],"",0,1)</f>
        <v>586.02308499475339</v>
      </c>
      <c r="R62" s="40" cm="1">
        <f t="array" ref="R62">_xlfn.XLOOKUP($A62,ACT[[№]:[№]],ACT[TRUCKING CHARGE],"",0,1)</f>
        <v>0</v>
      </c>
      <c r="S62" s="40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40" cm="1">
        <f t="array" ref="T62">_xlfn.XLOOKUP($A62,ACT[[№]:[№]],ACT[Special Wooden Shoring / Специальное деревянное крепление],"",0,1)</f>
        <v>0</v>
      </c>
      <c r="U62" s="9"/>
      <c r="V62" s="40" cm="1">
        <f t="array" ref="V62">_xlfn.XLOOKUP($A62,ACT[[№]:[№]],ACT[Total amount/ Общая стоимость KRW (10+11+12+13+14+15+16)],"",0,1)</f>
        <v>490762.42390046467</v>
      </c>
      <c r="W62" s="40" cm="1">
        <f t="array" ref="W62">_xlfn.XLOOKUP($A62,ACT[[№]:[№]],ACT[Total amount/ Общая стоимость (17*exchange rate/ обменный курс)
 USD],"",0,1)</f>
        <v>386.2</v>
      </c>
      <c r="X62" s="9" cm="1">
        <f t="array" ref="X6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2" s="12">
        <f>VLOOKUP(Шаблон_Формулы[[#This Row],[24]],Курс_840[[Дата]:[Курс]],2,0)</f>
        <v>11370.11</v>
      </c>
      <c r="Z62" s="42">
        <f>IFERROR(Шаблон_Формулы[[#This Row],[23]]*Шаблон_Формулы[[#This Row],[25]],"")</f>
        <v>4391136.4819999998</v>
      </c>
      <c r="AA62" s="13" t="str" cm="1">
        <f t="array" ref="AA62">ACT_number[№ исходящего акта]</f>
        <v>426 LCL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7" cm="1">
        <f t="array" ref="E63">_xlfn.XLOOKUP($A63,ACT[[№]:[№]],ACT[Date of Dispatch/ 
Дата отгрузки],"",0,1)</f>
        <v>44965</v>
      </c>
      <c r="F63" s="38" t="str" cm="1">
        <f t="array" ref="F63">_xlfn.XLOOKUP($A63,ACT[[№]:[№]],ACT[Supplier/ Поставщик],"",0,1)</f>
        <v>SNT Motiv</v>
      </c>
      <c r="G63" s="38" t="str" cm="1">
        <f t="array" ref="G63">_xlfn.XLOOKUP($A63,ACT[[№]:[№]],ACT[Supplier Invoice No/                          № Инвойса Поставщика],"",0,1)</f>
        <v>CUZ230112</v>
      </c>
      <c r="H63" s="39" cm="1">
        <f t="array" ref="H63">_xlfn.XLOOKUP($A63,ACT[[№]:[№]],ACT[CBM],"",0,1)</f>
        <v>28.216999999999999</v>
      </c>
      <c r="I63" s="39" cm="1">
        <f t="array" ref="I63">_xlfn.XLOOKUP($A63,ACT[[№]:[№]],ACT[Gross weight, kg/ Вес брутто, кг],"",0,1)</f>
        <v>2220</v>
      </c>
      <c r="J63" s="39" t="str" cm="1">
        <f t="array" ref="J63">_xlfn.XLOOKUP($A63,ACT[[№]:[№]],ACT[Delivery terms / Условия поставки],"",0,1)</f>
        <v>FCA</v>
      </c>
      <c r="K63" s="39" cm="1">
        <f t="array" ref="K63">_xlfn.XLOOKUP($A63,ACT[[№]:[№]],ACT[Container total CBM],"",0,1)</f>
        <v>66.617000000000004</v>
      </c>
      <c r="L63" s="40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40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40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40" cm="1">
        <f t="array" ref="O63">_xlfn.XLOOKUP($A63,ACT[[№]:[№]],ACT[Documents Work/ Сбор за подготовку документов
KRW],"",0,1)</f>
        <v>21178.528003362502</v>
      </c>
      <c r="P63" s="40" cm="1">
        <f t="array" ref="P63">_xlfn.XLOOKUP($A63,ACT[[№]:[№]],ACT[THC/ Терминальная обработка
KRW],"",0,1)</f>
        <v>78529.981836468171</v>
      </c>
      <c r="Q63" s="40" cm="1">
        <f t="array" ref="Q63">_xlfn.XLOOKUP($A63,ACT[[№]:[№]],ACT[Wharfage/ Портовая пошлина
KRW],"",0,1)</f>
        <v>3854.4920966119762</v>
      </c>
      <c r="R63" s="40" cm="1">
        <f t="array" ref="R63">_xlfn.XLOOKUP($A63,ACT[[№]:[№]],ACT[TRUCKING CHARGE],"",0,1)</f>
        <v>0</v>
      </c>
      <c r="S63" s="40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40" cm="1">
        <f t="array" ref="T63">_xlfn.XLOOKUP($A63,ACT[[№]:[№]],ACT[Special Wooden Shoring / Специальное деревянное крепление],"",0,1)</f>
        <v>0</v>
      </c>
      <c r="U63" s="9"/>
      <c r="V63" s="40" cm="1">
        <f t="array" ref="V63">_xlfn.XLOOKUP($A63,ACT[[№]:[№]],ACT[Total amount/ Общая стоимость KRW (10+11+12+13+14+15+16)],"",0,1)</f>
        <v>835024.84857633931</v>
      </c>
      <c r="W63" s="40" cm="1">
        <f t="array" ref="W63">_xlfn.XLOOKUP($A63,ACT[[№]:[№]],ACT[Total amount/ Общая стоимость (17*exchange rate/ обменный курс)
 USD],"",0,1)</f>
        <v>657.12</v>
      </c>
      <c r="X63" s="9" cm="1">
        <f t="array" ref="X6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3" s="12">
        <f>VLOOKUP(Шаблон_Формулы[[#This Row],[24]],Курс_840[[Дата]:[Курс]],2,0)</f>
        <v>11370.11</v>
      </c>
      <c r="Z63" s="42">
        <f>IFERROR(Шаблон_Формулы[[#This Row],[23]]*Шаблон_Формулы[[#This Row],[25]],"")</f>
        <v>7471526.6832000008</v>
      </c>
      <c r="AA63" s="13" t="str" cm="1">
        <f t="array" ref="AA63">ACT_number[№ исходящего акта]</f>
        <v>426 LCL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7" cm="1">
        <f t="array" ref="E64">_xlfn.XLOOKUP($A64,ACT[[№]:[№]],ACT[Date of Dispatch/ 
Дата отгрузки],"",0,1)</f>
        <v>44965</v>
      </c>
      <c r="F64" s="38" t="str" cm="1">
        <f t="array" ref="F64">_xlfn.XLOOKUP($A64,ACT[[№]:[№]],ACT[Supplier/ Поставщик],"",0,1)</f>
        <v>Pyeonghwa (GEM Project)</v>
      </c>
      <c r="G64" s="38" t="str" cm="1">
        <f t="array" ref="G64">_xlfn.XLOOKUP($A64,ACT[[№]:[№]],ACT[Supplier Invoice No/                          № Инвойса Поставщика],"",0,1)</f>
        <v>UZATK0035(6)</v>
      </c>
      <c r="H64" s="39" cm="1">
        <f t="array" ref="H64">_xlfn.XLOOKUP($A64,ACT[[№]:[№]],ACT[CBM],"",0,1)</f>
        <v>17.600000000000001</v>
      </c>
      <c r="I64" s="39" cm="1">
        <f t="array" ref="I64">_xlfn.XLOOKUP($A64,ACT[[№]:[№]],ACT[Gross weight, kg/ Вес брутто, кг],"",0,1)</f>
        <v>8504.5400000000009</v>
      </c>
      <c r="J64" s="39" t="str" cm="1">
        <f t="array" ref="J64">_xlfn.XLOOKUP($A64,ACT[[№]:[№]],ACT[Delivery terms / Условия поставки],"",0,1)</f>
        <v>FCA</v>
      </c>
      <c r="K64" s="39" cm="1">
        <f t="array" ref="K64">_xlfn.XLOOKUP($A64,ACT[[№]:[№]],ACT[Container total CBM],"",0,1)</f>
        <v>66.617000000000004</v>
      </c>
      <c r="L64" s="40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40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40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40" cm="1">
        <f t="array" ref="O64">_xlfn.XLOOKUP($A64,ACT[[№]:[№]],ACT[Documents Work/ Сбор за подготовку документов
KRW],"",0,1)</f>
        <v>13209.841331792186</v>
      </c>
      <c r="P64" s="40" cm="1">
        <f t="array" ref="P64">_xlfn.XLOOKUP($A64,ACT[[№]:[№]],ACT[THC/ Терминальная обработка
KRW],"",0,1)</f>
        <v>48982.091658285426</v>
      </c>
      <c r="Q64" s="40" cm="1">
        <f t="array" ref="Q64">_xlfn.XLOOKUP($A64,ACT[[№]:[№]],ACT[Wharfage/ Портовая пошлина
KRW],"",0,1)</f>
        <v>2404.1911223861775</v>
      </c>
      <c r="R64" s="40" cm="1">
        <f t="array" ref="R64">_xlfn.XLOOKUP($A64,ACT[[№]:[№]],ACT[TRUCKING CHARGE],"",0,1)</f>
        <v>0</v>
      </c>
      <c r="S64" s="40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40" cm="1">
        <f t="array" ref="T64">_xlfn.XLOOKUP($A64,ACT[[№]:[№]],ACT[Special Wooden Shoring / Специальное деревянное крепление],"",0,1)</f>
        <v>0</v>
      </c>
      <c r="U64" s="9"/>
      <c r="V64" s="40" cm="1">
        <f t="array" ref="V64">_xlfn.XLOOKUP($A64,ACT[[№]:[№]],ACT[Total amount/ Общая стоимость KRW (10+11+12+13+14+15+16)],"",0,1)</f>
        <v>731328.67898584448</v>
      </c>
      <c r="W64" s="40" cm="1">
        <f t="array" ref="W64">_xlfn.XLOOKUP($A64,ACT[[№]:[№]],ACT[Total amount/ Общая стоимость (17*exchange rate/ обменный курс)
 USD],"",0,1)</f>
        <v>575.51</v>
      </c>
      <c r="X64" s="9" cm="1">
        <f t="array" ref="X6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4" s="12">
        <f>VLOOKUP(Шаблон_Формулы[[#This Row],[24]],Курс_840[[Дата]:[Курс]],2,0)</f>
        <v>11370.11</v>
      </c>
      <c r="Z64" s="42">
        <f>IFERROR(Шаблон_Формулы[[#This Row],[23]]*Шаблон_Формулы[[#This Row],[25]],"")</f>
        <v>6543612.0060999999</v>
      </c>
      <c r="AA64" s="13" t="str" cm="1">
        <f t="array" ref="AA64">ACT_number[№ исходящего акта]</f>
        <v>426 LCL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7" cm="1">
        <f t="array" ref="E65">_xlfn.XLOOKUP($A65,ACT[[№]:[№]],ACT[Date of Dispatch/ 
Дата отгрузки],"",0,1)</f>
        <v>44965</v>
      </c>
      <c r="F65" s="38" t="str" cm="1">
        <f t="array" ref="F65">_xlfn.XLOOKUP($A65,ACT[[№]:[№]],ACT[Supplier/ Поставщик],"",0,1)</f>
        <v>Pyeonghwa (GEM Project)</v>
      </c>
      <c r="G65" s="38" t="str" cm="1">
        <f t="array" ref="G65">_xlfn.XLOOKUP($A65,ACT[[№]:[№]],ACT[Supplier Invoice No/                          № Инвойса Поставщика],"",0,1)</f>
        <v>UZATK0035(7)</v>
      </c>
      <c r="H65" s="39" cm="1">
        <f t="array" ref="H65">_xlfn.XLOOKUP($A65,ACT[[№]:[№]],ACT[CBM],"",0,1)</f>
        <v>20.8</v>
      </c>
      <c r="I65" s="39" cm="1">
        <f t="array" ref="I65">_xlfn.XLOOKUP($A65,ACT[[№]:[№]],ACT[Gross weight, kg/ Вес брутто, кг],"",0,1)</f>
        <v>14142.94</v>
      </c>
      <c r="J65" s="39" t="str" cm="1">
        <f t="array" ref="J65">_xlfn.XLOOKUP($A65,ACT[[№]:[№]],ACT[Delivery terms / Условия поставки],"",0,1)</f>
        <v>FCA</v>
      </c>
      <c r="K65" s="39" cm="1">
        <f t="array" ref="K65">_xlfn.XLOOKUP($A65,ACT[[№]:[№]],ACT[Container total CBM],"",0,1)</f>
        <v>66.617000000000004</v>
      </c>
      <c r="L65" s="40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40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40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40" cm="1">
        <f t="array" ref="O65">_xlfn.XLOOKUP($A65,ACT[[№]:[№]],ACT[Documents Work/ Сбор за подготовку документов
KRW],"",0,1)</f>
        <v>15611.630664845308</v>
      </c>
      <c r="P65" s="40" cm="1">
        <f t="array" ref="P65">_xlfn.XLOOKUP($A65,ACT[[№]:[№]],ACT[THC/ Терминальная обработка
KRW],"",0,1)</f>
        <v>57887.926505246403</v>
      </c>
      <c r="Q65" s="40" cm="1">
        <f t="array" ref="Q65">_xlfn.XLOOKUP($A65,ACT[[№]:[№]],ACT[Wharfage/ Портовая пошлина
KRW],"",0,1)</f>
        <v>2841.3167810018463</v>
      </c>
      <c r="R65" s="40" cm="1">
        <f t="array" ref="R65">_xlfn.XLOOKUP($A65,ACT[[№]:[№]],ACT[TRUCKING CHARGE],"",0,1)</f>
        <v>0</v>
      </c>
      <c r="S65" s="40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40" cm="1">
        <f t="array" ref="T65">_xlfn.XLOOKUP($A65,ACT[[№]:[№]],ACT[Special Wooden Shoring / Специальное деревянное крепление],"",0,1)</f>
        <v>0</v>
      </c>
      <c r="U65" s="9"/>
      <c r="V65" s="40" cm="1">
        <f t="array" ref="V65">_xlfn.XLOOKUP($A65,ACT[[№]:[№]],ACT[Total amount/ Общая стоимость KRW (10+11+12+13+14+15+16)],"",0,1)</f>
        <v>1125024.8024378165</v>
      </c>
      <c r="W65" s="40" cm="1">
        <f t="array" ref="W65">_xlfn.XLOOKUP($A65,ACT[[№]:[№]],ACT[Total amount/ Общая стоимость (17*exchange rate/ обменный курс)
 USD],"",0,1)</f>
        <v>885.33</v>
      </c>
      <c r="X65" s="9" cm="1">
        <f t="array" ref="X6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5" s="12">
        <f>VLOOKUP(Шаблон_Формулы[[#This Row],[24]],Курс_840[[Дата]:[Курс]],2,0)</f>
        <v>11370.11</v>
      </c>
      <c r="Z65" s="42">
        <f>IFERROR(Шаблон_Формулы[[#This Row],[23]]*Шаблон_Формулы[[#This Row],[25]],"")</f>
        <v>10066299.486300001</v>
      </c>
      <c r="AA65" s="13" t="str" cm="1">
        <f t="array" ref="AA65">ACT_number[№ исходящего акта]</f>
        <v>426 LCL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7" cm="1">
        <f t="array" ref="E66">_xlfn.XLOOKUP($A66,ACT[[№]:[№]],ACT[Date of Dispatch/ 
Дата отгрузки],"",0,1)</f>
        <v>44965</v>
      </c>
      <c r="F66" s="38" t="str" cm="1">
        <f t="array" ref="F66">_xlfn.XLOOKUP($A66,ACT[[№]:[№]],ACT[Supplier/ Поставщик],"",0,1)</f>
        <v>Iljin Global</v>
      </c>
      <c r="G66" s="38" t="str" cm="1">
        <f t="array" ref="G66">_xlfn.XLOOKUP($A66,ACT[[№]:[№]],ACT[Supplier Invoice No/                          № Инвойса Поставщика],"",0,1)</f>
        <v>IJG-SA11GMUZ2</v>
      </c>
      <c r="H66" s="39" cm="1">
        <f t="array" ref="H66">_xlfn.XLOOKUP($A66,ACT[[№]:[№]],ACT[CBM],"",0,1)</f>
        <v>1.746</v>
      </c>
      <c r="I66" s="39" cm="1">
        <f t="array" ref="I66">_xlfn.XLOOKUP($A66,ACT[[№]:[№]],ACT[Gross weight, kg/ Вес брутто, кг],"",0,1)</f>
        <v>1139.4000000000001</v>
      </c>
      <c r="J66" s="39" t="str" cm="1">
        <f t="array" ref="J66">_xlfn.XLOOKUP($A66,ACT[[№]:[№]],ACT[Delivery terms / Условия поставки],"",0,1)</f>
        <v>FCA</v>
      </c>
      <c r="K66" s="39" cm="1">
        <f t="array" ref="K66">_xlfn.XLOOKUP($A66,ACT[[№]:[№]],ACT[Container total CBM],"",0,1)</f>
        <v>32.297000000000004</v>
      </c>
      <c r="L66" s="40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40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40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40" cm="1">
        <f t="array" ref="O66">_xlfn.XLOOKUP($A66,ACT[[№]:[№]],ACT[Documents Work/ Сбор за подготовку документов
KRW],"",0,1)</f>
        <v>2703.037433817382</v>
      </c>
      <c r="P66" s="40" cm="1">
        <f t="array" ref="P66">_xlfn.XLOOKUP($A66,ACT[[№]:[№]],ACT[THC/ Терминальная обработка
KRW],"",0,1)</f>
        <v>10022.862804594854</v>
      </c>
      <c r="Q66" s="40" cm="1">
        <f t="array" ref="Q66">_xlfn.XLOOKUP($A66,ACT[[№]:[№]],ACT[Wharfage/ Портовая пошлина
KRW],"",0,1)</f>
        <v>491.95281295476354</v>
      </c>
      <c r="R66" s="40" cm="1">
        <f t="array" ref="R66">_xlfn.XLOOKUP($A66,ACT[[№]:[№]],ACT[TRUCKING CHARGE],"",0,1)</f>
        <v>0</v>
      </c>
      <c r="S66" s="40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40" cm="1">
        <f t="array" ref="T66">_xlfn.XLOOKUP($A66,ACT[[№]:[№]],ACT[Special Wooden Shoring / Специальное деревянное крепление],"",0,1)</f>
        <v>0</v>
      </c>
      <c r="U66" s="9"/>
      <c r="V66" s="40" cm="1">
        <f t="array" ref="V66">_xlfn.XLOOKUP($A66,ACT[[№]:[№]],ACT[Total amount/ Общая стоимость KRW (10+11+12+13+14+15+16)],"",0,1)</f>
        <v>424682.40614855866</v>
      </c>
      <c r="W66" s="40" cm="1">
        <f t="array" ref="W66">_xlfn.XLOOKUP($A66,ACT[[№]:[№]],ACT[Total amount/ Общая стоимость (17*exchange rate/ обменный курс)
 USD],"",0,1)</f>
        <v>334.2</v>
      </c>
      <c r="X66" s="9" cm="1">
        <f t="array" ref="X6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6" s="12">
        <f>VLOOKUP(Шаблон_Формулы[[#This Row],[24]],Курс_840[[Дата]:[Курс]],2,0)</f>
        <v>11370.11</v>
      </c>
      <c r="Z66" s="42">
        <f>IFERROR(Шаблон_Формулы[[#This Row],[23]]*Шаблон_Формулы[[#This Row],[25]],"")</f>
        <v>3799890.7620000001</v>
      </c>
      <c r="AA66" s="13" t="str" cm="1">
        <f t="array" ref="AA66">ACT_number[№ исходящего акта]</f>
        <v>426 LCL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7" cm="1">
        <f t="array" ref="E67">_xlfn.XLOOKUP($A67,ACT[[№]:[№]],ACT[Date of Dispatch/ 
Дата отгрузки],"",0,1)</f>
        <v>44965</v>
      </c>
      <c r="F67" s="38" t="str" cm="1">
        <f t="array" ref="F67">_xlfn.XLOOKUP($A67,ACT[[№]:[№]],ACT[Supplier/ Поставщик],"",0,1)</f>
        <v>Iljin Global(GEM Project)</v>
      </c>
      <c r="G67" s="38" t="str" cm="1">
        <f t="array" ref="G67">_xlfn.XLOOKUP($A67,ACT[[№]:[№]],ACT[Supplier Invoice No/                          № Инвойса Поставщика],"",0,1)</f>
        <v>UZATK0035(8)</v>
      </c>
      <c r="H67" s="39" cm="1">
        <f t="array" ref="H67">_xlfn.XLOOKUP($A67,ACT[[№]:[№]],ACT[CBM],"",0,1)</f>
        <v>8.75</v>
      </c>
      <c r="I67" s="39" cm="1">
        <f t="array" ref="I67">_xlfn.XLOOKUP($A67,ACT[[№]:[№]],ACT[Gross weight, kg/ Вес брутто, кг],"",0,1)</f>
        <v>4715.2</v>
      </c>
      <c r="J67" s="39" t="str" cm="1">
        <f t="array" ref="J67">_xlfn.XLOOKUP($A67,ACT[[№]:[№]],ACT[Delivery terms / Условия поставки],"",0,1)</f>
        <v>FCA</v>
      </c>
      <c r="K67" s="39" cm="1">
        <f t="array" ref="K67">_xlfn.XLOOKUP($A67,ACT[[№]:[№]],ACT[Container total CBM],"",0,1)</f>
        <v>32.297000000000004</v>
      </c>
      <c r="L67" s="40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40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40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40" cm="1">
        <f t="array" ref="O67">_xlfn.XLOOKUP($A67,ACT[[№]:[№]],ACT[Documents Work/ Сбор за подготовку документов
KRW],"",0,1)</f>
        <v>13546.149797194785</v>
      </c>
      <c r="P67" s="40" cm="1">
        <f t="array" ref="P67">_xlfn.XLOOKUP($A67,ACT[[№]:[№]],ACT[THC/ Терминальная обработка
KRW],"",0,1)</f>
        <v>50229.12344799826</v>
      </c>
      <c r="Q67" s="40" cm="1">
        <f t="array" ref="Q67">_xlfn.XLOOKUP($A67,ACT[[№]:[№]],ACT[Wharfage/ Портовая пошлина
KRW],"",0,1)</f>
        <v>2465.3992630894509</v>
      </c>
      <c r="R67" s="40" cm="1">
        <f t="array" ref="R67">_xlfn.XLOOKUP($A67,ACT[[№]:[№]],ACT[TRUCKING CHARGE],"",0,1)</f>
        <v>0</v>
      </c>
      <c r="S67" s="40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40" cm="1">
        <f t="array" ref="T67">_xlfn.XLOOKUP($A67,ACT[[№]:[№]],ACT[Special Wooden Shoring / Специальное деревянное крепление],"",0,1)</f>
        <v>0</v>
      </c>
      <c r="U67" s="9"/>
      <c r="V67" s="40" cm="1">
        <f t="array" ref="V67">_xlfn.XLOOKUP($A67,ACT[[№]:[№]],ACT[Total amount/ Общая стоимость KRW (10+11+12+13+14+15+16)],"",0,1)</f>
        <v>712026.94948447216</v>
      </c>
      <c r="W67" s="40" cm="1">
        <f t="array" ref="W67">_xlfn.XLOOKUP($A67,ACT[[№]:[№]],ACT[Total amount/ Общая стоимость (17*exchange rate/ обменный курс)
 USD],"",0,1)</f>
        <v>560.32000000000005</v>
      </c>
      <c r="X67" s="9" cm="1">
        <f t="array" ref="X6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7" s="12">
        <f>VLOOKUP(Шаблон_Формулы[[#This Row],[24]],Курс_840[[Дата]:[Курс]],2,0)</f>
        <v>11370.11</v>
      </c>
      <c r="Z67" s="42">
        <f>IFERROR(Шаблон_Формулы[[#This Row],[23]]*Шаблон_Формулы[[#This Row],[25]],"")</f>
        <v>6370900.0352000007</v>
      </c>
      <c r="AA67" s="13" t="str" cm="1">
        <f t="array" ref="AA67">ACT_number[№ исходящего акта]</f>
        <v>426 LCL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7" cm="1">
        <f t="array" ref="E68">_xlfn.XLOOKUP($A68,ACT[[№]:[№]],ACT[Date of Dispatch/ 
Дата отгрузки],"",0,1)</f>
        <v>44965</v>
      </c>
      <c r="F68" s="38" t="str" cm="1">
        <f t="array" ref="F68">_xlfn.XLOOKUP($A68,ACT[[№]:[№]],ACT[Supplier/ Поставщик],"",0,1)</f>
        <v>Chungwoo(GEM Project)</v>
      </c>
      <c r="G68" s="38" t="str" cm="1">
        <f t="array" ref="G68">_xlfn.XLOOKUP($A68,ACT[[№]:[№]],ACT[Supplier Invoice No/                          № Инвойса Поставщика],"",0,1)</f>
        <v>UZATK0035(9)</v>
      </c>
      <c r="H68" s="39" cm="1">
        <f t="array" ref="H68">_xlfn.XLOOKUP($A68,ACT[[№]:[№]],ACT[CBM],"",0,1)</f>
        <v>4.8600000000000003</v>
      </c>
      <c r="I68" s="39" cm="1">
        <f t="array" ref="I68">_xlfn.XLOOKUP($A68,ACT[[№]:[№]],ACT[Gross weight, kg/ Вес брутто, кг],"",0,1)</f>
        <v>4612</v>
      </c>
      <c r="J68" s="39" t="str" cm="1">
        <f t="array" ref="J68">_xlfn.XLOOKUP($A68,ACT[[№]:[№]],ACT[Delivery terms / Условия поставки],"",0,1)</f>
        <v>FCA</v>
      </c>
      <c r="K68" s="39" cm="1">
        <f t="array" ref="K68">_xlfn.XLOOKUP($A68,ACT[[№]:[№]],ACT[Container total CBM],"",0,1)</f>
        <v>32.297000000000004</v>
      </c>
      <c r="L68" s="40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40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40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40" cm="1">
        <f t="array" ref="O68">_xlfn.XLOOKUP($A68,ACT[[№]:[№]],ACT[Documents Work/ Сбор за подготовку документов
KRW],"",0,1)</f>
        <v>7523.918630213333</v>
      </c>
      <c r="P68" s="40" cm="1">
        <f t="array" ref="P68">_xlfn.XLOOKUP($A68,ACT[[№]:[№]],ACT[THC/ Терминальная обработка
KRW],"",0,1)</f>
        <v>27898.690280831033</v>
      </c>
      <c r="Q68" s="40" cm="1">
        <f t="array" ref="Q68">_xlfn.XLOOKUP($A68,ACT[[№]:[№]],ACT[Wharfage/ Портовая пошлина
KRW],"",0,1)</f>
        <v>1369.3531906988264</v>
      </c>
      <c r="R68" s="40" cm="1">
        <f t="array" ref="R68">_xlfn.XLOOKUP($A68,ACT[[№]:[№]],ACT[TRUCKING CHARGE],"",0,1)</f>
        <v>0</v>
      </c>
      <c r="S68" s="40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40" cm="1">
        <f t="array" ref="T68">_xlfn.XLOOKUP($A68,ACT[[№]:[№]],ACT[Special Wooden Shoring / Специальное деревянное крепление],"",0,1)</f>
        <v>0</v>
      </c>
      <c r="U68" s="9"/>
      <c r="V68" s="40" cm="1">
        <f t="array" ref="V68">_xlfn.XLOOKUP($A68,ACT[[№]:[№]],ACT[Total amount/ Общая стоимость KRW (10+11+12+13+14+15+16)],"",0,1)</f>
        <v>781925.25422794686</v>
      </c>
      <c r="W68" s="40" cm="1">
        <f t="array" ref="W68">_xlfn.XLOOKUP($A68,ACT[[№]:[№]],ACT[Total amount/ Общая стоимость (17*exchange rate/ обменный курс)
 USD],"",0,1)</f>
        <v>615.33000000000004</v>
      </c>
      <c r="X68" s="9" cm="1">
        <f t="array" ref="X6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8" s="12">
        <f>VLOOKUP(Шаблон_Формулы[[#This Row],[24]],Курс_840[[Дата]:[Курс]],2,0)</f>
        <v>11370.11</v>
      </c>
      <c r="Z68" s="42">
        <f>IFERROR(Шаблон_Формулы[[#This Row],[23]]*Шаблон_Формулы[[#This Row],[25]],"")</f>
        <v>6996369.7863000007</v>
      </c>
      <c r="AA68" s="13" t="str" cm="1">
        <f t="array" ref="AA68">ACT_number[№ исходящего акта]</f>
        <v>426 LCL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7" cm="1">
        <f t="array" ref="E69">_xlfn.XLOOKUP($A69,ACT[[№]:[№]],ACT[Date of Dispatch/ 
Дата отгрузки],"",0,1)</f>
        <v>44965</v>
      </c>
      <c r="F69" s="38" t="str" cm="1">
        <f t="array" ref="F69">_xlfn.XLOOKUP($A69,ACT[[№]:[№]],ACT[Supplier/ Поставщик],"",0,1)</f>
        <v>DAEKIE EST(GEM Project)</v>
      </c>
      <c r="G69" s="38" t="str" cm="1">
        <f t="array" ref="G69">_xlfn.XLOOKUP($A69,ACT[[№]:[№]],ACT[Supplier Invoice No/                          № Инвойса Поставщика],"",0,1)</f>
        <v>UZATK0035(10)</v>
      </c>
      <c r="H69" s="39" cm="1">
        <f t="array" ref="H69">_xlfn.XLOOKUP($A69,ACT[[№]:[№]],ACT[CBM],"",0,1)</f>
        <v>3.17</v>
      </c>
      <c r="I69" s="39" cm="1">
        <f t="array" ref="I69">_xlfn.XLOOKUP($A69,ACT[[№]:[№]],ACT[Gross weight, kg/ Вес брутто, кг],"",0,1)</f>
        <v>1184.5</v>
      </c>
      <c r="J69" s="39" t="str" cm="1">
        <f t="array" ref="J69">_xlfn.XLOOKUP($A69,ACT[[№]:[№]],ACT[Delivery terms / Условия поставки],"",0,1)</f>
        <v>FCA</v>
      </c>
      <c r="K69" s="39" cm="1">
        <f t="array" ref="K69">_xlfn.XLOOKUP($A69,ACT[[№]:[№]],ACT[Container total CBM],"",0,1)</f>
        <v>32.297000000000004</v>
      </c>
      <c r="L69" s="40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40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40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40" cm="1">
        <f t="array" ref="O69">_xlfn.XLOOKUP($A69,ACT[[№]:[№]],ACT[Documents Work/ Сбор за подготовку документов
KRW],"",0,1)</f>
        <v>4907.5765550979959</v>
      </c>
      <c r="P69" s="40" cm="1">
        <f t="array" ref="P69">_xlfn.XLOOKUP($A69,ACT[[№]:[№]],ACT[THC/ Терминальная обработка
KRW],"",0,1)</f>
        <v>18197.293866303367</v>
      </c>
      <c r="Q69" s="40" cm="1">
        <f t="array" ref="Q69">_xlfn.XLOOKUP($A69,ACT[[№]:[№]],ACT[Wharfage/ Портовая пошлина
KRW],"",0,1)</f>
        <v>893.17893302783523</v>
      </c>
      <c r="R69" s="40" cm="1">
        <f t="array" ref="R69">_xlfn.XLOOKUP($A69,ACT[[№]:[№]],ACT[TRUCKING CHARGE],"",0,1)</f>
        <v>0</v>
      </c>
      <c r="S69" s="40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40" cm="1">
        <f t="array" ref="T69">_xlfn.XLOOKUP($A69,ACT[[№]:[№]],ACT[Special Wooden Shoring / Специальное деревянное крепление],"",0,1)</f>
        <v>0</v>
      </c>
      <c r="U69" s="9"/>
      <c r="V69" s="40" cm="1">
        <f t="array" ref="V69">_xlfn.XLOOKUP($A69,ACT[[№]:[№]],ACT[Total amount/ Общая стоимость KRW (10+11+12+13+14+15+16)],"",0,1)</f>
        <v>505464.62055608875</v>
      </c>
      <c r="W69" s="40" cm="1">
        <f t="array" ref="W69">_xlfn.XLOOKUP($A69,ACT[[№]:[№]],ACT[Total amount/ Общая стоимость (17*exchange rate/ обменный курс)
 USD],"",0,1)</f>
        <v>397.77</v>
      </c>
      <c r="X69" s="9" cm="1">
        <f t="array" ref="X6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9" s="12">
        <f>VLOOKUP(Шаблон_Формулы[[#This Row],[24]],Курс_840[[Дата]:[Курс]],2,0)</f>
        <v>11370.11</v>
      </c>
      <c r="Z69" s="42">
        <f>IFERROR(Шаблон_Формулы[[#This Row],[23]]*Шаблон_Формулы[[#This Row],[25]],"")</f>
        <v>4522688.6546999998</v>
      </c>
      <c r="AA69" s="13" t="str" cm="1">
        <f t="array" ref="AA69">ACT_number[№ исходящего акта]</f>
        <v>426 LCL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7" cm="1">
        <f t="array" ref="E70">_xlfn.XLOOKUP($A70,ACT[[№]:[№]],ACT[Date of Dispatch/ 
Дата отгрузки],"",0,1)</f>
        <v>44965</v>
      </c>
      <c r="F70" s="38" t="str" cm="1">
        <f t="array" ref="F70">_xlfn.XLOOKUP($A70,ACT[[№]:[№]],ACT[Supplier/ Поставщик],"",0,1)</f>
        <v>UZAUTO KOREA</v>
      </c>
      <c r="G70" s="38" t="str" cm="1">
        <f t="array" ref="G70">_xlfn.XLOOKUP($A70,ACT[[№]:[№]],ACT[Supplier Invoice No/                          № Инвойса Поставщика],"",0,1)</f>
        <v>UZST-C230108M(1)</v>
      </c>
      <c r="H70" s="39" cm="1">
        <f t="array" ref="H70">_xlfn.XLOOKUP($A70,ACT[[№]:[№]],ACT[CBM],"",0,1)</f>
        <v>6.9119999999999999</v>
      </c>
      <c r="I70" s="39" cm="1">
        <f t="array" ref="I70">_xlfn.XLOOKUP($A70,ACT[[№]:[№]],ACT[Gross weight, kg/ Вес брутто, кг],"",0,1)</f>
        <v>1840</v>
      </c>
      <c r="J70" s="39" t="str" cm="1">
        <f t="array" ref="J70">_xlfn.XLOOKUP($A70,ACT[[№]:[№]],ACT[Delivery terms / Условия поставки],"",0,1)</f>
        <v>FOB</v>
      </c>
      <c r="K70" s="39" cm="1">
        <f t="array" ref="K70">_xlfn.XLOOKUP($A70,ACT[[№]:[№]],ACT[Container total CBM],"",0,1)</f>
        <v>32.297000000000004</v>
      </c>
      <c r="L70" s="40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40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40" cm="1">
        <f t="array" ref="N70">_xlfn.XLOOKUP($A70,ACT[[№]:[№]],ACT[Shoring, Banding, Sealing, Handling/ Крепление, Перевязка, Опечатование, Обработка
KRW],"",0,1)</f>
        <v>0</v>
      </c>
      <c r="O70" s="40" cm="1">
        <f t="array" ref="O70">_xlfn.XLOOKUP($A70,ACT[[№]:[№]],ACT[Documents Work/ Сбор за подготовку документов
KRW],"",0,1)</f>
        <v>0</v>
      </c>
      <c r="P70" s="40" cm="1">
        <f t="array" ref="P70">_xlfn.XLOOKUP($A70,ACT[[№]:[№]],ACT[THC/ Терминальная обработка
KRW],"",0,1)</f>
        <v>0</v>
      </c>
      <c r="Q70" s="40" cm="1">
        <f t="array" ref="Q70">_xlfn.XLOOKUP($A70,ACT[[№]:[№]],ACT[Wharfage/ Портовая пошлина
KRW],"",0,1)</f>
        <v>0</v>
      </c>
      <c r="R70" s="40" cm="1">
        <f t="array" ref="R70">_xlfn.XLOOKUP($A70,ACT[[№]:[№]],ACT[TRUCKING CHARGE],"",0,1)</f>
        <v>0</v>
      </c>
      <c r="S70" s="40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40" cm="1">
        <f t="array" ref="T70">_xlfn.XLOOKUP($A70,ACT[[№]:[№]],ACT[Special Wooden Shoring / Специальное деревянное крепление],"",0,1)</f>
        <v>0</v>
      </c>
      <c r="U70" s="9"/>
      <c r="V70" s="40" cm="1">
        <f t="array" ref="V70">_xlfn.XLOOKUP($A70,ACT[[№]:[№]],ACT[Total amount/ Общая стоимость KRW (10+11+12+13+14+15+16)],"",0,1)</f>
        <v>0</v>
      </c>
      <c r="W70" s="40" cm="1">
        <f t="array" ref="W70">_xlfn.XLOOKUP($A70,ACT[[№]:[№]],ACT[Total amount/ Общая стоимость (17*exchange rate/ обменный курс)
 USD],"",0,1)</f>
        <v>0</v>
      </c>
      <c r="X70" s="9" cm="1">
        <f t="array" ref="X7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0" s="12">
        <f>VLOOKUP(Шаблон_Формулы[[#This Row],[24]],Курс_840[[Дата]:[Курс]],2,0)</f>
        <v>11370.11</v>
      </c>
      <c r="Z70" s="42">
        <f>IFERROR(Шаблон_Формулы[[#This Row],[23]]*Шаблон_Формулы[[#This Row],[25]],"")</f>
        <v>0</v>
      </c>
      <c r="AA70" s="13" t="str" cm="1">
        <f t="array" ref="AA70">ACT_number[№ исходящего акта]</f>
        <v>426 LCL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7" cm="1">
        <f t="array" ref="E71">_xlfn.XLOOKUP($A71,ACT[[№]:[№]],ACT[Date of Dispatch/ 
Дата отгрузки],"",0,1)</f>
        <v>44965</v>
      </c>
      <c r="F71" s="38" t="str" cm="1">
        <f t="array" ref="F71">_xlfn.XLOOKUP($A71,ACT[[№]:[№]],ACT[Supplier/ Поставщик],"",0,1)</f>
        <v>UZAUTO KOREA</v>
      </c>
      <c r="G71" s="38" t="str" cm="1">
        <f t="array" ref="G71">_xlfn.XLOOKUP($A71,ACT[[№]:[№]],ACT[Supplier Invoice No/                          № Инвойса Поставщика],"",0,1)</f>
        <v>UZST-C230108M(2)</v>
      </c>
      <c r="H71" s="39" cm="1">
        <f t="array" ref="H71">_xlfn.XLOOKUP($A71,ACT[[№]:[№]],ACT[CBM],"",0,1)</f>
        <v>0.27200000000000002</v>
      </c>
      <c r="I71" s="39" cm="1">
        <f t="array" ref="I71">_xlfn.XLOOKUP($A71,ACT[[№]:[№]],ACT[Gross weight, kg/ Вес брутто, кг],"",0,1)</f>
        <v>84.2</v>
      </c>
      <c r="J71" s="39" t="str" cm="1">
        <f t="array" ref="J71">_xlfn.XLOOKUP($A71,ACT[[№]:[№]],ACT[Delivery terms / Условия поставки],"",0,1)</f>
        <v>FOB</v>
      </c>
      <c r="K71" s="39" cm="1">
        <f t="array" ref="K71">_xlfn.XLOOKUP($A71,ACT[[№]:[№]],ACT[Container total CBM],"",0,1)</f>
        <v>32.297000000000004</v>
      </c>
      <c r="L71" s="40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40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40" cm="1">
        <f t="array" ref="N71">_xlfn.XLOOKUP($A71,ACT[[№]:[№]],ACT[Shoring, Banding, Sealing, Handling/ Крепление, Перевязка, Опечатование, Обработка
KRW],"",0,1)</f>
        <v>0</v>
      </c>
      <c r="O71" s="40" cm="1">
        <f t="array" ref="O71">_xlfn.XLOOKUP($A71,ACT[[№]:[№]],ACT[Documents Work/ Сбор за подготовку документов
KRW],"",0,1)</f>
        <v>0</v>
      </c>
      <c r="P71" s="40" cm="1">
        <f t="array" ref="P71">_xlfn.XLOOKUP($A71,ACT[[№]:[№]],ACT[THC/ Терминальная обработка
KRW],"",0,1)</f>
        <v>0</v>
      </c>
      <c r="Q71" s="40" cm="1">
        <f t="array" ref="Q71">_xlfn.XLOOKUP($A71,ACT[[№]:[№]],ACT[Wharfage/ Портовая пошлина
KRW],"",0,1)</f>
        <v>0</v>
      </c>
      <c r="R71" s="40" cm="1">
        <f t="array" ref="R71">_xlfn.XLOOKUP($A71,ACT[[№]:[№]],ACT[TRUCKING CHARGE],"",0,1)</f>
        <v>0</v>
      </c>
      <c r="S71" s="40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40" cm="1">
        <f t="array" ref="T71">_xlfn.XLOOKUP($A71,ACT[[№]:[№]],ACT[Special Wooden Shoring / Специальное деревянное крепление],"",0,1)</f>
        <v>0</v>
      </c>
      <c r="U71" s="9"/>
      <c r="V71" s="40" cm="1">
        <f t="array" ref="V71">_xlfn.XLOOKUP($A71,ACT[[№]:[№]],ACT[Total amount/ Общая стоимость KRW (10+11+12+13+14+15+16)],"",0,1)</f>
        <v>0</v>
      </c>
      <c r="W71" s="40" cm="1">
        <f t="array" ref="W71">_xlfn.XLOOKUP($A71,ACT[[№]:[№]],ACT[Total amount/ Общая стоимость (17*exchange rate/ обменный курс)
 USD],"",0,1)</f>
        <v>0</v>
      </c>
      <c r="X71" s="9" cm="1">
        <f t="array" ref="X7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1" s="12">
        <f>VLOOKUP(Шаблон_Формулы[[#This Row],[24]],Курс_840[[Дата]:[Курс]],2,0)</f>
        <v>11370.11</v>
      </c>
      <c r="Z71" s="42">
        <f>IFERROR(Шаблон_Формулы[[#This Row],[23]]*Шаблон_Формулы[[#This Row],[25]],"")</f>
        <v>0</v>
      </c>
      <c r="AA71" s="13" t="str" cm="1">
        <f t="array" ref="AA71">ACT_number[№ исходящего акта]</f>
        <v>426 LCL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7" cm="1">
        <f t="array" ref="E72">_xlfn.XLOOKUP($A72,ACT[[№]:[№]],ACT[Date of Dispatch/ 
Дата отгрузки],"",0,1)</f>
        <v>44965</v>
      </c>
      <c r="F72" s="38" t="str" cm="1">
        <f t="array" ref="F72">_xlfn.XLOOKUP($A72,ACT[[№]:[№]],ACT[Supplier/ Поставщик],"",0,1)</f>
        <v>UZAUTO KOREA</v>
      </c>
      <c r="G72" s="38" t="str" cm="1">
        <f t="array" ref="G72">_xlfn.XLOOKUP($A72,ACT[[№]:[№]],ACT[Supplier Invoice No/                          № Инвойса Поставщика],"",0,1)</f>
        <v>UZST-C230108M(3)</v>
      </c>
      <c r="H72" s="39" cm="1">
        <f t="array" ref="H72">_xlfn.XLOOKUP($A72,ACT[[№]:[№]],ACT[CBM],"",0,1)</f>
        <v>3.9E-2</v>
      </c>
      <c r="I72" s="39" cm="1">
        <f t="array" ref="I72">_xlfn.XLOOKUP($A72,ACT[[№]:[№]],ACT[Gross weight, kg/ Вес брутто, кг],"",0,1)</f>
        <v>15.3</v>
      </c>
      <c r="J72" s="39" t="str" cm="1">
        <f t="array" ref="J72">_xlfn.XLOOKUP($A72,ACT[[№]:[№]],ACT[Delivery terms / Условия поставки],"",0,1)</f>
        <v>FOB</v>
      </c>
      <c r="K72" s="39" cm="1">
        <f t="array" ref="K72">_xlfn.XLOOKUP($A72,ACT[[№]:[№]],ACT[Container total CBM],"",0,1)</f>
        <v>32.297000000000004</v>
      </c>
      <c r="L72" s="40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40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40" cm="1">
        <f t="array" ref="N72">_xlfn.XLOOKUP($A72,ACT[[№]:[№]],ACT[Shoring, Banding, Sealing, Handling/ Крепление, Перевязка, Опечатование, Обработка
KRW],"",0,1)</f>
        <v>0</v>
      </c>
      <c r="O72" s="40" cm="1">
        <f t="array" ref="O72">_xlfn.XLOOKUP($A72,ACT[[№]:[№]],ACT[Documents Work/ Сбор за подготовку документов
KRW],"",0,1)</f>
        <v>0</v>
      </c>
      <c r="P72" s="40" cm="1">
        <f t="array" ref="P72">_xlfn.XLOOKUP($A72,ACT[[№]:[№]],ACT[THC/ Терминальная обработка
KRW],"",0,1)</f>
        <v>0</v>
      </c>
      <c r="Q72" s="40" cm="1">
        <f t="array" ref="Q72">_xlfn.XLOOKUP($A72,ACT[[№]:[№]],ACT[Wharfage/ Портовая пошлина
KRW],"",0,1)</f>
        <v>0</v>
      </c>
      <c r="R72" s="40" cm="1">
        <f t="array" ref="R72">_xlfn.XLOOKUP($A72,ACT[[№]:[№]],ACT[TRUCKING CHARGE],"",0,1)</f>
        <v>0</v>
      </c>
      <c r="S72" s="40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40" cm="1">
        <f t="array" ref="T72">_xlfn.XLOOKUP($A72,ACT[[№]:[№]],ACT[Special Wooden Shoring / Специальное деревянное крепление],"",0,1)</f>
        <v>0</v>
      </c>
      <c r="U72" s="9"/>
      <c r="V72" s="40" cm="1">
        <f t="array" ref="V72">_xlfn.XLOOKUP($A72,ACT[[№]:[№]],ACT[Total amount/ Общая стоимость KRW (10+11+12+13+14+15+16)],"",0,1)</f>
        <v>0</v>
      </c>
      <c r="W72" s="40" cm="1">
        <f t="array" ref="W72">_xlfn.XLOOKUP($A72,ACT[[№]:[№]],ACT[Total amount/ Общая стоимость (17*exchange rate/ обменный курс)
 USD],"",0,1)</f>
        <v>0</v>
      </c>
      <c r="X72" s="9" cm="1">
        <f t="array" ref="X7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2" s="12">
        <f>VLOOKUP(Шаблон_Формулы[[#This Row],[24]],Курс_840[[Дата]:[Курс]],2,0)</f>
        <v>11370.11</v>
      </c>
      <c r="Z72" s="42">
        <f>IFERROR(Шаблон_Формулы[[#This Row],[23]]*Шаблон_Формулы[[#This Row],[25]],"")</f>
        <v>0</v>
      </c>
      <c r="AA72" s="13" t="str" cm="1">
        <f t="array" ref="AA72">ACT_number[№ исходящего акта]</f>
        <v>426 LCL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7" cm="1">
        <f t="array" ref="E73">_xlfn.XLOOKUP($A73,ACT[[№]:[№]],ACT[Date of Dispatch/ 
Дата отгрузки],"",0,1)</f>
        <v>44965</v>
      </c>
      <c r="F73" s="38" t="str" cm="1">
        <f t="array" ref="F73">_xlfn.XLOOKUP($A73,ACT[[№]:[№]],ACT[Supplier/ Поставщик],"",0,1)</f>
        <v>UZAUTO KOREA</v>
      </c>
      <c r="G73" s="38" t="str" cm="1">
        <f t="array" ref="G73">_xlfn.XLOOKUP($A73,ACT[[№]:[№]],ACT[Supplier Invoice No/                          № Инвойса Поставщика],"",0,1)</f>
        <v>UZST-C230108M(4)</v>
      </c>
      <c r="H73" s="39" cm="1">
        <f t="array" ref="H73">_xlfn.XLOOKUP($A73,ACT[[№]:[№]],ACT[CBM],"",0,1)</f>
        <v>5.8319999999999999</v>
      </c>
      <c r="I73" s="39" cm="1">
        <f t="array" ref="I73">_xlfn.XLOOKUP($A73,ACT[[№]:[№]],ACT[Gross weight, kg/ Вес брутто, кг],"",0,1)</f>
        <v>7114.08</v>
      </c>
      <c r="J73" s="39" t="str" cm="1">
        <f t="array" ref="J73">_xlfn.XLOOKUP($A73,ACT[[№]:[№]],ACT[Delivery terms / Условия поставки],"",0,1)</f>
        <v>FOB</v>
      </c>
      <c r="K73" s="39" cm="1">
        <f t="array" ref="K73">_xlfn.XLOOKUP($A73,ACT[[№]:[№]],ACT[Container total CBM],"",0,1)</f>
        <v>32.297000000000004</v>
      </c>
      <c r="L73" s="40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40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40" cm="1">
        <f t="array" ref="N73">_xlfn.XLOOKUP($A73,ACT[[№]:[№]],ACT[Shoring, Banding, Sealing, Handling/ Крепление, Перевязка, Опечатование, Обработка
KRW],"",0,1)</f>
        <v>0</v>
      </c>
      <c r="O73" s="40" cm="1">
        <f t="array" ref="O73">_xlfn.XLOOKUP($A73,ACT[[№]:[№]],ACT[Documents Work/ Сбор за подготовку документов
KRW],"",0,1)</f>
        <v>0</v>
      </c>
      <c r="P73" s="40" cm="1">
        <f t="array" ref="P73">_xlfn.XLOOKUP($A73,ACT[[№]:[№]],ACT[THC/ Терминальная обработка
KRW],"",0,1)</f>
        <v>0</v>
      </c>
      <c r="Q73" s="40" cm="1">
        <f t="array" ref="Q73">_xlfn.XLOOKUP($A73,ACT[[№]:[№]],ACT[Wharfage/ Портовая пошлина
KRW],"",0,1)</f>
        <v>0</v>
      </c>
      <c r="R73" s="40" cm="1">
        <f t="array" ref="R73">_xlfn.XLOOKUP($A73,ACT[[№]:[№]],ACT[TRUCKING CHARGE],"",0,1)</f>
        <v>0</v>
      </c>
      <c r="S73" s="40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40" cm="1">
        <f t="array" ref="T73">_xlfn.XLOOKUP($A73,ACT[[№]:[№]],ACT[Special Wooden Shoring / Специальное деревянное крепление],"",0,1)</f>
        <v>0</v>
      </c>
      <c r="U73" s="9"/>
      <c r="V73" s="40" cm="1">
        <f t="array" ref="V73">_xlfn.XLOOKUP($A73,ACT[[№]:[№]],ACT[Total amount/ Общая стоимость KRW (10+11+12+13+14+15+16)],"",0,1)</f>
        <v>0</v>
      </c>
      <c r="W73" s="40" cm="1">
        <f t="array" ref="W73">_xlfn.XLOOKUP($A73,ACT[[№]:[№]],ACT[Total amount/ Общая стоимость (17*exchange rate/ обменный курс)
 USD],"",0,1)</f>
        <v>0</v>
      </c>
      <c r="X73" s="9" cm="1">
        <f t="array" ref="X7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3" s="12">
        <f>VLOOKUP(Шаблон_Формулы[[#This Row],[24]],Курс_840[[Дата]:[Курс]],2,0)</f>
        <v>11370.11</v>
      </c>
      <c r="Z73" s="42">
        <f>IFERROR(Шаблон_Формулы[[#This Row],[23]]*Шаблон_Формулы[[#This Row],[25]],"")</f>
        <v>0</v>
      </c>
      <c r="AA73" s="13" t="str" cm="1">
        <f t="array" ref="AA73">ACT_number[№ исходящего акта]</f>
        <v>426 LCL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7" cm="1">
        <f t="array" ref="E74">_xlfn.XLOOKUP($A74,ACT[[№]:[№]],ACT[Date of Dispatch/ 
Дата отгрузки],"",0,1)</f>
        <v>44965</v>
      </c>
      <c r="F74" s="38" t="str" cm="1">
        <f t="array" ref="F74">_xlfn.XLOOKUP($A74,ACT[[№]:[№]],ACT[Supplier/ Поставщик],"",0,1)</f>
        <v>UZAUTO KOREA</v>
      </c>
      <c r="G74" s="38" t="str" cm="1">
        <f t="array" ref="G74">_xlfn.XLOOKUP($A74,ACT[[№]:[№]],ACT[Supplier Invoice No/                          № Инвойса Поставщика],"",0,1)</f>
        <v>UZST-C230108M(5)</v>
      </c>
      <c r="H74" s="39" cm="1">
        <f t="array" ref="H74">_xlfn.XLOOKUP($A74,ACT[[№]:[№]],ACT[CBM],"",0,1)</f>
        <v>0.71599999999999997</v>
      </c>
      <c r="I74" s="39" cm="1">
        <f t="array" ref="I74">_xlfn.XLOOKUP($A74,ACT[[№]:[№]],ACT[Gross weight, kg/ Вес брутто, кг],"",0,1)</f>
        <v>372</v>
      </c>
      <c r="J74" s="39" t="str" cm="1">
        <f t="array" ref="J74">_xlfn.XLOOKUP($A74,ACT[[№]:[№]],ACT[Delivery terms / Условия поставки],"",0,1)</f>
        <v>FOB</v>
      </c>
      <c r="K74" s="39" cm="1">
        <f t="array" ref="K74">_xlfn.XLOOKUP($A74,ACT[[№]:[№]],ACT[Container total CBM],"",0,1)</f>
        <v>32.297000000000004</v>
      </c>
      <c r="L74" s="40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40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40" cm="1">
        <f t="array" ref="N74">_xlfn.XLOOKUP($A74,ACT[[№]:[№]],ACT[Shoring, Banding, Sealing, Handling/ Крепление, Перевязка, Опечатование, Обработка
KRW],"",0,1)</f>
        <v>0</v>
      </c>
      <c r="O74" s="40" cm="1">
        <f t="array" ref="O74">_xlfn.XLOOKUP($A74,ACT[[№]:[№]],ACT[Documents Work/ Сбор за подготовку документов
KRW],"",0,1)</f>
        <v>0</v>
      </c>
      <c r="P74" s="40" cm="1">
        <f t="array" ref="P74">_xlfn.XLOOKUP($A74,ACT[[№]:[№]],ACT[THC/ Терминальная обработка
KRW],"",0,1)</f>
        <v>0</v>
      </c>
      <c r="Q74" s="40" cm="1">
        <f t="array" ref="Q74">_xlfn.XLOOKUP($A74,ACT[[№]:[№]],ACT[Wharfage/ Портовая пошлина
KRW],"",0,1)</f>
        <v>0</v>
      </c>
      <c r="R74" s="40" cm="1">
        <f t="array" ref="R74">_xlfn.XLOOKUP($A74,ACT[[№]:[№]],ACT[TRUCKING CHARGE],"",0,1)</f>
        <v>0</v>
      </c>
      <c r="S74" s="40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40" cm="1">
        <f t="array" ref="T74">_xlfn.XLOOKUP($A74,ACT[[№]:[№]],ACT[Special Wooden Shoring / Специальное деревянное крепление],"",0,1)</f>
        <v>0</v>
      </c>
      <c r="U74" s="9"/>
      <c r="V74" s="40" cm="1">
        <f t="array" ref="V74">_xlfn.XLOOKUP($A74,ACT[[№]:[№]],ACT[Total amount/ Общая стоимость KRW (10+11+12+13+14+15+16)],"",0,1)</f>
        <v>0</v>
      </c>
      <c r="W74" s="40" cm="1">
        <f t="array" ref="W74">_xlfn.XLOOKUP($A74,ACT[[№]:[№]],ACT[Total amount/ Общая стоимость (17*exchange rate/ обменный курс)
 USD],"",0,1)</f>
        <v>0</v>
      </c>
      <c r="X74" s="9" cm="1">
        <f t="array" ref="X7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4" s="12">
        <f>VLOOKUP(Шаблон_Формулы[[#This Row],[24]],Курс_840[[Дата]:[Курс]],2,0)</f>
        <v>11370.11</v>
      </c>
      <c r="Z74" s="42">
        <f>IFERROR(Шаблон_Формулы[[#This Row],[23]]*Шаблон_Формулы[[#This Row],[25]],"")</f>
        <v>0</v>
      </c>
      <c r="AA74" s="13" t="str" cm="1">
        <f t="array" ref="AA74">ACT_number[№ исходящего акта]</f>
        <v>426 LCL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7" cm="1">
        <f t="array" ref="E75">_xlfn.XLOOKUP($A75,ACT[[№]:[№]],ACT[Date of Dispatch/ 
Дата отгрузки],"",0,1)</f>
        <v>44965</v>
      </c>
      <c r="F75" s="38" t="str" cm="1">
        <f t="array" ref="F75">_xlfn.XLOOKUP($A75,ACT[[№]:[№]],ACT[Supplier/ Поставщик],"",0,1)</f>
        <v>SAMJINJEONGGONG(GEM Project)</v>
      </c>
      <c r="G75" s="38" t="str" cm="1">
        <f t="array" ref="G75">_xlfn.XLOOKUP($A75,ACT[[№]:[№]],ACT[Supplier Invoice No/                          № Инвойса Поставщика],"",0,1)</f>
        <v>UZATK0035(11)</v>
      </c>
      <c r="H75" s="39" cm="1">
        <f t="array" ref="H75">_xlfn.XLOOKUP($A75,ACT[[№]:[№]],ACT[CBM],"",0,1)</f>
        <v>8.0190000000000001</v>
      </c>
      <c r="I75" s="39" cm="1">
        <f t="array" ref="I75">_xlfn.XLOOKUP($A75,ACT[[№]:[№]],ACT[Gross weight, kg/ Вес брутто, кг],"",0,1)</f>
        <v>7621</v>
      </c>
      <c r="J75" s="39" t="str" cm="1">
        <f t="array" ref="J75">_xlfn.XLOOKUP($A75,ACT[[№]:[№]],ACT[Delivery terms / Условия поставки],"",0,1)</f>
        <v>FCA</v>
      </c>
      <c r="K75" s="39" cm="1">
        <f t="array" ref="K75">_xlfn.XLOOKUP($A75,ACT[[№]:[№]],ACT[Container total CBM],"",0,1)</f>
        <v>21.277999999999999</v>
      </c>
      <c r="L75" s="40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40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40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40" cm="1">
        <f t="array" ref="O75">_xlfn.XLOOKUP($A75,ACT[[№]:[№]],ACT[Documents Work/ Сбор за подготовку документов
KRW],"",0,1)</f>
        <v>18843.406335181877</v>
      </c>
      <c r="P75" s="40" cm="1">
        <f t="array" ref="P75">_xlfn.XLOOKUP($A75,ACT[[№]:[№]],ACT[THC/ Терминальная обработка
KRW],"",0,1)</f>
        <v>69871.350690854408</v>
      </c>
      <c r="Q75" s="40" cm="1">
        <f t="array" ref="Q75">_xlfn.XLOOKUP($A75,ACT[[№]:[№]],ACT[Wharfage/ Портовая пошлина
KRW],"",0,1)</f>
        <v>3429.4999530031014</v>
      </c>
      <c r="R75" s="40" cm="1">
        <f t="array" ref="R75">_xlfn.XLOOKUP($A75,ACT[[№]:[№]],ACT[TRUCKING CHARGE],"",0,1)</f>
        <v>0</v>
      </c>
      <c r="S75" s="40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40" cm="1">
        <f t="array" ref="T75">_xlfn.XLOOKUP($A75,ACT[[№]:[№]],ACT[Special Wooden Shoring / Специальное деревянное крепление],"",0,1)</f>
        <v>0</v>
      </c>
      <c r="U75" s="9"/>
      <c r="V75" s="40" cm="1">
        <f t="array" ref="V75">_xlfn.XLOOKUP($A75,ACT[[№]:[№]],ACT[Total amount/ Общая стоимость KRW (10+11+12+13+14+15+16)],"",0,1)</f>
        <v>978974.11947457469</v>
      </c>
      <c r="W75" s="40" cm="1">
        <f t="array" ref="W75">_xlfn.XLOOKUP($A75,ACT[[№]:[№]],ACT[Total amount/ Общая стоимость (17*exchange rate/ обменный курс)
 USD],"",0,1)</f>
        <v>770.4</v>
      </c>
      <c r="X75" s="9" cm="1">
        <f t="array" ref="X7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5" s="12">
        <f>VLOOKUP(Шаблон_Формулы[[#This Row],[24]],Курс_840[[Дата]:[Курс]],2,0)</f>
        <v>11370.11</v>
      </c>
      <c r="Z75" s="42">
        <f>IFERROR(Шаблон_Формулы[[#This Row],[23]]*Шаблон_Формулы[[#This Row],[25]],"")</f>
        <v>8759532.7440000009</v>
      </c>
      <c r="AA75" s="13" t="str" cm="1">
        <f t="array" ref="AA75">ACT_number[№ исходящего акта]</f>
        <v>426 LCL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7" cm="1">
        <f t="array" ref="E76">_xlfn.XLOOKUP($A76,ACT[[№]:[№]],ACT[Date of Dispatch/ 
Дата отгрузки],"",0,1)</f>
        <v>44965</v>
      </c>
      <c r="F76" s="38" t="str" cm="1">
        <f t="array" ref="F76">_xlfn.XLOOKUP($A76,ACT[[№]:[№]],ACT[Supplier/ Поставщик],"",0,1)</f>
        <v>KYUNGMIN(GEM Project)</v>
      </c>
      <c r="G76" s="38" t="str" cm="1">
        <f t="array" ref="G76">_xlfn.XLOOKUP($A76,ACT[[№]:[№]],ACT[Supplier Invoice No/                          № Инвойса Поставщика],"",0,1)</f>
        <v>UZATK0035(12)</v>
      </c>
      <c r="H76" s="39" cm="1">
        <f t="array" ref="H76">_xlfn.XLOOKUP($A76,ACT[[№]:[№]],ACT[CBM],"",0,1)</f>
        <v>0.53200000000000003</v>
      </c>
      <c r="I76" s="39" cm="1">
        <f t="array" ref="I76">_xlfn.XLOOKUP($A76,ACT[[№]:[№]],ACT[Gross weight, kg/ Вес брутто, кг],"",0,1)</f>
        <v>328.26</v>
      </c>
      <c r="J76" s="39" t="str" cm="1">
        <f t="array" ref="J76">_xlfn.XLOOKUP($A76,ACT[[№]:[№]],ACT[Delivery terms / Условия поставки],"",0,1)</f>
        <v>FCA</v>
      </c>
      <c r="K76" s="39" cm="1">
        <f t="array" ref="K76">_xlfn.XLOOKUP($A76,ACT[[№]:[№]],ACT[Container total CBM],"",0,1)</f>
        <v>21.277999999999999</v>
      </c>
      <c r="L76" s="40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40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40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40" cm="1">
        <f t="array" ref="O76">_xlfn.XLOOKUP($A76,ACT[[№]:[№]],ACT[Documents Work/ Сбор за подготовку документов
KRW],"",0,1)</f>
        <v>1250.117492245512</v>
      </c>
      <c r="P76" s="40" cm="1">
        <f t="array" ref="P76">_xlfn.XLOOKUP($A76,ACT[[№]:[№]],ACT[THC/ Терминальная обработка
KRW],"",0,1)</f>
        <v>4635.435661246358</v>
      </c>
      <c r="Q76" s="40" cm="1">
        <f t="array" ref="Q76">_xlfn.XLOOKUP($A76,ACT[[№]:[№]],ACT[Wharfage/ Портовая пошлина
KRW],"",0,1)</f>
        <v>227.52138358868316</v>
      </c>
      <c r="R76" s="40" cm="1">
        <f t="array" ref="R76">_xlfn.XLOOKUP($A76,ACT[[№]:[№]],ACT[TRUCKING CHARGE],"",0,1)</f>
        <v>0</v>
      </c>
      <c r="S76" s="40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40" cm="1">
        <f t="array" ref="T76">_xlfn.XLOOKUP($A76,ACT[[№]:[№]],ACT[Special Wooden Shoring / Специальное деревянное крепление],"",0,1)</f>
        <v>0</v>
      </c>
      <c r="U76" s="9"/>
      <c r="V76" s="40" cm="1">
        <f t="array" ref="V76">_xlfn.XLOOKUP($A76,ACT[[№]:[№]],ACT[Total amount/ Общая стоимость KRW (10+11+12+13+14+15+16)],"",0,1)</f>
        <v>310488.36906852148</v>
      </c>
      <c r="W76" s="40" cm="1">
        <f t="array" ref="W76">_xlfn.XLOOKUP($A76,ACT[[№]:[№]],ACT[Total amount/ Общая стоимость (17*exchange rate/ обменный курс)
 USD],"",0,1)</f>
        <v>244.34</v>
      </c>
      <c r="X76" s="9" cm="1">
        <f t="array" ref="X7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6" s="12">
        <f>VLOOKUP(Шаблон_Формулы[[#This Row],[24]],Курс_840[[Дата]:[Курс]],2,0)</f>
        <v>11370.11</v>
      </c>
      <c r="Z76" s="42">
        <f>IFERROR(Шаблон_Формулы[[#This Row],[23]]*Шаблон_Формулы[[#This Row],[25]],"")</f>
        <v>2778172.6774000004</v>
      </c>
      <c r="AA76" s="13" t="str" cm="1">
        <f t="array" ref="AA76">ACT_number[№ исходящего акта]</f>
        <v>426 LCL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7" cm="1">
        <f t="array" ref="E77">_xlfn.XLOOKUP($A77,ACT[[№]:[№]],ACT[Date of Dispatch/ 
Дата отгрузки],"",0,1)</f>
        <v>44965</v>
      </c>
      <c r="F77" s="38" t="str" cm="1">
        <f t="array" ref="F77">_xlfn.XLOOKUP($A77,ACT[[№]:[№]],ACT[Supplier/ Поставщик],"",0,1)</f>
        <v>SH-BP(GEM Project)</v>
      </c>
      <c r="G77" s="38" t="str" cm="1">
        <f t="array" ref="G77">_xlfn.XLOOKUP($A77,ACT[[№]:[№]],ACT[Supplier Invoice No/                          № Инвойса Поставщика],"",0,1)</f>
        <v>UZATK0035(13)</v>
      </c>
      <c r="H77" s="39" cm="1">
        <f t="array" ref="H77">_xlfn.XLOOKUP($A77,ACT[[№]:[№]],ACT[CBM],"",0,1)</f>
        <v>1.2E-2</v>
      </c>
      <c r="I77" s="39" cm="1">
        <f t="array" ref="I77">_xlfn.XLOOKUP($A77,ACT[[№]:[№]],ACT[Gross weight, kg/ Вес брутто, кг],"",0,1)</f>
        <v>1.4</v>
      </c>
      <c r="J77" s="39" t="str" cm="1">
        <f t="array" ref="J77">_xlfn.XLOOKUP($A77,ACT[[№]:[№]],ACT[Delivery terms / Условия поставки],"",0,1)</f>
        <v>FCA</v>
      </c>
      <c r="K77" s="39" cm="1">
        <f t="array" ref="K77">_xlfn.XLOOKUP($A77,ACT[[№]:[№]],ACT[Container total CBM],"",0,1)</f>
        <v>21.277999999999999</v>
      </c>
      <c r="L77" s="40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40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40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40" cm="1">
        <f t="array" ref="O77">_xlfn.XLOOKUP($A77,ACT[[№]:[№]],ACT[Documents Work/ Сбор за подготовку документов
KRW],"",0,1)</f>
        <v>28.198138922831092</v>
      </c>
      <c r="P77" s="40" cm="1">
        <f t="array" ref="P77">_xlfn.XLOOKUP($A77,ACT[[№]:[№]],ACT[THC/ Терминальная обработка
KRW],"",0,1)</f>
        <v>104.55869912585769</v>
      </c>
      <c r="Q77" s="40" cm="1">
        <f t="array" ref="Q77">_xlfn.XLOOKUP($A77,ACT[[№]:[№]],ACT[Wharfage/ Портовая пошлина
KRW],"",0,1)</f>
        <v>5.1320612839552586</v>
      </c>
      <c r="R77" s="40" cm="1">
        <f t="array" ref="R77">_xlfn.XLOOKUP($A77,ACT[[№]:[№]],ACT[TRUCKING CHARGE],"",0,1)</f>
        <v>0</v>
      </c>
      <c r="S77" s="40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40" cm="1">
        <f t="array" ref="T77">_xlfn.XLOOKUP($A77,ACT[[№]:[№]],ACT[Special Wooden Shoring / Специальное деревянное крепление],"",0,1)</f>
        <v>0</v>
      </c>
      <c r="U77" s="9"/>
      <c r="V77" s="40" cm="1">
        <f t="array" ref="V77">_xlfn.XLOOKUP($A77,ACT[[№]:[№]],ACT[Total amount/ Общая стоимость KRW (10+11+12+13+14+15+16)],"",0,1)</f>
        <v>265507.25644515461</v>
      </c>
      <c r="W77" s="40" cm="1">
        <f t="array" ref="W77">_xlfn.XLOOKUP($A77,ACT[[№]:[№]],ACT[Total amount/ Общая стоимость (17*exchange rate/ обменный курс)
 USD],"",0,1)</f>
        <v>208.94</v>
      </c>
      <c r="X77" s="9" cm="1">
        <f t="array" ref="X7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7" s="12">
        <f>VLOOKUP(Шаблон_Формулы[[#This Row],[24]],Курс_840[[Дата]:[Курс]],2,0)</f>
        <v>11370.11</v>
      </c>
      <c r="Z77" s="42">
        <f>IFERROR(Шаблон_Формулы[[#This Row],[23]]*Шаблон_Формулы[[#This Row],[25]],"")</f>
        <v>2375670.7834000001</v>
      </c>
      <c r="AA77" s="13" t="str" cm="1">
        <f t="array" ref="AA77">ACT_number[№ исходящего акта]</f>
        <v>426 LCL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7" cm="1">
        <f t="array" ref="E78">_xlfn.XLOOKUP($A78,ACT[[№]:[№]],ACT[Date of Dispatch/ 
Дата отгрузки],"",0,1)</f>
        <v>44965</v>
      </c>
      <c r="F78" s="38" t="str" cm="1">
        <f t="array" ref="F78">_xlfn.XLOOKUP($A78,ACT[[№]:[№]],ACT[Supplier/ Поставщик],"",0,1)</f>
        <v>Youngshin (GEM Project)</v>
      </c>
      <c r="G78" s="38" t="str" cm="1">
        <f t="array" ref="G78">_xlfn.XLOOKUP($A78,ACT[[№]:[№]],ACT[Supplier Invoice No/                          № Инвойса Поставщика],"",0,1)</f>
        <v>UZATK0035(14)</v>
      </c>
      <c r="H78" s="39" cm="1">
        <f t="array" ref="H78">_xlfn.XLOOKUP($A78,ACT[[№]:[№]],ACT[CBM],"",0,1)</f>
        <v>11.407999999999999</v>
      </c>
      <c r="I78" s="39" cm="1">
        <f t="array" ref="I78">_xlfn.XLOOKUP($A78,ACT[[№]:[№]],ACT[Gross weight, kg/ Вес брутто, кг],"",0,1)</f>
        <v>12641.98</v>
      </c>
      <c r="J78" s="39" t="str" cm="1">
        <f t="array" ref="J78">_xlfn.XLOOKUP($A78,ACT[[№]:[№]],ACT[Delivery terms / Условия поставки],"",0,1)</f>
        <v>FCA</v>
      </c>
      <c r="K78" s="39" cm="1">
        <f t="array" ref="K78">_xlfn.XLOOKUP($A78,ACT[[№]:[№]],ACT[Container total CBM],"",0,1)</f>
        <v>21.277999999999999</v>
      </c>
      <c r="L78" s="40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40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40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40" cm="1">
        <f t="array" ref="O78">_xlfn.XLOOKUP($A78,ACT[[№]:[№]],ACT[Documents Work/ Сбор за подготовку документов
KRW],"",0,1)</f>
        <v>26807.030735971428</v>
      </c>
      <c r="P78" s="40" cm="1">
        <f t="array" ref="P78">_xlfn.XLOOKUP($A78,ACT[[№]:[№]],ACT[THC/ Терминальная обработка
KRW],"",0,1)</f>
        <v>99400.469968982041</v>
      </c>
      <c r="Q78" s="40" cm="1">
        <f t="array" ref="Q78">_xlfn.XLOOKUP($A78,ACT[[№]:[№]],ACT[Wharfage/ Портовая пошлина
KRW],"",0,1)</f>
        <v>4878.8795939468</v>
      </c>
      <c r="R78" s="40" cm="1">
        <f t="array" ref="R78">_xlfn.XLOOKUP($A78,ACT[[№]:[№]],ACT[TRUCKING CHARGE],"",0,1)</f>
        <v>0</v>
      </c>
      <c r="S78" s="40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40" cm="1">
        <f t="array" ref="T78">_xlfn.XLOOKUP($A78,ACT[[№]:[№]],ACT[Special Wooden Shoring / Специальное деревянное крепление],"",0,1)</f>
        <v>0</v>
      </c>
      <c r="U78" s="9"/>
      <c r="V78" s="40" cm="1">
        <f t="array" ref="V78">_xlfn.XLOOKUP($A78,ACT[[№]:[№]],ACT[Total amount/ Общая стоимость KRW (10+11+12+13+14+15+16)],"",0,1)</f>
        <v>1476231.7938603251</v>
      </c>
      <c r="W78" s="40" cm="1">
        <f t="array" ref="W78">_xlfn.XLOOKUP($A78,ACT[[№]:[№]],ACT[Total amount/ Общая стоимость (17*exchange rate/ обменный курс)
 USD],"",0,1)</f>
        <v>1161.71</v>
      </c>
      <c r="X78" s="9" cm="1">
        <f t="array" ref="X7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8" s="12">
        <f>VLOOKUP(Шаблон_Формулы[[#This Row],[24]],Курс_840[[Дата]:[Курс]],2,0)</f>
        <v>11370.11</v>
      </c>
      <c r="Z78" s="42">
        <f>IFERROR(Шаблон_Формулы[[#This Row],[23]]*Шаблон_Формулы[[#This Row],[25]],"")</f>
        <v>13208770.488100002</v>
      </c>
      <c r="AA78" s="13" t="str" cm="1">
        <f t="array" ref="AA78">ACT_number[№ исходящего акта]</f>
        <v>426 LCL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7" cm="1">
        <f t="array" ref="E79">_xlfn.XLOOKUP($A79,ACT[[№]:[№]],ACT[Date of Dispatch/ 
Дата отгрузки],"",0,1)</f>
        <v>44965</v>
      </c>
      <c r="F79" s="38" t="str" cm="1">
        <f t="array" ref="F79">_xlfn.XLOOKUP($A79,ACT[[№]:[№]],ACT[Supplier/ Поставщик],"",0,1)</f>
        <v>NIFCO KOREA(GEM Project)</v>
      </c>
      <c r="G79" s="38" t="str" cm="1">
        <f t="array" ref="G79">_xlfn.XLOOKUP($A79,ACT[[№]:[№]],ACT[Supplier Invoice No/                          № Инвойса Поставщика],"",0,1)</f>
        <v>UZATK0035(15)</v>
      </c>
      <c r="H79" s="39" cm="1">
        <f t="array" ref="H79">_xlfn.XLOOKUP($A79,ACT[[№]:[№]],ACT[CBM],"",0,1)</f>
        <v>1.3069999999999999</v>
      </c>
      <c r="I79" s="39" cm="1">
        <f t="array" ref="I79">_xlfn.XLOOKUP($A79,ACT[[№]:[№]],ACT[Gross weight, kg/ Вес брутто, кг],"",0,1)</f>
        <v>160</v>
      </c>
      <c r="J79" s="39" t="str" cm="1">
        <f t="array" ref="J79">_xlfn.XLOOKUP($A79,ACT[[№]:[№]],ACT[Delivery terms / Условия поставки],"",0,1)</f>
        <v>FCA</v>
      </c>
      <c r="K79" s="39" cm="1">
        <f t="array" ref="K79">_xlfn.XLOOKUP($A79,ACT[[№]:[№]],ACT[Container total CBM],"",0,1)</f>
        <v>21.277999999999999</v>
      </c>
      <c r="L79" s="40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40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40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40" cm="1">
        <f t="array" ref="O79">_xlfn.XLOOKUP($A79,ACT[[№]:[№]],ACT[Documents Work/ Сбор за подготовку документов
KRW],"",0,1)</f>
        <v>3071.2472976783533</v>
      </c>
      <c r="P79" s="40" cm="1">
        <f t="array" ref="P79">_xlfn.XLOOKUP($A79,ACT[[№]:[№]],ACT[THC/ Терминальная обработка
KRW],"",0,1)</f>
        <v>11388.184979791336</v>
      </c>
      <c r="Q79" s="40" cm="1">
        <f t="array" ref="Q79">_xlfn.XLOOKUP($A79,ACT[[№]:[№]],ACT[Wharfage/ Портовая пошлина
KRW],"",0,1)</f>
        <v>558.96700817746034</v>
      </c>
      <c r="R79" s="40" cm="1">
        <f t="array" ref="R79">_xlfn.XLOOKUP($A79,ACT[[№]:[№]],ACT[TRUCKING CHARGE],"",0,1)</f>
        <v>0</v>
      </c>
      <c r="S79" s="40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40" cm="1">
        <f t="array" ref="T79">_xlfn.XLOOKUP($A79,ACT[[№]:[№]],ACT[Special Wooden Shoring / Специальное деревянное крепление],"",0,1)</f>
        <v>0</v>
      </c>
      <c r="U79" s="9"/>
      <c r="V79" s="40" cm="1">
        <f t="array" ref="V79">_xlfn.XLOOKUP($A79,ACT[[№]:[№]],ACT[Total amount/ Общая стоимость KRW (10+11+12+13+14+15+16)],"",0,1)</f>
        <v>417248.68115142407</v>
      </c>
      <c r="W79" s="40" cm="1">
        <f t="array" ref="W79">_xlfn.XLOOKUP($A79,ACT[[№]:[№]],ACT[Total amount/ Общая стоимость (17*exchange rate/ обменный курс)
 USD],"",0,1)</f>
        <v>328.35</v>
      </c>
      <c r="X79" s="9" cm="1">
        <f t="array" ref="X7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9" s="12">
        <f>VLOOKUP(Шаблон_Формулы[[#This Row],[24]],Курс_840[[Дата]:[Курс]],2,0)</f>
        <v>11370.11</v>
      </c>
      <c r="Z79" s="42">
        <f>IFERROR(Шаблон_Формулы[[#This Row],[23]]*Шаблон_Формулы[[#This Row],[25]],"")</f>
        <v>3733375.6185000003</v>
      </c>
      <c r="AA79" s="13" t="str" cm="1">
        <f t="array" ref="AA79">ACT_number[№ исходящего акта]</f>
        <v>426 LCL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7" cm="1">
        <f t="array" ref="E80">_xlfn.XLOOKUP($A80,ACT[[№]:[№]],ACT[Date of Dispatch/ 
Дата отгрузки],"",0,1)</f>
        <v>44965</v>
      </c>
      <c r="F80" s="38" t="str" cm="1">
        <f t="array" ref="F80">_xlfn.XLOOKUP($A80,ACT[[№]:[№]],ACT[Supplier/ Поставщик],"",0,1)</f>
        <v>ERAE AMS</v>
      </c>
      <c r="G80" s="38" t="str" cm="1">
        <f t="array" ref="G80">_xlfn.XLOOKUP($A80,ACT[[№]:[№]],ACT[Supplier Invoice No/                          № Инвойса Поставщика],"",0,1)</f>
        <v>DS231CH01-1(1)</v>
      </c>
      <c r="H80" s="39" cm="1">
        <f t="array" ref="H80">_xlfn.XLOOKUP($A80,ACT[[№]:[№]],ACT[CBM],"",0,1)</f>
        <v>13.34</v>
      </c>
      <c r="I80" s="39" cm="1">
        <f t="array" ref="I80">_xlfn.XLOOKUP($A80,ACT[[№]:[№]],ACT[Gross weight, kg/ Вес брутто, кг],"",0,1)</f>
        <v>5500</v>
      </c>
      <c r="J80" s="39" t="str" cm="1">
        <f t="array" ref="J80">_xlfn.XLOOKUP($A80,ACT[[№]:[№]],ACT[Delivery terms / Условия поставки],"",0,1)</f>
        <v>FCA</v>
      </c>
      <c r="K80" s="39" cm="1">
        <f t="array" ref="K80">_xlfn.XLOOKUP($A80,ACT[[№]:[№]],ACT[Container total CBM],"",0,1)</f>
        <v>58.436999999999991</v>
      </c>
      <c r="L80" s="40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40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40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40" cm="1">
        <f t="array" ref="O80">_xlfn.XLOOKUP($A80,ACT[[№]:[№]],ACT[Documents Work/ Сбор за подготовку документов
KRW],"",0,1)</f>
        <v>11414.001403220564</v>
      </c>
      <c r="P80" s="40" cm="1">
        <f t="array" ref="P80">_xlfn.XLOOKUP($A80,ACT[[№]:[№]],ACT[THC/ Терминальная обработка
KRW],"",0,1)</f>
        <v>42323.117203141854</v>
      </c>
      <c r="Q80" s="40" cm="1">
        <f t="array" ref="Q80">_xlfn.XLOOKUP($A80,ACT[[№]:[№]],ACT[Wharfage/ Портовая пошлина
KRW],"",0,1)</f>
        <v>2077.3482553861427</v>
      </c>
      <c r="R80" s="40" cm="1">
        <f t="array" ref="R80">_xlfn.XLOOKUP($A80,ACT[[№]:[№]],ACT[TRUCKING CHARGE],"",0,1)</f>
        <v>0</v>
      </c>
      <c r="S80" s="40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40" cm="1">
        <f t="array" ref="T80">_xlfn.XLOOKUP($A80,ACT[[№]:[№]],ACT[Special Wooden Shoring / Специальное деревянное крепление],"",0,1)</f>
        <v>0</v>
      </c>
      <c r="U80" s="9"/>
      <c r="V80" s="40" cm="1">
        <f t="array" ref="V80">_xlfn.XLOOKUP($A80,ACT[[№]:[№]],ACT[Total amount/ Общая стоимость KRW (10+11+12+13+14+15+16)],"",0,1)</f>
        <v>653344.28417269874</v>
      </c>
      <c r="W80" s="40" cm="1">
        <f t="array" ref="W80">_xlfn.XLOOKUP($A80,ACT[[№]:[№]],ACT[Total amount/ Общая стоимость (17*exchange rate/ обменный курс)
 USD],"",0,1)</f>
        <v>514.14</v>
      </c>
      <c r="X80" s="9" cm="1">
        <f t="array" ref="X8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0" s="12">
        <f>VLOOKUP(Шаблон_Формулы[[#This Row],[24]],Курс_840[[Дата]:[Курс]],2,0)</f>
        <v>11370.11</v>
      </c>
      <c r="Z80" s="42">
        <f>IFERROR(Шаблон_Формулы[[#This Row],[23]]*Шаблон_Формулы[[#This Row],[25]],"")</f>
        <v>5845828.3553999998</v>
      </c>
      <c r="AA80" s="13" t="str" cm="1">
        <f t="array" ref="AA80">ACT_number[№ исходящего акта]</f>
        <v>426 LCL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7" cm="1">
        <f t="array" ref="E81">_xlfn.XLOOKUP($A81,ACT[[№]:[№]],ACT[Date of Dispatch/ 
Дата отгрузки],"",0,1)</f>
        <v>44965</v>
      </c>
      <c r="F81" s="38" t="str" cm="1">
        <f t="array" ref="F81">_xlfn.XLOOKUP($A81,ACT[[№]:[№]],ACT[Supplier/ Поставщик],"",0,1)</f>
        <v>ERAE AMS</v>
      </c>
      <c r="G81" s="38" t="str" cm="1">
        <f t="array" ref="G81">_xlfn.XLOOKUP($A81,ACT[[№]:[№]],ACT[Supplier Invoice No/                          № Инвойса Поставщика],"",0,1)</f>
        <v>DS231CH01-1(2)</v>
      </c>
      <c r="H81" s="39" cm="1">
        <f t="array" ref="H81">_xlfn.XLOOKUP($A81,ACT[[№]:[№]],ACT[CBM],"",0,1)</f>
        <v>19.84</v>
      </c>
      <c r="I81" s="39" cm="1">
        <f t="array" ref="I81">_xlfn.XLOOKUP($A81,ACT[[№]:[№]],ACT[Gross weight, kg/ Вес брутто, кг],"",0,1)</f>
        <v>7100</v>
      </c>
      <c r="J81" s="39" t="str" cm="1">
        <f t="array" ref="J81">_xlfn.XLOOKUP($A81,ACT[[№]:[№]],ACT[Delivery terms / Условия поставки],"",0,1)</f>
        <v>FCA</v>
      </c>
      <c r="K81" s="39" cm="1">
        <f t="array" ref="K81">_xlfn.XLOOKUP($A81,ACT[[№]:[№]],ACT[Container total CBM],"",0,1)</f>
        <v>58.436999999999991</v>
      </c>
      <c r="L81" s="40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40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40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40" cm="1">
        <f t="array" ref="O81">_xlfn.XLOOKUP($A81,ACT[[№]:[№]],ACT[Documents Work/ Сбор за подготовку документов
KRW],"",0,1)</f>
        <v>16975.546314834784</v>
      </c>
      <c r="P81" s="40" cm="1">
        <f t="array" ref="P81">_xlfn.XLOOKUP($A81,ACT[[№]:[№]],ACT[THC/ Терминальная обработка
KRW],"",0,1)</f>
        <v>62945.325735407379</v>
      </c>
      <c r="Q81" s="40" cm="1">
        <f t="array" ref="Q81">_xlfn.XLOOKUP($A81,ACT[[№]:[№]],ACT[Wharfage/ Портовая пошлина
KRW],"",0,1)</f>
        <v>3089.5494292999306</v>
      </c>
      <c r="R81" s="40" cm="1">
        <f t="array" ref="R81">_xlfn.XLOOKUP($A81,ACT[[№]:[№]],ACT[TRUCKING CHARGE],"",0,1)</f>
        <v>0</v>
      </c>
      <c r="S81" s="40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40" cm="1">
        <f t="array" ref="T81">_xlfn.XLOOKUP($A81,ACT[[№]:[№]],ACT[Special Wooden Shoring / Специальное деревянное крепление],"",0,1)</f>
        <v>0</v>
      </c>
      <c r="U81" s="9"/>
      <c r="V81" s="40" cm="1">
        <f t="array" ref="V81">_xlfn.XLOOKUP($A81,ACT[[№]:[№]],ACT[Total amount/ Общая стоимость KRW (10+11+12+13+14+15+16)],"",0,1)</f>
        <v>788482.05382206477</v>
      </c>
      <c r="W81" s="40" cm="1">
        <f t="array" ref="W81">_xlfn.XLOOKUP($A81,ACT[[№]:[№]],ACT[Total amount/ Общая стоимость (17*exchange rate/ обменный курс)
 USD],"",0,1)</f>
        <v>620.49</v>
      </c>
      <c r="X81" s="9" cm="1">
        <f t="array" ref="X8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1" s="12">
        <f>VLOOKUP(Шаблон_Формулы[[#This Row],[24]],Курс_840[[Дата]:[Курс]],2,0)</f>
        <v>11370.11</v>
      </c>
      <c r="Z81" s="42">
        <f>IFERROR(Шаблон_Формулы[[#This Row],[23]]*Шаблон_Формулы[[#This Row],[25]],"")</f>
        <v>7055039.5539000006</v>
      </c>
      <c r="AA81" s="13" t="str" cm="1">
        <f t="array" ref="AA81">ACT_number[№ исходящего акта]</f>
        <v>426 LCL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7" cm="1">
        <f t="array" ref="E82">_xlfn.XLOOKUP($A82,ACT[[№]:[№]],ACT[Date of Dispatch/ 
Дата отгрузки],"",0,1)</f>
        <v>44965</v>
      </c>
      <c r="F82" s="38" t="str" cm="1">
        <f t="array" ref="F82">_xlfn.XLOOKUP($A82,ACT[[№]:[№]],ACT[Supplier/ Поставщик],"",0,1)</f>
        <v>ERAE AMS</v>
      </c>
      <c r="G82" s="38" t="str" cm="1">
        <f t="array" ref="G82">_xlfn.XLOOKUP($A82,ACT[[№]:[№]],ACT[Supplier Invoice No/                          № Инвойса Поставщика],"",0,1)</f>
        <v>DS231CH01-1(3)</v>
      </c>
      <c r="H82" s="39" cm="1">
        <f t="array" ref="H82">_xlfn.XLOOKUP($A82,ACT[[№]:[№]],ACT[CBM],"",0,1)</f>
        <v>4.6689999999999996</v>
      </c>
      <c r="I82" s="39" cm="1">
        <f t="array" ref="I82">_xlfn.XLOOKUP($A82,ACT[[№]:[№]],ACT[Gross weight, kg/ Вес брутто, кг],"",0,1)</f>
        <v>1918</v>
      </c>
      <c r="J82" s="39" t="str" cm="1">
        <f t="array" ref="J82">_xlfn.XLOOKUP($A82,ACT[[№]:[№]],ACT[Delivery terms / Условия поставки],"",0,1)</f>
        <v>FCA</v>
      </c>
      <c r="K82" s="39" cm="1">
        <f t="array" ref="K82">_xlfn.XLOOKUP($A82,ACT[[№]:[№]],ACT[Container total CBM],"",0,1)</f>
        <v>58.436999999999991</v>
      </c>
      <c r="L82" s="40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40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40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40" cm="1">
        <f t="array" ref="O82">_xlfn.XLOOKUP($A82,ACT[[№]:[№]],ACT[Documents Work/ Сбор за подготовку документов
KRW],"",0,1)</f>
        <v>3994.9004911271977</v>
      </c>
      <c r="P82" s="40" cm="1">
        <f t="array" ref="P82">_xlfn.XLOOKUP($A82,ACT[[№]:[№]],ACT[THC/ Терминальная обработка
KRW],"",0,1)</f>
        <v>14813.091021099646</v>
      </c>
      <c r="Q82" s="40" cm="1">
        <f t="array" ref="Q82">_xlfn.XLOOKUP($A82,ACT[[№]:[№]],ACT[Wharfage/ Портовая пошлина
KRW],"",0,1)</f>
        <v>727.07188938514992</v>
      </c>
      <c r="R82" s="40" cm="1">
        <f t="array" ref="R82">_xlfn.XLOOKUP($A82,ACT[[№]:[№]],ACT[TRUCKING CHARGE],"",0,1)</f>
        <v>0</v>
      </c>
      <c r="S82" s="40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40" cm="1">
        <f t="array" ref="T82">_xlfn.XLOOKUP($A82,ACT[[№]:[№]],ACT[Special Wooden Shoring / Специальное деревянное крепление],"",0,1)</f>
        <v>0</v>
      </c>
      <c r="U82" s="9"/>
      <c r="V82" s="40" cm="1">
        <f t="array" ref="V82">_xlfn.XLOOKUP($A82,ACT[[№]:[№]],ACT[Total amount/ Общая стоимость KRW (10+11+12+13+14+15+16)],"",0,1)</f>
        <v>388170.49946044461</v>
      </c>
      <c r="W82" s="40" cm="1">
        <f t="array" ref="W82">_xlfn.XLOOKUP($A82,ACT[[№]:[№]],ACT[Total amount/ Общая стоимость (17*exchange rate/ обменный курс)
 USD],"",0,1)</f>
        <v>305.47000000000003</v>
      </c>
      <c r="X82" s="9" cm="1">
        <f t="array" ref="X8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2" s="12">
        <f>VLOOKUP(Шаблон_Формулы[[#This Row],[24]],Курс_840[[Дата]:[Курс]],2,0)</f>
        <v>11370.11</v>
      </c>
      <c r="Z82" s="42">
        <f>IFERROR(Шаблон_Формулы[[#This Row],[23]]*Шаблон_Формулы[[#This Row],[25]],"")</f>
        <v>3473227.5017000004</v>
      </c>
      <c r="AA82" s="13" t="str" cm="1">
        <f t="array" ref="AA82">ACT_number[№ исходящего акта]</f>
        <v>426 LCL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7" cm="1">
        <f t="array" ref="E83">_xlfn.XLOOKUP($A83,ACT[[№]:[№]],ACT[Date of Dispatch/ 
Дата отгрузки],"",0,1)</f>
        <v>44965</v>
      </c>
      <c r="F83" s="38" t="str" cm="1">
        <f t="array" ref="F83">_xlfn.XLOOKUP($A83,ACT[[№]:[№]],ACT[Supplier/ Поставщик],"",0,1)</f>
        <v>ERAE AMS</v>
      </c>
      <c r="G83" s="38" t="str" cm="1">
        <f t="array" ref="G83">_xlfn.XLOOKUP($A83,ACT[[№]:[№]],ACT[Supplier Invoice No/                          № Инвойса Поставщика],"",0,1)</f>
        <v>DS231CH01-1(4)</v>
      </c>
      <c r="H83" s="39" cm="1">
        <f t="array" ref="H83">_xlfn.XLOOKUP($A83,ACT[[№]:[№]],ACT[CBM],"",0,1)</f>
        <v>6.9450000000000003</v>
      </c>
      <c r="I83" s="39" cm="1">
        <f t="array" ref="I83">_xlfn.XLOOKUP($A83,ACT[[№]:[№]],ACT[Gross weight, kg/ Вес брутто, кг],"",0,1)</f>
        <v>2562</v>
      </c>
      <c r="J83" s="39" t="str" cm="1">
        <f t="array" ref="J83">_xlfn.XLOOKUP($A83,ACT[[№]:[№]],ACT[Delivery terms / Условия поставки],"",0,1)</f>
        <v>FCA</v>
      </c>
      <c r="K83" s="39" cm="1">
        <f t="array" ref="K83">_xlfn.XLOOKUP($A83,ACT[[№]:[№]],ACT[Container total CBM],"",0,1)</f>
        <v>58.436999999999991</v>
      </c>
      <c r="L83" s="40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40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40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40" cm="1">
        <f t="array" ref="O83">_xlfn.XLOOKUP($A83,ACT[[№]:[№]],ACT[Documents Work/ Сбор за подготовку документов
KRW],"",0,1)</f>
        <v>5942.2968324862686</v>
      </c>
      <c r="P83" s="40" cm="1">
        <f t="array" ref="P83">_xlfn.XLOOKUP($A83,ACT[[№]:[№]],ACT[THC/ Терминальная обработка
KRW],"",0,1)</f>
        <v>22034.036654859083</v>
      </c>
      <c r="Q83" s="40" cm="1">
        <f t="array" ref="Q83">_xlfn.XLOOKUP($A83,ACT[[№]:[№]],ACT[Wharfage/ Портовая пошлина
KRW],"",0,1)</f>
        <v>1081.4980235125008</v>
      </c>
      <c r="R83" s="40" cm="1">
        <f t="array" ref="R83">_xlfn.XLOOKUP($A83,ACT[[№]:[№]],ACT[TRUCKING CHARGE],"",0,1)</f>
        <v>0</v>
      </c>
      <c r="S83" s="40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40" cm="1">
        <f t="array" ref="T83">_xlfn.XLOOKUP($A83,ACT[[№]:[№]],ACT[Special Wooden Shoring / Специальное деревянное крепление],"",0,1)</f>
        <v>0</v>
      </c>
      <c r="U83" s="9"/>
      <c r="V83" s="40" cm="1">
        <f t="array" ref="V83">_xlfn.XLOOKUP($A83,ACT[[№]:[№]],ACT[Total amount/ Общая стоимость KRW (10+11+12+13+14+15+16)],"",0,1)</f>
        <v>435489.50926382258</v>
      </c>
      <c r="W83" s="40" cm="1">
        <f t="array" ref="W83">_xlfn.XLOOKUP($A83,ACT[[№]:[№]],ACT[Total amount/ Общая стоимость (17*exchange rate/ обменный курс)
 USD],"",0,1)</f>
        <v>342.71</v>
      </c>
      <c r="X83" s="9" cm="1">
        <f t="array" ref="X8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3" s="12">
        <f>VLOOKUP(Шаблон_Формулы[[#This Row],[24]],Курс_840[[Дата]:[Курс]],2,0)</f>
        <v>11370.11</v>
      </c>
      <c r="Z83" s="42">
        <f>IFERROR(Шаблон_Формулы[[#This Row],[23]]*Шаблон_Формулы[[#This Row],[25]],"")</f>
        <v>3896650.3980999999</v>
      </c>
      <c r="AA83" s="13" t="str" cm="1">
        <f t="array" ref="AA83">ACT_number[№ исходящего акта]</f>
        <v>426 LCL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7" cm="1">
        <f t="array" ref="E84">_xlfn.XLOOKUP($A84,ACT[[№]:[№]],ACT[Date of Dispatch/ 
Дата отгрузки],"",0,1)</f>
        <v>44965</v>
      </c>
      <c r="F84" s="38" t="str" cm="1">
        <f t="array" ref="F84">_xlfn.XLOOKUP($A84,ACT[[№]:[№]],ACT[Supplier/ Поставщик],"",0,1)</f>
        <v>ERAE AMS</v>
      </c>
      <c r="G84" s="38" t="str" cm="1">
        <f t="array" ref="G84">_xlfn.XLOOKUP($A84,ACT[[№]:[№]],ACT[Supplier Invoice No/                          № Инвойса Поставщика],"",0,1)</f>
        <v>DS231CH01-1(5)</v>
      </c>
      <c r="H84" s="39" cm="1">
        <f t="array" ref="H84">_xlfn.XLOOKUP($A84,ACT[[№]:[№]],ACT[CBM],"",0,1)</f>
        <v>5.3360000000000003</v>
      </c>
      <c r="I84" s="39" cm="1">
        <f t="array" ref="I84">_xlfn.XLOOKUP($A84,ACT[[№]:[№]],ACT[Gross weight, kg/ Вес брутто, кг],"",0,1)</f>
        <v>2200</v>
      </c>
      <c r="J84" s="39" t="str" cm="1">
        <f t="array" ref="J84">_xlfn.XLOOKUP($A84,ACT[[№]:[№]],ACT[Delivery terms / Условия поставки],"",0,1)</f>
        <v>FCA</v>
      </c>
      <c r="K84" s="39" cm="1">
        <f t="array" ref="K84">_xlfn.XLOOKUP($A84,ACT[[№]:[№]],ACT[Container total CBM],"",0,1)</f>
        <v>58.436999999999991</v>
      </c>
      <c r="L84" s="40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40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40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40" cm="1">
        <f t="array" ref="O84">_xlfn.XLOOKUP($A84,ACT[[№]:[№]],ACT[Documents Work/ Сбор за подготовку документов
KRW],"",0,1)</f>
        <v>4565.6005612882254</v>
      </c>
      <c r="P84" s="40" cm="1">
        <f t="array" ref="P84">_xlfn.XLOOKUP($A84,ACT[[№]:[№]],ACT[THC/ Терминальная обработка
KRW],"",0,1)</f>
        <v>16929.246881256742</v>
      </c>
      <c r="Q84" s="40" cm="1">
        <f t="array" ref="Q84">_xlfn.XLOOKUP($A84,ACT[[№]:[№]],ACT[Wharfage/ Портовая пошлина
KRW],"",0,1)</f>
        <v>830.9393021544571</v>
      </c>
      <c r="R84" s="40" cm="1">
        <f t="array" ref="R84">_xlfn.XLOOKUP($A84,ACT[[№]:[№]],ACT[TRUCKING CHARGE],"",0,1)</f>
        <v>0</v>
      </c>
      <c r="S84" s="40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40" cm="1">
        <f t="array" ref="T84">_xlfn.XLOOKUP($A84,ACT[[№]:[№]],ACT[Special Wooden Shoring / Специальное деревянное крепление],"",0,1)</f>
        <v>0</v>
      </c>
      <c r="U84" s="9"/>
      <c r="V84" s="40" cm="1">
        <f t="array" ref="V84">_xlfn.XLOOKUP($A84,ACT[[№]:[№]],ACT[Total amount/ Общая стоимость KRW (10+11+12+13+14+15+16)],"",0,1)</f>
        <v>402037.71366907959</v>
      </c>
      <c r="W84" s="40" cm="1">
        <f t="array" ref="W84">_xlfn.XLOOKUP($A84,ACT[[№]:[№]],ACT[Total amount/ Общая стоимость (17*exchange rate/ обменный курс)
 USD],"",0,1)</f>
        <v>316.38</v>
      </c>
      <c r="X84" s="9" cm="1">
        <f t="array" ref="X8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4" s="12">
        <f>VLOOKUP(Шаблон_Формулы[[#This Row],[24]],Курс_840[[Дата]:[Курс]],2,0)</f>
        <v>11370.11</v>
      </c>
      <c r="Z84" s="42">
        <f>IFERROR(Шаблон_Формулы[[#This Row],[23]]*Шаблон_Формулы[[#This Row],[25]],"")</f>
        <v>3597275.4018000001</v>
      </c>
      <c r="AA84" s="13" t="str" cm="1">
        <f t="array" ref="AA84">ACT_number[№ исходящего акта]</f>
        <v>426 LCL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7" cm="1">
        <f t="array" ref="E85">_xlfn.XLOOKUP($A85,ACT[[№]:[№]],ACT[Date of Dispatch/ 
Дата отгрузки],"",0,1)</f>
        <v>44965</v>
      </c>
      <c r="F85" s="38" t="str" cm="1">
        <f t="array" ref="F85">_xlfn.XLOOKUP($A85,ACT[[№]:[№]],ACT[Supplier/ Поставщик],"",0,1)</f>
        <v>ERAE AMS</v>
      </c>
      <c r="G85" s="38" t="str" cm="1">
        <f t="array" ref="G85">_xlfn.XLOOKUP($A85,ACT[[№]:[№]],ACT[Supplier Invoice No/                          № Инвойса Поставщика],"",0,1)</f>
        <v>DS231CH01-1(6)</v>
      </c>
      <c r="H85" s="39" cm="1">
        <f t="array" ref="H85">_xlfn.XLOOKUP($A85,ACT[[№]:[№]],ACT[CBM],"",0,1)</f>
        <v>7.9370000000000003</v>
      </c>
      <c r="I85" s="39" cm="1">
        <f t="array" ref="I85">_xlfn.XLOOKUP($A85,ACT[[№]:[№]],ACT[Gross weight, kg/ Вес брутто, кг],"",0,1)</f>
        <v>2840</v>
      </c>
      <c r="J85" s="39" t="str" cm="1">
        <f t="array" ref="J85">_xlfn.XLOOKUP($A85,ACT[[№]:[№]],ACT[Delivery terms / Условия поставки],"",0,1)</f>
        <v>FCA</v>
      </c>
      <c r="K85" s="39" cm="1">
        <f t="array" ref="K85">_xlfn.XLOOKUP($A85,ACT[[№]:[№]],ACT[Container total CBM],"",0,1)</f>
        <v>58.436999999999991</v>
      </c>
      <c r="L85" s="40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40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40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40" cm="1">
        <f t="array" ref="O85">_xlfn.XLOOKUP($A85,ACT[[№]:[№]],ACT[Documents Work/ Сбор за подготовку документов
KRW],"",0,1)</f>
        <v>6791.0741482280073</v>
      </c>
      <c r="P85" s="40" cm="1">
        <f t="array" ref="P85">_xlfn.XLOOKUP($A85,ACT[[№]:[№]],ACT[THC/ Терминальная обработка
KRW],"",0,1)</f>
        <v>25181.302941629452</v>
      </c>
      <c r="Q85" s="40" cm="1">
        <f t="array" ref="Q85">_xlfn.XLOOKUP($A85,ACT[[№]:[№]],ACT[Wharfage/ Портовая пошлина
KRW],"",0,1)</f>
        <v>1235.9754949774974</v>
      </c>
      <c r="R85" s="40" cm="1">
        <f t="array" ref="R85">_xlfn.XLOOKUP($A85,ACT[[№]:[№]],ACT[TRUCKING CHARGE],"",0,1)</f>
        <v>0</v>
      </c>
      <c r="S85" s="40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40" cm="1">
        <f t="array" ref="T85">_xlfn.XLOOKUP($A85,ACT[[№]:[№]],ACT[Special Wooden Shoring / Специальное деревянное крепление],"",0,1)</f>
        <v>0</v>
      </c>
      <c r="U85" s="9"/>
      <c r="V85" s="40" cm="1">
        <f t="array" ref="V85">_xlfn.XLOOKUP($A85,ACT[[№]:[№]],ACT[Total amount/ Общая стоимость KRW (10+11+12+13+14+15+16)],"",0,1)</f>
        <v>497013.61195492581</v>
      </c>
      <c r="W85" s="40" cm="1">
        <f t="array" ref="W85">_xlfn.XLOOKUP($A85,ACT[[№]:[№]],ACT[Total amount/ Общая стоимость (17*exchange rate/ обменный курс)
 USD],"",0,1)</f>
        <v>391.12</v>
      </c>
      <c r="X85" s="9" cm="1">
        <f t="array" ref="X8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5" s="12">
        <f>VLOOKUP(Шаблон_Формулы[[#This Row],[24]],Курс_840[[Дата]:[Курс]],2,0)</f>
        <v>11370.11</v>
      </c>
      <c r="Z85" s="42">
        <f>IFERROR(Шаблон_Формулы[[#This Row],[23]]*Шаблон_Формулы[[#This Row],[25]],"")</f>
        <v>4447077.4232000001</v>
      </c>
      <c r="AA85" s="13" t="str" cm="1">
        <f t="array" ref="AA85">ACT_number[№ исходящего акта]</f>
        <v>426 LCL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7" cm="1">
        <f t="array" ref="E86">_xlfn.XLOOKUP($A86,ACT[[№]:[№]],ACT[Date of Dispatch/ 
Дата отгрузки],"",0,1)</f>
        <v>44965</v>
      </c>
      <c r="F86" s="38" t="str" cm="1">
        <f t="array" ref="F86">_xlfn.XLOOKUP($A86,ACT[[№]:[№]],ACT[Supplier/ Поставщик],"",0,1)</f>
        <v>ERAE AMS</v>
      </c>
      <c r="G86" s="38" t="str" cm="1">
        <f t="array" ref="G86">_xlfn.XLOOKUP($A86,ACT[[№]:[№]],ACT[Supplier Invoice No/                          № Инвойса Поставщика],"",0,1)</f>
        <v>DS231AS01</v>
      </c>
      <c r="H86" s="39" cm="1">
        <f t="array" ref="H86">_xlfn.XLOOKUP($A86,ACT[[№]:[№]],ACT[CBM],"",0,1)</f>
        <v>0.37</v>
      </c>
      <c r="I86" s="39" cm="1">
        <f t="array" ref="I86">_xlfn.XLOOKUP($A86,ACT[[№]:[№]],ACT[Gross weight, kg/ Вес брутто, кг],"",0,1)</f>
        <v>15</v>
      </c>
      <c r="J86" s="39" t="str" cm="1">
        <f t="array" ref="J86">_xlfn.XLOOKUP($A86,ACT[[№]:[№]],ACT[Delivery terms / Условия поставки],"",0,1)</f>
        <v>FCA</v>
      </c>
      <c r="K86" s="39" cm="1">
        <f t="array" ref="K86">_xlfn.XLOOKUP($A86,ACT[[№]:[№]],ACT[Container total CBM],"",0,1)</f>
        <v>58.436999999999991</v>
      </c>
      <c r="L86" s="40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40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40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40" cm="1">
        <f t="array" ref="O86">_xlfn.XLOOKUP($A86,ACT[[№]:[№]],ACT[Documents Work/ Сбор за подготовку документов
KRW],"",0,1)</f>
        <v>316.58024881496317</v>
      </c>
      <c r="P86" s="40" cm="1">
        <f t="array" ref="P86">_xlfn.XLOOKUP($A86,ACT[[№]:[№]],ACT[THC/ Терминальная обработка
KRW],"",0,1)</f>
        <v>1173.8795626058834</v>
      </c>
      <c r="Q86" s="40" cm="1">
        <f t="array" ref="Q86">_xlfn.XLOOKUP($A86,ACT[[№]:[№]],ACT[Wharfage/ Портовая пошлина
KRW],"",0,1)</f>
        <v>57.617605284323297</v>
      </c>
      <c r="R86" s="40" cm="1">
        <f t="array" ref="R86">_xlfn.XLOOKUP($A86,ACT[[№]:[№]],ACT[TRUCKING CHARGE],"",0,1)</f>
        <v>0</v>
      </c>
      <c r="S86" s="40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40" cm="1">
        <f t="array" ref="T86">_xlfn.XLOOKUP($A86,ACT[[№]:[№]],ACT[Special Wooden Shoring / Специальное деревянное крепление],"",0,1)</f>
        <v>0</v>
      </c>
      <c r="U86" s="9"/>
      <c r="V86" s="40" cm="1">
        <f t="array" ref="V86">_xlfn.XLOOKUP($A86,ACT[[№]:[№]],ACT[Total amount/ Общая стоимость KRW (10+11+12+13+14+15+16)],"",0,1)</f>
        <v>239692.45765696387</v>
      </c>
      <c r="W86" s="40" cm="1">
        <f t="array" ref="W86">_xlfn.XLOOKUP($A86,ACT[[№]:[№]],ACT[Total amount/ Общая стоимость (17*exchange rate/ обменный курс)
 USD],"",0,1)</f>
        <v>188.62</v>
      </c>
      <c r="X86" s="9" cm="1">
        <f t="array" ref="X8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6" s="12">
        <f>VLOOKUP(Шаблон_Формулы[[#This Row],[24]],Курс_840[[Дата]:[Курс]],2,0)</f>
        <v>11370.11</v>
      </c>
      <c r="Z86" s="42">
        <f>IFERROR(Шаблон_Формулы[[#This Row],[23]]*Шаблон_Формулы[[#This Row],[25]],"")</f>
        <v>2144630.1482000002</v>
      </c>
      <c r="AA86" s="13" t="str" cm="1">
        <f t="array" ref="AA86">ACT_number[№ исходящего акта]</f>
        <v>426 LCL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7" cm="1">
        <f t="array" ref="E87">_xlfn.XLOOKUP($A87,ACT[[№]:[№]],ACT[Date of Dispatch/ 
Дата отгрузки],"",0,1)</f>
        <v>44965</v>
      </c>
      <c r="F87" s="38" t="str" cm="1">
        <f t="array" ref="F87">_xlfn.XLOOKUP($A87,ACT[[№]:[№]],ACT[Supplier/ Поставщик],"",0,1)</f>
        <v>ERAE AMS</v>
      </c>
      <c r="G87" s="38" t="str" cm="1">
        <f t="array" ref="G87">_xlfn.XLOOKUP($A87,ACT[[№]:[№]],ACT[Supplier Invoice No/                          № Инвойса Поставщика],"",0,1)</f>
        <v>DM231CH03</v>
      </c>
      <c r="H87" s="39" cm="1">
        <f t="array" ref="H87">_xlfn.XLOOKUP($A87,ACT[[№]:[№]],ACT[CBM],"",0,1)</f>
        <v>15.414999999999999</v>
      </c>
      <c r="I87" s="39" cm="1">
        <f t="array" ref="I87">_xlfn.XLOOKUP($A87,ACT[[№]:[№]],ACT[Gross weight, kg/ Вес брутто, кг],"",0,1)</f>
        <v>5005</v>
      </c>
      <c r="J87" s="39" t="str" cm="1">
        <f t="array" ref="J87">_xlfn.XLOOKUP($A87,ACT[[№]:[№]],ACT[Delivery terms / Условия поставки],"",0,1)</f>
        <v>FCA</v>
      </c>
      <c r="K87" s="39" cm="1">
        <f t="array" ref="K87">_xlfn.XLOOKUP($A87,ACT[[№]:[№]],ACT[Container total CBM],"",0,1)</f>
        <v>45.497</v>
      </c>
      <c r="L87" s="40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40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40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40" cm="1">
        <f t="array" ref="O87">_xlfn.XLOOKUP($A87,ACT[[№]:[№]],ACT[Documents Work/ Сбор за подготовку документов
KRW],"",0,1)</f>
        <v>16940.67740730158</v>
      </c>
      <c r="P87" s="40" cm="1">
        <f t="array" ref="P87">_xlfn.XLOOKUP($A87,ACT[[№]:[№]],ACT[THC/ Терминальная обработка
KRW],"",0,1)</f>
        <v>62816.031826274258</v>
      </c>
      <c r="Q87" s="40" cm="1">
        <f t="array" ref="Q87">_xlfn.XLOOKUP($A87,ACT[[№]:[№]],ACT[Wharfage/ Портовая пошлина
KRW],"",0,1)</f>
        <v>3083.2032881288874</v>
      </c>
      <c r="R87" s="40" cm="1">
        <f t="array" ref="R87">_xlfn.XLOOKUP($A87,ACT[[№]:[№]],ACT[TRUCKING CHARGE],"",0,1)</f>
        <v>0</v>
      </c>
      <c r="S87" s="40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40" cm="1">
        <f t="array" ref="T87">_xlfn.XLOOKUP($A87,ACT[[№]:[№]],ACT[Special Wooden Shoring / Специальное деревянное крепление],"",0,1)</f>
        <v>0</v>
      </c>
      <c r="U87" s="9"/>
      <c r="V87" s="40" cm="1">
        <f t="array" ref="V87">_xlfn.XLOOKUP($A87,ACT[[№]:[№]],ACT[Total amount/ Общая стоимость KRW (10+11+12+13+14+15+16)],"",0,1)</f>
        <v>706412.52840736741</v>
      </c>
      <c r="W87" s="40" cm="1">
        <f t="array" ref="W87">_xlfn.XLOOKUP($A87,ACT[[№]:[№]],ACT[Total amount/ Общая стоимость (17*exchange rate/ обменный курс)
 USD],"",0,1)</f>
        <v>555.91</v>
      </c>
      <c r="X87" s="9" cm="1">
        <f t="array" ref="X8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7" s="12">
        <f>VLOOKUP(Шаблон_Формулы[[#This Row],[24]],Курс_840[[Дата]:[Курс]],2,0)</f>
        <v>11370.11</v>
      </c>
      <c r="Z87" s="42">
        <f>IFERROR(Шаблон_Формулы[[#This Row],[23]]*Шаблон_Формулы[[#This Row],[25]],"")</f>
        <v>6320757.8501000004</v>
      </c>
      <c r="AA87" s="13" t="str" cm="1">
        <f t="array" ref="AA87">ACT_number[№ исходящего акта]</f>
        <v>426 LCL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7" cm="1">
        <f t="array" ref="E88">_xlfn.XLOOKUP($A88,ACT[[№]:[№]],ACT[Date of Dispatch/ 
Дата отгрузки],"",0,1)</f>
        <v>44965</v>
      </c>
      <c r="F88" s="38" t="str" cm="1">
        <f t="array" ref="F88">_xlfn.XLOOKUP($A88,ACT[[№]:[№]],ACT[Supplier/ Поставщик],"",0,1)</f>
        <v>ERAE AMS</v>
      </c>
      <c r="G88" s="38" t="str" cm="1">
        <f t="array" ref="G88">_xlfn.XLOOKUP($A88,ACT[[№]:[№]],ACT[Supplier Invoice No/                          № Инвойса Поставщика],"",0,1)</f>
        <v>DA231CH02</v>
      </c>
      <c r="H88" s="39" cm="1">
        <f t="array" ref="H88">_xlfn.XLOOKUP($A88,ACT[[№]:[№]],ACT[CBM],"",0,1)</f>
        <v>6.3440000000000003</v>
      </c>
      <c r="I88" s="39" cm="1">
        <f t="array" ref="I88">_xlfn.XLOOKUP($A88,ACT[[№]:[№]],ACT[Gross weight, kg/ Вес брутто, кг],"",0,1)</f>
        <v>1135.33</v>
      </c>
      <c r="J88" s="39" t="str" cm="1">
        <f t="array" ref="J88">_xlfn.XLOOKUP($A88,ACT[[№]:[№]],ACT[Delivery terms / Условия поставки],"",0,1)</f>
        <v>FCA</v>
      </c>
      <c r="K88" s="39" cm="1">
        <f t="array" ref="K88">_xlfn.XLOOKUP($A88,ACT[[№]:[№]],ACT[Container total CBM],"",0,1)</f>
        <v>45.497</v>
      </c>
      <c r="L88" s="40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40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40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40" cm="1">
        <f t="array" ref="O88">_xlfn.XLOOKUP($A88,ACT[[№]:[№]],ACT[Documents Work/ Сбор за подготовку документов
KRW],"",0,1)</f>
        <v>6971.8882563685529</v>
      </c>
      <c r="P88" s="40" cm="1">
        <f t="array" ref="P88">_xlfn.XLOOKUP($A88,ACT[[№]:[№]],ACT[THC/ Терминальная обработка
KRW],"",0,1)</f>
        <v>25851.761654614591</v>
      </c>
      <c r="Q88" s="40" cm="1">
        <f t="array" ref="Q88">_xlfn.XLOOKUP($A88,ACT[[№]:[№]],ACT[Wharfage/ Портовая пошлина
KRW],"",0,1)</f>
        <v>1268.8836626590769</v>
      </c>
      <c r="R88" s="40" cm="1">
        <f t="array" ref="R88">_xlfn.XLOOKUP($A88,ACT[[№]:[№]],ACT[TRUCKING CHARGE],"",0,1)</f>
        <v>0</v>
      </c>
      <c r="S88" s="40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40" cm="1">
        <f t="array" ref="T88">_xlfn.XLOOKUP($A88,ACT[[№]:[№]],ACT[Special Wooden Shoring / Специальное деревянное крепление],"",0,1)</f>
        <v>0</v>
      </c>
      <c r="U88" s="9"/>
      <c r="V88" s="40" cm="1">
        <f t="array" ref="V88">_xlfn.XLOOKUP($A88,ACT[[№]:[№]],ACT[Total amount/ Общая стоимость KRW (10+11+12+13+14+15+16)],"",0,1)</f>
        <v>445188.4255735543</v>
      </c>
      <c r="W88" s="40" cm="1">
        <f t="array" ref="W88">_xlfn.XLOOKUP($A88,ACT[[№]:[№]],ACT[Total amount/ Общая стоимость (17*exchange rate/ обменный курс)
 USD],"",0,1)</f>
        <v>350.34</v>
      </c>
      <c r="X88" s="9" cm="1">
        <f t="array" ref="X8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8" s="12">
        <f>VLOOKUP(Шаблон_Формулы[[#This Row],[24]],Курс_840[[Дата]:[Курс]],2,0)</f>
        <v>11370.11</v>
      </c>
      <c r="Z88" s="42">
        <f>IFERROR(Шаблон_Формулы[[#This Row],[23]]*Шаблон_Формулы[[#This Row],[25]],"")</f>
        <v>3983404.3374000001</v>
      </c>
      <c r="AA88" s="13" t="str" cm="1">
        <f t="array" ref="AA88">ACT_number[№ исходящего акта]</f>
        <v>426 LCL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7" cm="1">
        <f t="array" ref="E89">_xlfn.XLOOKUP($A89,ACT[[№]:[№]],ACT[Date of Dispatch/ 
Дата отгрузки],"",0,1)</f>
        <v>44965</v>
      </c>
      <c r="F89" s="38" t="str" cm="1">
        <f t="array" ref="F89">_xlfn.XLOOKUP($A89,ACT[[№]:[№]],ACT[Supplier/ Поставщик],"",0,1)</f>
        <v>ERAE AMS</v>
      </c>
      <c r="G89" s="38" t="str" cm="1">
        <f t="array" ref="G89">_xlfn.XLOOKUP($A89,ACT[[№]:[№]],ACT[Supplier Invoice No/                          № Инвойса Поставщика],"",0,1)</f>
        <v>DM231CH05(1)</v>
      </c>
      <c r="H89" s="39" cm="1">
        <f t="array" ref="H89">_xlfn.XLOOKUP($A89,ACT[[№]:[№]],ACT[CBM],"",0,1)</f>
        <v>14.026999999999999</v>
      </c>
      <c r="I89" s="39" cm="1">
        <f t="array" ref="I89">_xlfn.XLOOKUP($A89,ACT[[№]:[№]],ACT[Gross weight, kg/ Вес брутто, кг],"",0,1)</f>
        <v>11198.2</v>
      </c>
      <c r="J89" s="39" t="str" cm="1">
        <f t="array" ref="J89">_xlfn.XLOOKUP($A89,ACT[[№]:[№]],ACT[Delivery terms / Условия поставки],"",0,1)</f>
        <v>FCA</v>
      </c>
      <c r="K89" s="39" cm="1">
        <f t="array" ref="K89">_xlfn.XLOOKUP($A89,ACT[[№]:[№]],ACT[Container total CBM],"",0,1)</f>
        <v>45.497</v>
      </c>
      <c r="L89" s="40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40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40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40" cm="1">
        <f t="array" ref="O89">_xlfn.XLOOKUP($A89,ACT[[№]:[№]],ACT[Documents Work/ Сбор за подготовку документов
KRW],"",0,1)</f>
        <v>15415.302107831283</v>
      </c>
      <c r="P89" s="40" cm="1">
        <f t="array" ref="P89">_xlfn.XLOOKUP($A89,ACT[[№]:[№]],ACT[THC/ Терминальная обработка
KRW],"",0,1)</f>
        <v>57159.940215838411</v>
      </c>
      <c r="Q89" s="40" cm="1">
        <f t="array" ref="Q89">_xlfn.XLOOKUP($A89,ACT[[№]:[№]],ACT[Wharfage/ Портовая пошлина
KRW],"",0,1)</f>
        <v>2805.5849836252946</v>
      </c>
      <c r="R89" s="40" cm="1">
        <f t="array" ref="R89">_xlfn.XLOOKUP($A89,ACT[[№]:[№]],ACT[TRUCKING CHARGE],"",0,1)</f>
        <v>0</v>
      </c>
      <c r="S89" s="40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40" cm="1">
        <f t="array" ref="T89">_xlfn.XLOOKUP($A89,ACT[[№]:[№]],ACT[Special Wooden Shoring / Специальное деревянное крепление],"",0,1)</f>
        <v>0</v>
      </c>
      <c r="U89" s="9"/>
      <c r="V89" s="40" cm="1">
        <f t="array" ref="V89">_xlfn.XLOOKUP($A89,ACT[[№]:[№]],ACT[Total amount/ Общая стоимость KRW (10+11+12+13+14+15+16)],"",0,1)</f>
        <v>964699.61310218251</v>
      </c>
      <c r="W89" s="40" cm="1">
        <f t="array" ref="W89">_xlfn.XLOOKUP($A89,ACT[[№]:[№]],ACT[Total amount/ Общая стоимость (17*exchange rate/ обменный курс)
 USD],"",0,1)</f>
        <v>759.16</v>
      </c>
      <c r="X89" s="9" cm="1">
        <f t="array" ref="X8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9" s="12">
        <f>VLOOKUP(Шаблон_Формулы[[#This Row],[24]],Курс_840[[Дата]:[Курс]],2,0)</f>
        <v>11370.11</v>
      </c>
      <c r="Z89" s="42">
        <f>IFERROR(Шаблон_Формулы[[#This Row],[23]]*Шаблон_Формулы[[#This Row],[25]],"")</f>
        <v>8631732.7075999994</v>
      </c>
      <c r="AA89" s="13" t="str" cm="1">
        <f t="array" ref="AA89">ACT_number[№ исходящего акта]</f>
        <v>426 LCL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7" cm="1">
        <f t="array" ref="E90">_xlfn.XLOOKUP($A90,ACT[[№]:[№]],ACT[Date of Dispatch/ 
Дата отгрузки],"",0,1)</f>
        <v>44965</v>
      </c>
      <c r="F90" s="38" t="str" cm="1">
        <f t="array" ref="F90">_xlfn.XLOOKUP($A90,ACT[[№]:[№]],ACT[Supplier/ Поставщик],"",0,1)</f>
        <v>ERAE AMS</v>
      </c>
      <c r="G90" s="38" t="str" cm="1">
        <f t="array" ref="G90">_xlfn.XLOOKUP($A90,ACT[[№]:[№]],ACT[Supplier Invoice No/                          № Инвойса Поставщика],"",0,1)</f>
        <v>DM231CH05(2)</v>
      </c>
      <c r="H90" s="39" cm="1">
        <f t="array" ref="H90">_xlfn.XLOOKUP($A90,ACT[[№]:[№]],ACT[CBM],"",0,1)</f>
        <v>9.7110000000000003</v>
      </c>
      <c r="I90" s="39" cm="1">
        <f t="array" ref="I90">_xlfn.XLOOKUP($A90,ACT[[№]:[№]],ACT[Gross weight, kg/ Вес брутто, кг],"",0,1)</f>
        <v>5436</v>
      </c>
      <c r="J90" s="39" t="str" cm="1">
        <f t="array" ref="J90">_xlfn.XLOOKUP($A90,ACT[[№]:[№]],ACT[Delivery terms / Условия поставки],"",0,1)</f>
        <v>FCA</v>
      </c>
      <c r="K90" s="39" cm="1">
        <f t="array" ref="K90">_xlfn.XLOOKUP($A90,ACT[[№]:[№]],ACT[Container total CBM],"",0,1)</f>
        <v>45.497</v>
      </c>
      <c r="L90" s="40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40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40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40" cm="1">
        <f t="array" ref="O90">_xlfn.XLOOKUP($A90,ACT[[№]:[№]],ACT[Documents Work/ Сбор за подготовку документов
KRW],"",0,1)</f>
        <v>10672.132228498582</v>
      </c>
      <c r="P90" s="40" cm="1">
        <f t="array" ref="P90">_xlfn.XLOOKUP($A90,ACT[[№]:[№]],ACT[THC/ Терминальная обработка
KRW],"",0,1)</f>
        <v>39572.266303272743</v>
      </c>
      <c r="Q90" s="40" cm="1">
        <f t="array" ref="Q90">_xlfn.XLOOKUP($A90,ACT[[№]:[№]],ACT[Wharfage/ Портовая пошлина
KRW],"",0,1)</f>
        <v>1942.328065586742</v>
      </c>
      <c r="R90" s="40" cm="1">
        <f t="array" ref="R90">_xlfn.XLOOKUP($A90,ACT[[№]:[№]],ACT[TRUCKING CHARGE],"",0,1)</f>
        <v>0</v>
      </c>
      <c r="S90" s="40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40" cm="1">
        <f t="array" ref="T90">_xlfn.XLOOKUP($A90,ACT[[№]:[№]],ACT[Special Wooden Shoring / Специальное деревянное крепление],"",0,1)</f>
        <v>0</v>
      </c>
      <c r="U90" s="9"/>
      <c r="V90" s="40" cm="1">
        <f t="array" ref="V90">_xlfn.XLOOKUP($A90,ACT[[№]:[№]],ACT[Total amount/ Общая стоимость KRW (10+11+12+13+14+15+16)],"",0,1)</f>
        <v>611868.96291689563</v>
      </c>
      <c r="W90" s="40" cm="1">
        <f t="array" ref="W90">_xlfn.XLOOKUP($A90,ACT[[№]:[№]],ACT[Total amount/ Общая стоимость (17*exchange rate/ обменный курс)
 USD],"",0,1)</f>
        <v>481.51</v>
      </c>
      <c r="X90" s="9" cm="1">
        <f t="array" ref="X9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0" s="12">
        <f>VLOOKUP(Шаблон_Формулы[[#This Row],[24]],Курс_840[[Дата]:[Курс]],2,0)</f>
        <v>11370.11</v>
      </c>
      <c r="Z90" s="42">
        <f>IFERROR(Шаблон_Формулы[[#This Row],[23]]*Шаблон_Формулы[[#This Row],[25]],"")</f>
        <v>5474821.6661</v>
      </c>
      <c r="AA90" s="13" t="str" cm="1">
        <f t="array" ref="AA90">ACT_number[№ исходящего акта]</f>
        <v>426 LCL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7" cm="1">
        <f t="array" ref="E91">_xlfn.XLOOKUP($A91,ACT[[№]:[№]],ACT[Date of Dispatch/ 
Дата отгрузки],"",0,1)</f>
        <v>44965</v>
      </c>
      <c r="F91" s="38" t="str" cm="1">
        <f t="array" ref="F91">_xlfn.XLOOKUP($A91,ACT[[№]:[№]],ACT[Supplier/ Поставщик],"",0,1)</f>
        <v>ERAE AMS</v>
      </c>
      <c r="G91" s="38" t="str" cm="1">
        <f t="array" ref="G91">_xlfn.XLOOKUP($A91,ACT[[№]:[№]],ACT[Supplier Invoice No/                          № Инвойса Поставщика],"",0,1)</f>
        <v>DM231CH04(1)</v>
      </c>
      <c r="H91" s="39" cm="1">
        <f t="array" ref="H91">_xlfn.XLOOKUP($A91,ACT[[№]:[№]],ACT[CBM],"",0,1)</f>
        <v>66.432000000000002</v>
      </c>
      <c r="I91" s="39" cm="1">
        <f t="array" ref="I91">_xlfn.XLOOKUP($A91,ACT[[№]:[№]],ACT[Gross weight, kg/ Вес брутто, кг],"",0,1)</f>
        <v>11352</v>
      </c>
      <c r="J91" s="39" t="str" cm="1">
        <f t="array" ref="J91">_xlfn.XLOOKUP($A91,ACT[[№]:[№]],ACT[Delivery terms / Условия поставки],"",0,1)</f>
        <v>FCA</v>
      </c>
      <c r="K91" s="39" cm="1">
        <f t="array" ref="K91">_xlfn.XLOOKUP($A91,ACT[[№]:[№]],ACT[Container total CBM],"",0,1)</f>
        <v>66.432000000000002</v>
      </c>
      <c r="L91" s="40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40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40" cm="1">
        <f t="array" ref="N91">_xlfn.XLOOKUP($A91,ACT[[№]:[№]],ACT[Shoring, Banding, Sealing, Handling/ Крепление, Перевязка, Опечатование, Обработка
KRW],"",0,1)</f>
        <v>193800</v>
      </c>
      <c r="O91" s="40" cm="1">
        <f t="array" ref="O91">_xlfn.XLOOKUP($A91,ACT[[№]:[№]],ACT[Documents Work/ Сбор за подготовку документов
KRW],"",0,1)</f>
        <v>50000</v>
      </c>
      <c r="P91" s="40" cm="1">
        <f t="array" ref="P91">_xlfn.XLOOKUP($A91,ACT[[№]:[№]],ACT[THC/ Терминальная обработка
KRW],"",0,1)</f>
        <v>185400</v>
      </c>
      <c r="Q91" s="40" cm="1">
        <f t="array" ref="Q91">_xlfn.XLOOKUP($A91,ACT[[№]:[№]],ACT[Wharfage/ Портовая пошлина
KRW],"",0,1)</f>
        <v>9100</v>
      </c>
      <c r="R91" s="40" cm="1">
        <f t="array" ref="R91">_xlfn.XLOOKUP($A91,ACT[[№]:[№]],ACT[TRUCKING CHARGE],"",0,1)</f>
        <v>0</v>
      </c>
      <c r="S91" s="40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40" cm="1">
        <f t="array" ref="T91">_xlfn.XLOOKUP($A91,ACT[[№]:[№]],ACT[Special Wooden Shoring / Специальное деревянное крепление],"",0,1)</f>
        <v>0</v>
      </c>
      <c r="U91" s="9"/>
      <c r="V91" s="40" cm="1">
        <f t="array" ref="V91">_xlfn.XLOOKUP($A91,ACT[[№]:[№]],ACT[Total amount/ Общая стоимость KRW (10+11+12+13+14+15+16)],"",0,1)</f>
        <v>2298807.6800000002</v>
      </c>
      <c r="W91" s="40" cm="1">
        <f t="array" ref="W91">_xlfn.XLOOKUP($A91,ACT[[№]:[№]],ACT[Total amount/ Общая стоимость (17*exchange rate/ обменный курс)
 USD],"",0,1)</f>
        <v>1809.03</v>
      </c>
      <c r="X91" s="9" cm="1">
        <f t="array" ref="X9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1" s="12">
        <f>VLOOKUP(Шаблон_Формулы[[#This Row],[24]],Курс_840[[Дата]:[Курс]],2,0)</f>
        <v>11370.11</v>
      </c>
      <c r="Z91" s="42">
        <f>IFERROR(Шаблон_Формулы[[#This Row],[23]]*Шаблон_Формулы[[#This Row],[25]],"")</f>
        <v>20568870.0933</v>
      </c>
      <c r="AA91" s="13" t="str" cm="1">
        <f t="array" ref="AA91">ACT_number[№ исходящего акта]</f>
        <v>426 LCL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7" cm="1">
        <f t="array" ref="E92">_xlfn.XLOOKUP($A92,ACT[[№]:[№]],ACT[Date of Dispatch/ 
Дата отгрузки],"",0,1)</f>
        <v>44965</v>
      </c>
      <c r="F92" s="38" t="str" cm="1">
        <f t="array" ref="F92">_xlfn.XLOOKUP($A92,ACT[[№]:[№]],ACT[Supplier/ Поставщик],"",0,1)</f>
        <v>ERAE AMS</v>
      </c>
      <c r="G92" s="38" t="str" cm="1">
        <f t="array" ref="G92">_xlfn.XLOOKUP($A92,ACT[[№]:[№]],ACT[Supplier Invoice No/                          № Инвойса Поставщика],"",0,1)</f>
        <v>DM231CH04(2)</v>
      </c>
      <c r="H92" s="39" cm="1">
        <f t="array" ref="H92">_xlfn.XLOOKUP($A92,ACT[[№]:[№]],ACT[CBM],"",0,1)</f>
        <v>13.84</v>
      </c>
      <c r="I92" s="39" cm="1">
        <f t="array" ref="I92">_xlfn.XLOOKUP($A92,ACT[[№]:[№]],ACT[Gross weight, kg/ Вес брутто, кг],"",0,1)</f>
        <v>2365</v>
      </c>
      <c r="J92" s="39" t="str" cm="1">
        <f t="array" ref="J92">_xlfn.XLOOKUP($A92,ACT[[№]:[№]],ACT[Delivery terms / Условия поставки],"",0,1)</f>
        <v>FCA</v>
      </c>
      <c r="K92" s="39" cm="1">
        <f t="array" ref="K92">_xlfn.XLOOKUP($A92,ACT[[№]:[№]],ACT[Container total CBM],"",0,1)</f>
        <v>67.954999999999998</v>
      </c>
      <c r="L92" s="40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40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40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40" cm="1">
        <f t="array" ref="O92">_xlfn.XLOOKUP($A92,ACT[[№]:[№]],ACT[Documents Work/ Сбор за подготовку документов
KRW],"",0,1)</f>
        <v>10183.209476859687</v>
      </c>
      <c r="P92" s="40" cm="1">
        <f t="array" ref="P92">_xlfn.XLOOKUP($A92,ACT[[№]:[№]],ACT[THC/ Терминальная обработка
KRW],"",0,1)</f>
        <v>37759.340740195716</v>
      </c>
      <c r="Q92" s="40" cm="1">
        <f t="array" ref="Q92">_xlfn.XLOOKUP($A92,ACT[[№]:[№]],ACT[Wharfage/ Портовая пошлина
KRW],"",0,1)</f>
        <v>1853.344124788463</v>
      </c>
      <c r="R92" s="40" cm="1">
        <f t="array" ref="R92">_xlfn.XLOOKUP($A92,ACT[[№]:[№]],ACT[TRUCKING CHARGE],"",0,1)</f>
        <v>0</v>
      </c>
      <c r="S92" s="40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40" cm="1">
        <f t="array" ref="T92">_xlfn.XLOOKUP($A92,ACT[[№]:[№]],ACT[Special Wooden Shoring / Специальное деревянное крепление],"",0,1)</f>
        <v>0</v>
      </c>
      <c r="U92" s="9"/>
      <c r="V92" s="40" cm="1">
        <f t="array" ref="V92">_xlfn.XLOOKUP($A92,ACT[[№]:[№]],ACT[Total amount/ Общая стоимость KRW (10+11+12+13+14+15+16)],"",0,1)</f>
        <v>595895.41943933477</v>
      </c>
      <c r="W92" s="40" cm="1">
        <f t="array" ref="W92">_xlfn.XLOOKUP($A92,ACT[[№]:[№]],ACT[Total amount/ Общая стоимость (17*exchange rate/ обменный курс)
 USD],"",0,1)</f>
        <v>468.94</v>
      </c>
      <c r="X92" s="9" cm="1">
        <f t="array" ref="X9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2" s="12">
        <f>VLOOKUP(Шаблон_Формулы[[#This Row],[24]],Курс_840[[Дата]:[Курс]],2,0)</f>
        <v>11370.11</v>
      </c>
      <c r="Z92" s="42">
        <f>IFERROR(Шаблон_Формулы[[#This Row],[23]]*Шаблон_Формулы[[#This Row],[25]],"")</f>
        <v>5331899.3834000006</v>
      </c>
      <c r="AA92" s="13" t="str" cm="1">
        <f t="array" ref="AA92">ACT_number[№ исходящего акта]</f>
        <v>426 LCL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7" cm="1">
        <f t="array" ref="E93">_xlfn.XLOOKUP($A93,ACT[[№]:[№]],ACT[Date of Dispatch/ 
Дата отгрузки],"",0,1)</f>
        <v>44965</v>
      </c>
      <c r="F93" s="38" t="str" cm="1">
        <f t="array" ref="F93">_xlfn.XLOOKUP($A93,ACT[[№]:[№]],ACT[Supplier/ Поставщик],"",0,1)</f>
        <v>ERAE AMS</v>
      </c>
      <c r="G93" s="38" t="str" cm="1">
        <f t="array" ref="G93">_xlfn.XLOOKUP($A93,ACT[[№]:[№]],ACT[Supplier Invoice No/                          № Инвойса Поставщика],"",0,1)</f>
        <v>DM231CH05(3)</v>
      </c>
      <c r="H93" s="39" cm="1">
        <f t="array" ref="H93">_xlfn.XLOOKUP($A93,ACT[[№]:[№]],ACT[CBM],"",0,1)</f>
        <v>24.207999999999998</v>
      </c>
      <c r="I93" s="39" cm="1">
        <f t="array" ref="I93">_xlfn.XLOOKUP($A93,ACT[[№]:[№]],ACT[Gross weight, kg/ Вес брутто, кг],"",0,1)</f>
        <v>3687.98</v>
      </c>
      <c r="J93" s="39" t="str" cm="1">
        <f t="array" ref="J93">_xlfn.XLOOKUP($A93,ACT[[№]:[№]],ACT[Delivery terms / Условия поставки],"",0,1)</f>
        <v>FCA</v>
      </c>
      <c r="K93" s="39" cm="1">
        <f t="array" ref="K93">_xlfn.XLOOKUP($A93,ACT[[№]:[№]],ACT[Container total CBM],"",0,1)</f>
        <v>67.954999999999998</v>
      </c>
      <c r="L93" s="40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40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40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40" cm="1">
        <f t="array" ref="O93">_xlfn.XLOOKUP($A93,ACT[[№]:[№]],ACT[Documents Work/ Сбор за подготовку документов
KRW],"",0,1)</f>
        <v>17811.78721212567</v>
      </c>
      <c r="P93" s="40" cm="1">
        <f t="array" ref="P93">_xlfn.XLOOKUP($A93,ACT[[№]:[№]],ACT[THC/ Терминальная обработка
KRW],"",0,1)</f>
        <v>66046.106982561992</v>
      </c>
      <c r="Q93" s="40" cm="1">
        <f t="array" ref="Q93">_xlfn.XLOOKUP($A93,ACT[[№]:[№]],ACT[Wharfage/ Портовая пошлина
KRW],"",0,1)</f>
        <v>3241.7452726068723</v>
      </c>
      <c r="R93" s="40" cm="1">
        <f t="array" ref="R93">_xlfn.XLOOKUP($A93,ACT[[№]:[№]],ACT[TRUCKING CHARGE],"",0,1)</f>
        <v>0</v>
      </c>
      <c r="S93" s="40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40" cm="1">
        <f t="array" ref="T93">_xlfn.XLOOKUP($A93,ACT[[№]:[№]],ACT[Special Wooden Shoring / Специальное деревянное крепление],"",0,1)</f>
        <v>0</v>
      </c>
      <c r="U93" s="9"/>
      <c r="V93" s="40" cm="1">
        <f t="array" ref="V93">_xlfn.XLOOKUP($A93,ACT[[№]:[№]],ACT[Total amount/ Общая стоимость KRW (10+11+12+13+14+15+16)],"",0,1)</f>
        <v>853588.17296151852</v>
      </c>
      <c r="W93" s="40" cm="1">
        <f t="array" ref="W93">_xlfn.XLOOKUP($A93,ACT[[№]:[№]],ACT[Total amount/ Общая стоимость (17*exchange rate/ обменный курс)
 USD],"",0,1)</f>
        <v>671.73</v>
      </c>
      <c r="X93" s="9" cm="1">
        <f t="array" ref="X9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3" s="12">
        <f>VLOOKUP(Шаблон_Формулы[[#This Row],[24]],Курс_840[[Дата]:[Курс]],2,0)</f>
        <v>11370.11</v>
      </c>
      <c r="Z93" s="42">
        <f>IFERROR(Шаблон_Формулы[[#This Row],[23]]*Шаблон_Формулы[[#This Row],[25]],"")</f>
        <v>7637643.9903000006</v>
      </c>
      <c r="AA93" s="13" t="str" cm="1">
        <f t="array" ref="AA93">ACT_number[№ исходящего акта]</f>
        <v>426 LCL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7" cm="1">
        <f t="array" ref="E94">_xlfn.XLOOKUP($A94,ACT[[№]:[№]],ACT[Date of Dispatch/ 
Дата отгрузки],"",0,1)</f>
        <v>44965</v>
      </c>
      <c r="F94" s="38" t="str" cm="1">
        <f t="array" ref="F94">_xlfn.XLOOKUP($A94,ACT[[№]:[№]],ACT[Supplier/ Поставщик],"",0,1)</f>
        <v>ERAE AMS</v>
      </c>
      <c r="G94" s="38" t="str" cm="1">
        <f t="array" ref="G94">_xlfn.XLOOKUP($A94,ACT[[№]:[№]],ACT[Supplier Invoice No/                          № Инвойса Поставщика],"",0,1)</f>
        <v>DM231CH05(4)</v>
      </c>
      <c r="H94" s="39" cm="1">
        <f t="array" ref="H94">_xlfn.XLOOKUP($A94,ACT[[№]:[№]],ACT[CBM],"",0,1)</f>
        <v>29.907</v>
      </c>
      <c r="I94" s="39" cm="1">
        <f t="array" ref="I94">_xlfn.XLOOKUP($A94,ACT[[№]:[№]],ACT[Gross weight, kg/ Вес брутто, кг],"",0,1)</f>
        <v>4981.2</v>
      </c>
      <c r="J94" s="39" t="str" cm="1">
        <f t="array" ref="J94">_xlfn.XLOOKUP($A94,ACT[[№]:[№]],ACT[Delivery terms / Условия поставки],"",0,1)</f>
        <v>FCA</v>
      </c>
      <c r="K94" s="39" cm="1">
        <f t="array" ref="K94">_xlfn.XLOOKUP($A94,ACT[[№]:[№]],ACT[Container total CBM],"",0,1)</f>
        <v>67.954999999999998</v>
      </c>
      <c r="L94" s="40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40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40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40" cm="1">
        <f t="array" ref="O94">_xlfn.XLOOKUP($A94,ACT[[№]:[№]],ACT[Documents Work/ Сбор за подготовку документов
KRW],"",0,1)</f>
        <v>22005.003311014643</v>
      </c>
      <c r="P94" s="40" cm="1">
        <f t="array" ref="P94">_xlfn.XLOOKUP($A94,ACT[[№]:[№]],ACT[THC/ Терминальная обработка
KRW],"",0,1)</f>
        <v>81594.552277242299</v>
      </c>
      <c r="Q94" s="40" cm="1">
        <f t="array" ref="Q94">_xlfn.XLOOKUP($A94,ACT[[№]:[№]],ACT[Wharfage/ Портовая пошлина
KRW],"",0,1)</f>
        <v>4004.9106026046647</v>
      </c>
      <c r="R94" s="40" cm="1">
        <f t="array" ref="R94">_xlfn.XLOOKUP($A94,ACT[[№]:[№]],ACT[TRUCKING CHARGE],"",0,1)</f>
        <v>0</v>
      </c>
      <c r="S94" s="40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40" cm="1">
        <f t="array" ref="T94">_xlfn.XLOOKUP($A94,ACT[[№]:[№]],ACT[Special Wooden Shoring / Специальное деревянное крепление],"",0,1)</f>
        <v>0</v>
      </c>
      <c r="U94" s="9"/>
      <c r="V94" s="40" cm="1">
        <f t="array" ref="V94">_xlfn.XLOOKUP($A94,ACT[[№]:[№]],ACT[Total amount/ Общая стоимость KRW (10+11+12+13+14+15+16)],"",0,1)</f>
        <v>962254.3575991462</v>
      </c>
      <c r="W94" s="40" cm="1">
        <f t="array" ref="W94">_xlfn.XLOOKUP($A94,ACT[[№]:[№]],ACT[Total amount/ Общая стоимость (17*exchange rate/ обменный курс)
 USD],"",0,1)</f>
        <v>757.24</v>
      </c>
      <c r="X94" s="9" cm="1">
        <f t="array" ref="X9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4" s="12">
        <f>VLOOKUP(Шаблон_Формулы[[#This Row],[24]],Курс_840[[Дата]:[Курс]],2,0)</f>
        <v>11370.11</v>
      </c>
      <c r="Z94" s="42">
        <f>IFERROR(Шаблон_Формулы[[#This Row],[23]]*Шаблон_Формулы[[#This Row],[25]],"")</f>
        <v>8609902.0964000002</v>
      </c>
      <c r="AA94" s="13" t="str" cm="1">
        <f t="array" ref="AA94">ACT_number[№ исходящего акта]</f>
        <v>426 LCL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7" cm="1">
        <f t="array" ref="E95">_xlfn.XLOOKUP($A95,ACT[[№]:[№]],ACT[Date of Dispatch/ 
Дата отгрузки],"",0,1)</f>
        <v>44965</v>
      </c>
      <c r="F95" s="38" t="str" cm="1">
        <f t="array" ref="F95">_xlfn.XLOOKUP($A95,ACT[[№]:[№]],ACT[Supplier/ Поставщик],"",0,1)</f>
        <v>ERAE AMS</v>
      </c>
      <c r="G95" s="38" t="str" cm="1">
        <f t="array" ref="G95">_xlfn.XLOOKUP($A95,ACT[[№]:[№]],ACT[Supplier Invoice No/                          № Инвойса Поставщика],"",0,1)</f>
        <v>DM231CH05(5)</v>
      </c>
      <c r="H95" s="39" cm="1">
        <f t="array" ref="H95">_xlfn.XLOOKUP($A95,ACT[[№]:[№]],ACT[CBM],"",0,1)</f>
        <v>11.391999999999999</v>
      </c>
      <c r="I95" s="39" cm="1">
        <f t="array" ref="I95">_xlfn.XLOOKUP($A95,ACT[[№]:[№]],ACT[Gross weight, kg/ Вес брутто, кг],"",0,1)</f>
        <v>1735.52</v>
      </c>
      <c r="J95" s="39" t="str" cm="1">
        <f t="array" ref="J95">_xlfn.XLOOKUP($A95,ACT[[№]:[№]],ACT[Delivery terms / Условия поставки],"",0,1)</f>
        <v>FCA</v>
      </c>
      <c r="K95" s="39" cm="1">
        <f t="array" ref="K95">_xlfn.XLOOKUP($A95,ACT[[№]:[№]],ACT[Container total CBM],"",0,1)</f>
        <v>66.096000000000004</v>
      </c>
      <c r="L95" s="40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40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40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40" cm="1">
        <f t="array" ref="O95">_xlfn.XLOOKUP($A95,ACT[[№]:[№]],ACT[Documents Work/ Сбор за подготовку документов
KRW],"",0,1)</f>
        <v>8617.7680948922771</v>
      </c>
      <c r="P95" s="40" cm="1">
        <f t="array" ref="P95">_xlfn.XLOOKUP($A95,ACT[[№]:[№]],ACT[THC/ Терминальная обработка
KRW],"",0,1)</f>
        <v>31954.684095860561</v>
      </c>
      <c r="Q95" s="40" cm="1">
        <f t="array" ref="Q95">_xlfn.XLOOKUP($A95,ACT[[№]:[№]],ACT[Wharfage/ Портовая пошлина
KRW],"",0,1)</f>
        <v>1568.4337932703943</v>
      </c>
      <c r="R95" s="40" cm="1">
        <f t="array" ref="R95">_xlfn.XLOOKUP($A95,ACT[[№]:[№]],ACT[TRUCKING CHARGE],"",0,1)</f>
        <v>0</v>
      </c>
      <c r="S95" s="40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40" cm="1">
        <f t="array" ref="T95">_xlfn.XLOOKUP($A95,ACT[[№]:[№]],ACT[Special Wooden Shoring / Специальное деревянное крепление],"",0,1)</f>
        <v>0</v>
      </c>
      <c r="U95" s="9"/>
      <c r="V95" s="40" cm="1">
        <f t="array" ref="V95">_xlfn.XLOOKUP($A95,ACT[[№]:[№]],ACT[Total amount/ Общая стоимость KRW (10+11+12+13+14+15+16)],"",0,1)</f>
        <v>552607.11413217138</v>
      </c>
      <c r="W95" s="40" cm="1">
        <f t="array" ref="W95">_xlfn.XLOOKUP($A95,ACT[[№]:[№]],ACT[Total amount/ Общая стоимость (17*exchange rate/ обменный курс)
 USD],"",0,1)</f>
        <v>434.87</v>
      </c>
      <c r="X95" s="9" cm="1">
        <f t="array" ref="X9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5" s="12">
        <f>VLOOKUP(Шаблон_Формулы[[#This Row],[24]],Курс_840[[Дата]:[Курс]],2,0)</f>
        <v>11370.11</v>
      </c>
      <c r="Z95" s="42">
        <f>IFERROR(Шаблон_Формулы[[#This Row],[23]]*Шаблон_Формулы[[#This Row],[25]],"")</f>
        <v>4944519.7357000001</v>
      </c>
      <c r="AA95" s="13" t="str" cm="1">
        <f t="array" ref="AA95">ACT_number[№ исходящего акта]</f>
        <v>426 LCL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7" cm="1">
        <f t="array" ref="E96">_xlfn.XLOOKUP($A96,ACT[[№]:[№]],ACT[Date of Dispatch/ 
Дата отгрузки],"",0,1)</f>
        <v>44965</v>
      </c>
      <c r="F96" s="38" t="str" cm="1">
        <f t="array" ref="F96">_xlfn.XLOOKUP($A96,ACT[[№]:[№]],ACT[Supplier/ Поставщик],"",0,1)</f>
        <v>ERAE AMS</v>
      </c>
      <c r="G96" s="38" t="str" cm="1">
        <f t="array" ref="G96">_xlfn.XLOOKUP($A96,ACT[[№]:[№]],ACT[Supplier Invoice No/                          № Инвойса Поставщика],"",0,1)</f>
        <v>DM231CH05(6)</v>
      </c>
      <c r="H96" s="39" cm="1">
        <f t="array" ref="H96">_xlfn.XLOOKUP($A96,ACT[[№]:[№]],ACT[CBM],"",0,1)</f>
        <v>11.544</v>
      </c>
      <c r="I96" s="39" cm="1">
        <f t="array" ref="I96">_xlfn.XLOOKUP($A96,ACT[[№]:[№]],ACT[Gross weight, kg/ Вес брутто, кг],"",0,1)</f>
        <v>1492.8</v>
      </c>
      <c r="J96" s="39" t="str" cm="1">
        <f t="array" ref="J96">_xlfn.XLOOKUP($A96,ACT[[№]:[№]],ACT[Delivery terms / Условия поставки],"",0,1)</f>
        <v>FCA</v>
      </c>
      <c r="K96" s="39" cm="1">
        <f t="array" ref="K96">_xlfn.XLOOKUP($A96,ACT[[№]:[№]],ACT[Container total CBM],"",0,1)</f>
        <v>66.096000000000004</v>
      </c>
      <c r="L96" s="40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40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40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40" cm="1">
        <f t="array" ref="O96">_xlfn.XLOOKUP($A96,ACT[[№]:[№]],ACT[Documents Work/ Сбор за подготовку документов
KRW],"",0,1)</f>
        <v>8732.7523602033398</v>
      </c>
      <c r="P96" s="40" cm="1">
        <f t="array" ref="P96">_xlfn.XLOOKUP($A96,ACT[[№]:[№]],ACT[THC/ Терминальная обработка
KRW],"",0,1)</f>
        <v>32381.045751633985</v>
      </c>
      <c r="Q96" s="40" cm="1">
        <f t="array" ref="Q96">_xlfn.XLOOKUP($A96,ACT[[№]:[№]],ACT[Wharfage/ Портовая пошлина
KRW],"",0,1)</f>
        <v>1589.3609295570079</v>
      </c>
      <c r="R96" s="40" cm="1">
        <f t="array" ref="R96">_xlfn.XLOOKUP($A96,ACT[[№]:[№]],ACT[TRUCKING CHARGE],"",0,1)</f>
        <v>0</v>
      </c>
      <c r="S96" s="40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40" cm="1">
        <f t="array" ref="T96">_xlfn.XLOOKUP($A96,ACT[[№]:[№]],ACT[Special Wooden Shoring / Специальное деревянное крепление],"",0,1)</f>
        <v>0</v>
      </c>
      <c r="U96" s="9"/>
      <c r="V96" s="40" cm="1">
        <f t="array" ref="V96">_xlfn.XLOOKUP($A96,ACT[[№]:[№]],ACT[Total amount/ Общая стоимость KRW (10+11+12+13+14+15+16)],"",0,1)</f>
        <v>555550.60793028329</v>
      </c>
      <c r="W96" s="40" cm="1">
        <f t="array" ref="W96">_xlfn.XLOOKUP($A96,ACT[[№]:[№]],ACT[Total amount/ Общая стоимость (17*exchange rate/ обменный курс)
 USD],"",0,1)</f>
        <v>437.19</v>
      </c>
      <c r="X96" s="9" cm="1">
        <f t="array" ref="X9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6" s="12">
        <f>VLOOKUP(Шаблон_Формулы[[#This Row],[24]],Курс_840[[Дата]:[Курс]],2,0)</f>
        <v>11370.11</v>
      </c>
      <c r="Z96" s="42">
        <f>IFERROR(Шаблон_Формулы[[#This Row],[23]]*Шаблон_Формулы[[#This Row],[25]],"")</f>
        <v>4970898.3909</v>
      </c>
      <c r="AA96" s="13" t="str" cm="1">
        <f t="array" ref="AA96">ACT_number[№ исходящего акта]</f>
        <v>426 LCL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7" cm="1">
        <f t="array" ref="E97">_xlfn.XLOOKUP($A97,ACT[[№]:[№]],ACT[Date of Dispatch/ 
Дата отгрузки],"",0,1)</f>
        <v>44965</v>
      </c>
      <c r="F97" s="38" t="str" cm="1">
        <f t="array" ref="F97">_xlfn.XLOOKUP($A97,ACT[[№]:[№]],ACT[Supplier/ Поставщик],"",0,1)</f>
        <v>ERAE AMS</v>
      </c>
      <c r="G97" s="38" t="str" cm="1">
        <f t="array" ref="G97">_xlfn.XLOOKUP($A97,ACT[[№]:[№]],ACT[Supplier Invoice No/                          № Инвойса Поставщика],"",0,1)</f>
        <v>DM231CH04(3)</v>
      </c>
      <c r="H97" s="39" cm="1">
        <f t="array" ref="H97">_xlfn.XLOOKUP($A97,ACT[[№]:[№]],ACT[CBM],"",0,1)</f>
        <v>21.58</v>
      </c>
      <c r="I97" s="39" cm="1">
        <f t="array" ref="I97">_xlfn.XLOOKUP($A97,ACT[[№]:[№]],ACT[Gross weight, kg/ Вес брутто, кг],"",0,1)</f>
        <v>6420</v>
      </c>
      <c r="J97" s="39" t="str" cm="1">
        <f t="array" ref="J97">_xlfn.XLOOKUP($A97,ACT[[№]:[№]],ACT[Delivery terms / Условия поставки],"",0,1)</f>
        <v>FCA</v>
      </c>
      <c r="K97" s="39" cm="1">
        <f t="array" ref="K97">_xlfn.XLOOKUP($A97,ACT[[№]:[№]],ACT[Container total CBM],"",0,1)</f>
        <v>66.096000000000004</v>
      </c>
      <c r="L97" s="40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40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40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40" cm="1">
        <f t="array" ref="O97">_xlfn.XLOOKUP($A97,ACT[[№]:[№]],ACT[Documents Work/ Сбор за подготовку документов
KRW],"",0,1)</f>
        <v>16324.739772452189</v>
      </c>
      <c r="P97" s="40" cm="1">
        <f t="array" ref="P97">_xlfn.XLOOKUP($A97,ACT[[№]:[№]],ACT[THC/ Терминальная обработка
KRW],"",0,1)</f>
        <v>60532.135076252714</v>
      </c>
      <c r="Q97" s="40" cm="1">
        <f t="array" ref="Q97">_xlfn.XLOOKUP($A97,ACT[[№]:[№]],ACT[Wharfage/ Портовая пошлина
KRW],"",0,1)</f>
        <v>2971.1026385862983</v>
      </c>
      <c r="R97" s="40" cm="1">
        <f t="array" ref="R97">_xlfn.XLOOKUP($A97,ACT[[№]:[№]],ACT[TRUCKING CHARGE],"",0,1)</f>
        <v>0</v>
      </c>
      <c r="S97" s="40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40" cm="1">
        <f t="array" ref="T97">_xlfn.XLOOKUP($A97,ACT[[№]:[№]],ACT[Special Wooden Shoring / Специальное деревянное крепление],"",0,1)</f>
        <v>0</v>
      </c>
      <c r="U97" s="9"/>
      <c r="V97" s="40" cm="1">
        <f t="array" ref="V97">_xlfn.XLOOKUP($A97,ACT[[№]:[№]],ACT[Total amount/ Общая стоимость KRW (10+11+12+13+14+15+16)],"",0,1)</f>
        <v>809898.65896877262</v>
      </c>
      <c r="W97" s="40" cm="1">
        <f t="array" ref="W97">_xlfn.XLOOKUP($A97,ACT[[№]:[№]],ACT[Total amount/ Общая стоимость (17*exchange rate/ обменный курс)
 USD],"",0,1)</f>
        <v>637.34</v>
      </c>
      <c r="X97" s="9" cm="1">
        <f t="array" ref="X9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7" s="12">
        <f>VLOOKUP(Шаблон_Формулы[[#This Row],[24]],Курс_840[[Дата]:[Курс]],2,0)</f>
        <v>11370.11</v>
      </c>
      <c r="Z97" s="42">
        <f>IFERROR(Шаблон_Формулы[[#This Row],[23]]*Шаблон_Формулы[[#This Row],[25]],"")</f>
        <v>7246625.9074000008</v>
      </c>
      <c r="AA97" s="13" t="str" cm="1">
        <f t="array" ref="AA97">ACT_number[№ исходящего акта]</f>
        <v>426 LCL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7" cm="1">
        <f t="array" ref="E98">_xlfn.XLOOKUP($A98,ACT[[№]:[№]],ACT[Date of Dispatch/ 
Дата отгрузки],"",0,1)</f>
        <v>44965</v>
      </c>
      <c r="F98" s="38" t="str" cm="1">
        <f t="array" ref="F98">_xlfn.XLOOKUP($A98,ACT[[№]:[№]],ACT[Supplier/ Поставщик],"",0,1)</f>
        <v>ERAE AMS</v>
      </c>
      <c r="G98" s="38" t="str" cm="1">
        <f t="array" ref="G98">_xlfn.XLOOKUP($A98,ACT[[№]:[№]],ACT[Supplier Invoice No/                          № Инвойса Поставщика],"",0,1)</f>
        <v>DM231CH04(4)</v>
      </c>
      <c r="H98" s="39" cm="1">
        <f t="array" ref="H98">_xlfn.XLOOKUP($A98,ACT[[№]:[№]],ACT[CBM],"",0,1)</f>
        <v>21.58</v>
      </c>
      <c r="I98" s="39" cm="1">
        <f t="array" ref="I98">_xlfn.XLOOKUP($A98,ACT[[№]:[№]],ACT[Gross weight, kg/ Вес брутто, кг],"",0,1)</f>
        <v>6420</v>
      </c>
      <c r="J98" s="39" t="str" cm="1">
        <f t="array" ref="J98">_xlfn.XLOOKUP($A98,ACT[[№]:[№]],ACT[Delivery terms / Условия поставки],"",0,1)</f>
        <v>FCA</v>
      </c>
      <c r="K98" s="39" cm="1">
        <f t="array" ref="K98">_xlfn.XLOOKUP($A98,ACT[[№]:[№]],ACT[Container total CBM],"",0,1)</f>
        <v>66.096000000000004</v>
      </c>
      <c r="L98" s="40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40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40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40" cm="1">
        <f t="array" ref="O98">_xlfn.XLOOKUP($A98,ACT[[№]:[№]],ACT[Documents Work/ Сбор за подготовку документов
KRW],"",0,1)</f>
        <v>16324.739772452189</v>
      </c>
      <c r="P98" s="40" cm="1">
        <f t="array" ref="P98">_xlfn.XLOOKUP($A98,ACT[[№]:[№]],ACT[THC/ Терминальная обработка
KRW],"",0,1)</f>
        <v>60532.135076252714</v>
      </c>
      <c r="Q98" s="40" cm="1">
        <f t="array" ref="Q98">_xlfn.XLOOKUP($A98,ACT[[№]:[№]],ACT[Wharfage/ Портовая пошлина
KRW],"",0,1)</f>
        <v>2971.1026385862983</v>
      </c>
      <c r="R98" s="40" cm="1">
        <f t="array" ref="R98">_xlfn.XLOOKUP($A98,ACT[[№]:[№]],ACT[TRUCKING CHARGE],"",0,1)</f>
        <v>0</v>
      </c>
      <c r="S98" s="40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40" cm="1">
        <f t="array" ref="T98">_xlfn.XLOOKUP($A98,ACT[[№]:[№]],ACT[Special Wooden Shoring / Специальное деревянное крепление],"",0,1)</f>
        <v>0</v>
      </c>
      <c r="U98" s="9"/>
      <c r="V98" s="40" cm="1">
        <f t="array" ref="V98">_xlfn.XLOOKUP($A98,ACT[[№]:[№]],ACT[Total amount/ Общая стоимость KRW (10+11+12+13+14+15+16)],"",0,1)</f>
        <v>809898.65896877262</v>
      </c>
      <c r="W98" s="40" cm="1">
        <f t="array" ref="W98">_xlfn.XLOOKUP($A98,ACT[[№]:[№]],ACT[Total amount/ Общая стоимость (17*exchange rate/ обменный курс)
 USD],"",0,1)</f>
        <v>637.34</v>
      </c>
      <c r="X98" s="9" cm="1">
        <f t="array" ref="X9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8" s="12">
        <f>VLOOKUP(Шаблон_Формулы[[#This Row],[24]],Курс_840[[Дата]:[Курс]],2,0)</f>
        <v>11370.11</v>
      </c>
      <c r="Z98" s="42">
        <f>IFERROR(Шаблон_Формулы[[#This Row],[23]]*Шаблон_Формулы[[#This Row],[25]],"")</f>
        <v>7246625.9074000008</v>
      </c>
      <c r="AA98" s="13" t="str" cm="1">
        <f t="array" ref="AA98">ACT_number[№ исходящего акта]</f>
        <v>426 LCL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7" cm="1">
        <f t="array" ref="E99">_xlfn.XLOOKUP($A99,ACT[[№]:[№]],ACT[Date of Dispatch/ 
Дата отгрузки],"",0,1)</f>
        <v>44965</v>
      </c>
      <c r="F99" s="38" t="str" cm="1">
        <f t="array" ref="F99">_xlfn.XLOOKUP($A99,ACT[[№]:[№]],ACT[Supplier/ Поставщик],"",0,1)</f>
        <v>ERAE AMS</v>
      </c>
      <c r="G99" s="38" t="str" cm="1">
        <f t="array" ref="G99">_xlfn.XLOOKUP($A99,ACT[[№]:[№]],ACT[Supplier Invoice No/                          № Инвойса Поставщика],"",0,1)</f>
        <v>DM231CH04(5)</v>
      </c>
      <c r="H99" s="39" cm="1">
        <f t="array" ref="H99">_xlfn.XLOOKUP($A99,ACT[[№]:[№]],ACT[CBM],"",0,1)</f>
        <v>31.285</v>
      </c>
      <c r="I99" s="39" cm="1">
        <f t="array" ref="I99">_xlfn.XLOOKUP($A99,ACT[[№]:[№]],ACT[Gross weight, kg/ Вес брутто, кг],"",0,1)</f>
        <v>5278</v>
      </c>
      <c r="J99" s="39" t="str" cm="1">
        <f t="array" ref="J99">_xlfn.XLOOKUP($A99,ACT[[№]:[№]],ACT[Delivery terms / Условия поставки],"",0,1)</f>
        <v>FCA</v>
      </c>
      <c r="K99" s="39" cm="1">
        <f t="array" ref="K99">_xlfn.XLOOKUP($A99,ACT[[№]:[№]],ACT[Container total CBM],"",0,1)</f>
        <v>64.275999999999996</v>
      </c>
      <c r="L99" s="40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40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40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40" cm="1">
        <f t="array" ref="O99">_xlfn.XLOOKUP($A99,ACT[[№]:[№]],ACT[Documents Work/ Сбор за подготовку документов
KRW],"",0,1)</f>
        <v>24336.455286576642</v>
      </c>
      <c r="P99" s="40" cm="1">
        <f t="array" ref="P99">_xlfn.XLOOKUP($A99,ACT[[№]:[№]],ACT[THC/ Терминальная обработка
KRW],"",0,1)</f>
        <v>90239.57620262618</v>
      </c>
      <c r="Q99" s="40" cm="1">
        <f t="array" ref="Q99">_xlfn.XLOOKUP($A99,ACT[[№]:[№]],ACT[Wharfage/ Портовая пошлина
KRW],"",0,1)</f>
        <v>4429.2348621569481</v>
      </c>
      <c r="R99" s="40" cm="1">
        <f t="array" ref="R99">_xlfn.XLOOKUP($A99,ACT[[№]:[№]],ACT[TRUCKING CHARGE],"",0,1)</f>
        <v>0</v>
      </c>
      <c r="S99" s="40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40" cm="1">
        <f t="array" ref="T99">_xlfn.XLOOKUP($A99,ACT[[№]:[№]],ACT[Special Wooden Shoring / Специальное деревянное крепление],"",0,1)</f>
        <v>0</v>
      </c>
      <c r="U99" s="9"/>
      <c r="V99" s="40" cm="1">
        <f t="array" ref="V99">_xlfn.XLOOKUP($A99,ACT[[№]:[№]],ACT[Total amount/ Общая стоимость KRW (10+11+12+13+14+15+16)],"",0,1)</f>
        <v>1007470.5311998256</v>
      </c>
      <c r="W99" s="40" cm="1">
        <f t="array" ref="W99">_xlfn.XLOOKUP($A99,ACT[[№]:[№]],ACT[Total amount/ Общая стоимость (17*exchange rate/ обменный курс)
 USD],"",0,1)</f>
        <v>792.82</v>
      </c>
      <c r="X99" s="9" cm="1">
        <f t="array" ref="X9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9" s="12">
        <f>VLOOKUP(Шаблон_Формулы[[#This Row],[24]],Курс_840[[Дата]:[Курс]],2,0)</f>
        <v>11370.11</v>
      </c>
      <c r="Z99" s="42">
        <f>IFERROR(Шаблон_Формулы[[#This Row],[23]]*Шаблон_Формулы[[#This Row],[25]],"")</f>
        <v>9014450.6102000009</v>
      </c>
      <c r="AA99" s="13" t="str" cm="1">
        <f t="array" ref="AA99">ACT_number[№ исходящего акта]</f>
        <v>426 LCL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7" cm="1">
        <f t="array" ref="E100">_xlfn.XLOOKUP($A100,ACT[[№]:[№]],ACT[Date of Dispatch/ 
Дата отгрузки],"",0,1)</f>
        <v>44965</v>
      </c>
      <c r="F100" s="38" t="str" cm="1">
        <f t="array" ref="F100">_xlfn.XLOOKUP($A100,ACT[[№]:[№]],ACT[Supplier/ Поставщик],"",0,1)</f>
        <v>ERAE AMS</v>
      </c>
      <c r="G100" s="38" t="str" cm="1">
        <f t="array" ref="G100">_xlfn.XLOOKUP($A100,ACT[[№]:[№]],ACT[Supplier Invoice No/                          № Инвойса Поставщика],"",0,1)</f>
        <v>DM231CH04(6)</v>
      </c>
      <c r="H100" s="39" cm="1">
        <f t="array" ref="H100">_xlfn.XLOOKUP($A100,ACT[[№]:[№]],ACT[CBM],"",0,1)</f>
        <v>31.285</v>
      </c>
      <c r="I100" s="39" cm="1">
        <f t="array" ref="I100">_xlfn.XLOOKUP($A100,ACT[[№]:[№]],ACT[Gross weight, kg/ Вес брутто, кг],"",0,1)</f>
        <v>5278</v>
      </c>
      <c r="J100" s="39" t="str" cm="1">
        <f t="array" ref="J100">_xlfn.XLOOKUP($A100,ACT[[№]:[№]],ACT[Delivery terms / Условия поставки],"",0,1)</f>
        <v>FCA</v>
      </c>
      <c r="K100" s="39" cm="1">
        <f t="array" ref="K100">_xlfn.XLOOKUP($A100,ACT[[№]:[№]],ACT[Container total CBM],"",0,1)</f>
        <v>64.275999999999996</v>
      </c>
      <c r="L100" s="40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40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40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40" cm="1">
        <f t="array" ref="O100">_xlfn.XLOOKUP($A100,ACT[[№]:[№]],ACT[Documents Work/ Сбор за подготовку документов
KRW],"",0,1)</f>
        <v>24336.455286576642</v>
      </c>
      <c r="P100" s="40" cm="1">
        <f t="array" ref="P100">_xlfn.XLOOKUP($A100,ACT[[№]:[№]],ACT[THC/ Терминальная обработка
KRW],"",0,1)</f>
        <v>90239.57620262618</v>
      </c>
      <c r="Q100" s="40" cm="1">
        <f t="array" ref="Q100">_xlfn.XLOOKUP($A100,ACT[[№]:[№]],ACT[Wharfage/ Портовая пошлина
KRW],"",0,1)</f>
        <v>4429.2348621569481</v>
      </c>
      <c r="R100" s="40" cm="1">
        <f t="array" ref="R100">_xlfn.XLOOKUP($A100,ACT[[№]:[№]],ACT[TRUCKING CHARGE],"",0,1)</f>
        <v>0</v>
      </c>
      <c r="S100" s="40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40" cm="1">
        <f t="array" ref="T100">_xlfn.XLOOKUP($A100,ACT[[№]:[№]],ACT[Special Wooden Shoring / Специальное деревянное крепление],"",0,1)</f>
        <v>0</v>
      </c>
      <c r="U100" s="9"/>
      <c r="V100" s="40" cm="1">
        <f t="array" ref="V100">_xlfn.XLOOKUP($A100,ACT[[№]:[№]],ACT[Total amount/ Общая стоимость KRW (10+11+12+13+14+15+16)],"",0,1)</f>
        <v>1007470.5311998256</v>
      </c>
      <c r="W100" s="40" cm="1">
        <f t="array" ref="W100">_xlfn.XLOOKUP($A100,ACT[[№]:[№]],ACT[Total amount/ Общая стоимость (17*exchange rate/ обменный курс)
 USD],"",0,1)</f>
        <v>792.82</v>
      </c>
      <c r="X100" s="9" cm="1">
        <f t="array" ref="X10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0" s="12">
        <f>VLOOKUP(Шаблон_Формулы[[#This Row],[24]],Курс_840[[Дата]:[Курс]],2,0)</f>
        <v>11370.11</v>
      </c>
      <c r="Z100" s="42">
        <f>IFERROR(Шаблон_Формулы[[#This Row],[23]]*Шаблон_Формулы[[#This Row],[25]],"")</f>
        <v>9014450.6102000009</v>
      </c>
      <c r="AA100" s="13" t="str" cm="1">
        <f t="array" ref="AA100">ACT_number[№ исходящего акта]</f>
        <v>426 LCL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7" cm="1">
        <f t="array" ref="E101">_xlfn.XLOOKUP($A101,ACT[[№]:[№]],ACT[Date of Dispatch/ 
Дата отгрузки],"",0,1)</f>
        <v>44965</v>
      </c>
      <c r="F101" s="38" t="str" cm="1">
        <f t="array" ref="F101">_xlfn.XLOOKUP($A101,ACT[[№]:[№]],ACT[Supplier/ Поставщик],"",0,1)</f>
        <v>ERAE AMS</v>
      </c>
      <c r="G101" s="38" t="str" cm="1">
        <f t="array" ref="G101">_xlfn.XLOOKUP($A101,ACT[[№]:[№]],ACT[Supplier Invoice No/                          № Инвойса Поставщика],"",0,1)</f>
        <v>DM231CH05(7)</v>
      </c>
      <c r="H101" s="39" cm="1">
        <f t="array" ref="H101">_xlfn.XLOOKUP($A101,ACT[[№]:[№]],ACT[CBM],"",0,1)</f>
        <v>0.627</v>
      </c>
      <c r="I101" s="39" cm="1">
        <f t="array" ref="I101">_xlfn.XLOOKUP($A101,ACT[[№]:[№]],ACT[Gross weight, kg/ Вес брутто, кг],"",0,1)</f>
        <v>46.5</v>
      </c>
      <c r="J101" s="39" t="str" cm="1">
        <f t="array" ref="J101">_xlfn.XLOOKUP($A101,ACT[[№]:[№]],ACT[Delivery terms / Условия поставки],"",0,1)</f>
        <v>FCA</v>
      </c>
      <c r="K101" s="39" cm="1">
        <f t="array" ref="K101">_xlfn.XLOOKUP($A101,ACT[[№]:[№]],ACT[Container total CBM],"",0,1)</f>
        <v>64.275999999999996</v>
      </c>
      <c r="L101" s="40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40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40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40" cm="1">
        <f t="array" ref="O101">_xlfn.XLOOKUP($A101,ACT[[№]:[№]],ACT[Documents Work/ Сбор за подготовку документов
KRW],"",0,1)</f>
        <v>487.74036965585901</v>
      </c>
      <c r="P101" s="40" cm="1">
        <f t="array" ref="P101">_xlfn.XLOOKUP($A101,ACT[[№]:[№]],ACT[THC/ Терминальная обработка
KRW],"",0,1)</f>
        <v>1808.5412906839256</v>
      </c>
      <c r="Q101" s="40" cm="1">
        <f t="array" ref="Q101">_xlfn.XLOOKUP($A101,ACT[[№]:[№]],ACT[Wharfage/ Портовая пошлина
KRW],"",0,1)</f>
        <v>88.768747277366359</v>
      </c>
      <c r="R101" s="40" cm="1">
        <f t="array" ref="R101">_xlfn.XLOOKUP($A101,ACT[[№]:[№]],ACT[TRUCKING CHARGE],"",0,1)</f>
        <v>0</v>
      </c>
      <c r="S101" s="40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40" cm="1">
        <f t="array" ref="T101">_xlfn.XLOOKUP($A101,ACT[[№]:[№]],ACT[Special Wooden Shoring / Специальное деревянное крепление],"",0,1)</f>
        <v>0</v>
      </c>
      <c r="U101" s="9"/>
      <c r="V101" s="40" cm="1">
        <f t="array" ref="V101">_xlfn.XLOOKUP($A101,ACT[[№]:[№]],ACT[Total amount/ Общая стоимость KRW (10+11+12+13+14+15+16)],"",0,1)</f>
        <v>244334.98555417263</v>
      </c>
      <c r="W101" s="40" cm="1">
        <f t="array" ref="W101">_xlfn.XLOOKUP($A101,ACT[[№]:[№]],ACT[Total amount/ Общая стоимость (17*exchange rate/ обменный курс)
 USD],"",0,1)</f>
        <v>192.28</v>
      </c>
      <c r="X101" s="9" cm="1">
        <f t="array" ref="X10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1" s="12">
        <f>VLOOKUP(Шаблон_Формулы[[#This Row],[24]],Курс_840[[Дата]:[Курс]],2,0)</f>
        <v>11370.11</v>
      </c>
      <c r="Z101" s="42">
        <f>IFERROR(Шаблон_Формулы[[#This Row],[23]]*Шаблон_Формулы[[#This Row],[25]],"")</f>
        <v>2186244.7508</v>
      </c>
      <c r="AA101" s="13" t="str" cm="1">
        <f t="array" ref="AA101">ACT_number[№ исходящего акта]</f>
        <v>426 LCL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7" cm="1">
        <f t="array" ref="E102">_xlfn.XLOOKUP($A102,ACT[[№]:[№]],ACT[Date of Dispatch/ 
Дата отгрузки],"",0,1)</f>
        <v>44965</v>
      </c>
      <c r="F102" s="38" t="str" cm="1">
        <f t="array" ref="F102">_xlfn.XLOOKUP($A102,ACT[[№]:[№]],ACT[Supplier/ Поставщик],"",0,1)</f>
        <v>ERAE AMS</v>
      </c>
      <c r="G102" s="38" t="str" cm="1">
        <f t="array" ref="G102">_xlfn.XLOOKUP($A102,ACT[[№]:[№]],ACT[Supplier Invoice No/                          № Инвойса Поставщика],"",0,1)</f>
        <v>DM231CH05(8)</v>
      </c>
      <c r="H102" s="39" cm="1">
        <f t="array" ref="H102">_xlfn.XLOOKUP($A102,ACT[[№]:[№]],ACT[CBM],"",0,1)</f>
        <v>1.079</v>
      </c>
      <c r="I102" s="39" cm="1">
        <f t="array" ref="I102">_xlfn.XLOOKUP($A102,ACT[[№]:[№]],ACT[Gross weight, kg/ Вес брутто, кг],"",0,1)</f>
        <v>84.88</v>
      </c>
      <c r="J102" s="39" t="str" cm="1">
        <f t="array" ref="J102">_xlfn.XLOOKUP($A102,ACT[[№]:[№]],ACT[Delivery terms / Условия поставки],"",0,1)</f>
        <v>FCA</v>
      </c>
      <c r="K102" s="39" cm="1">
        <f t="array" ref="K102">_xlfn.XLOOKUP($A102,ACT[[№]:[№]],ACT[Container total CBM],"",0,1)</f>
        <v>64.275999999999996</v>
      </c>
      <c r="L102" s="40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40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40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40" cm="1">
        <f t="array" ref="O102">_xlfn.XLOOKUP($A102,ACT[[№]:[№]],ACT[Documents Work/ Сбор за подготовку документов
KRW],"",0,1)</f>
        <v>839.34905719086453</v>
      </c>
      <c r="P102" s="40" cm="1">
        <f t="array" ref="P102">_xlfn.XLOOKUP($A102,ACT[[№]:[№]],ACT[THC/ Терминальная обработка
KRW],"",0,1)</f>
        <v>3112.3063040637253</v>
      </c>
      <c r="Q102" s="40" cm="1">
        <f t="array" ref="Q102">_xlfn.XLOOKUP($A102,ACT[[№]:[№]],ACT[Wharfage/ Портовая пошлина
KRW],"",0,1)</f>
        <v>152.76152840873732</v>
      </c>
      <c r="R102" s="40" cm="1">
        <f t="array" ref="R102">_xlfn.XLOOKUP($A102,ACT[[№]:[№]],ACT[TRUCKING CHARGE],"",0,1)</f>
        <v>0</v>
      </c>
      <c r="S102" s="40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40" cm="1">
        <f t="array" ref="T102">_xlfn.XLOOKUP($A102,ACT[[№]:[№]],ACT[Special Wooden Shoring / Специальное деревянное крепление],"",0,1)</f>
        <v>0</v>
      </c>
      <c r="U102" s="9"/>
      <c r="V102" s="40" cm="1">
        <f t="array" ref="V102">_xlfn.XLOOKUP($A102,ACT[[№]:[№]],ACT[Total amount/ Общая стоимость KRW (10+11+12+13+14+15+16)],"",0,1)</f>
        <v>253227.19204617589</v>
      </c>
      <c r="W102" s="40" cm="1">
        <f t="array" ref="W102">_xlfn.XLOOKUP($A102,ACT[[№]:[№]],ACT[Total amount/ Общая стоимость (17*exchange rate/ обменный курс)
 USD],"",0,1)</f>
        <v>199.28</v>
      </c>
      <c r="X102" s="9" cm="1">
        <f t="array" ref="X10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2" s="12">
        <f>VLOOKUP(Шаблон_Формулы[[#This Row],[24]],Курс_840[[Дата]:[Курс]],2,0)</f>
        <v>11370.11</v>
      </c>
      <c r="Z102" s="42">
        <f>IFERROR(Шаблон_Формулы[[#This Row],[23]]*Шаблон_Формулы[[#This Row],[25]],"")</f>
        <v>2265835.5208000001</v>
      </c>
      <c r="AA102" s="13" t="str" cm="1">
        <f t="array" ref="AA102">ACT_number[№ исходящего акта]</f>
        <v>426 LCL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7" cm="1">
        <f t="array" ref="E103">_xlfn.XLOOKUP($A103,ACT[[№]:[№]],ACT[Date of Dispatch/ 
Дата отгрузки],"",0,1)</f>
        <v>44965</v>
      </c>
      <c r="F103" s="38" t="str" cm="1">
        <f t="array" ref="F103">_xlfn.XLOOKUP($A103,ACT[[№]:[№]],ACT[Supplier/ Поставщик],"",0,1)</f>
        <v>ERAE AMS</v>
      </c>
      <c r="G103" s="38" t="str" cm="1">
        <f t="array" ref="G103">_xlfn.XLOOKUP($A103,ACT[[№]:[№]],ACT[Supplier Invoice No/                          № Инвойса Поставщика],"",0,1)</f>
        <v>DM231CH05(9)</v>
      </c>
      <c r="H103" s="39" cm="1">
        <f t="array" ref="H103">_xlfn.XLOOKUP($A103,ACT[[№]:[№]],ACT[CBM],"",0,1)</f>
        <v>28.86</v>
      </c>
      <c r="I103" s="39" cm="1">
        <f t="array" ref="I103">_xlfn.XLOOKUP($A103,ACT[[№]:[№]],ACT[Gross weight, kg/ Вес брутто, кг],"",0,1)</f>
        <v>3732</v>
      </c>
      <c r="J103" s="39" t="str" cm="1">
        <f t="array" ref="J103">_xlfn.XLOOKUP($A103,ACT[[№]:[№]],ACT[Delivery terms / Условия поставки],"",0,1)</f>
        <v>FCA</v>
      </c>
      <c r="K103" s="39" cm="1">
        <f t="array" ref="K103">_xlfn.XLOOKUP($A103,ACT[[№]:[№]],ACT[Container total CBM],"",0,1)</f>
        <v>61.23</v>
      </c>
      <c r="L103" s="40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40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40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40" cm="1">
        <f t="array" ref="O103">_xlfn.XLOOKUP($A103,ACT[[№]:[№]],ACT[Documents Work/ Сбор за подготовку документов
KRW],"",0,1)</f>
        <v>23566.878980891721</v>
      </c>
      <c r="P103" s="40" cm="1">
        <f t="array" ref="P103">_xlfn.XLOOKUP($A103,ACT[[№]:[№]],ACT[THC/ Терминальная обработка
KRW],"",0,1)</f>
        <v>87385.987261146496</v>
      </c>
      <c r="Q103" s="40" cm="1">
        <f t="array" ref="Q103">_xlfn.XLOOKUP($A103,ACT[[№]:[№]],ACT[Wharfage/ Портовая пошлина
KRW],"",0,1)</f>
        <v>4289.1719745222927</v>
      </c>
      <c r="R103" s="40" cm="1">
        <f t="array" ref="R103">_xlfn.XLOOKUP($A103,ACT[[№]:[№]],ACT[TRUCKING CHARGE],"",0,1)</f>
        <v>0</v>
      </c>
      <c r="S103" s="40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40" cm="1">
        <f t="array" ref="T103">_xlfn.XLOOKUP($A103,ACT[[№]:[№]],ACT[Special Wooden Shoring / Специальное деревянное крепление],"",0,1)</f>
        <v>0</v>
      </c>
      <c r="U103" s="9"/>
      <c r="V103" s="40" cm="1">
        <f t="array" ref="V103">_xlfn.XLOOKUP($A103,ACT[[№]:[№]],ACT[Total amount/ Общая стоимость KRW (10+11+12+13+14+15+16)],"",0,1)</f>
        <v>975818.85222929949</v>
      </c>
      <c r="W103" s="40" cm="1">
        <f t="array" ref="W103">_xlfn.XLOOKUP($A103,ACT[[№]:[№]],ACT[Total amount/ Общая стоимость (17*exchange rate/ обменный курс)
 USD],"",0,1)</f>
        <v>767.91</v>
      </c>
      <c r="X103" s="9" cm="1">
        <f t="array" ref="X10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3" s="12">
        <f>VLOOKUP(Шаблон_Формулы[[#This Row],[24]],Курс_840[[Дата]:[Курс]],2,0)</f>
        <v>11370.11</v>
      </c>
      <c r="Z103" s="42">
        <f>IFERROR(Шаблон_Формулы[[#This Row],[23]]*Шаблон_Формулы[[#This Row],[25]],"")</f>
        <v>8731221.1700999998</v>
      </c>
      <c r="AA103" s="13" t="str" cm="1">
        <f t="array" ref="AA103">ACT_number[№ исходящего акта]</f>
        <v>426 LCL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7" cm="1">
        <f t="array" ref="E104">_xlfn.XLOOKUP($A104,ACT[[№]:[№]],ACT[Date of Dispatch/ 
Дата отгрузки],"",0,1)</f>
        <v>44965</v>
      </c>
      <c r="F104" s="38" t="str" cm="1">
        <f t="array" ref="F104">_xlfn.XLOOKUP($A104,ACT[[№]:[№]],ACT[Supplier/ Поставщик],"",0,1)</f>
        <v>ERAE AMS</v>
      </c>
      <c r="G104" s="38" t="str" cm="1">
        <f t="array" ref="G104">_xlfn.XLOOKUP($A104,ACT[[№]:[№]],ACT[Supplier Invoice No/                          № Инвойса Поставщика],"",0,1)</f>
        <v>DM231CH05(10)</v>
      </c>
      <c r="H104" s="39" cm="1">
        <f t="array" ref="H104">_xlfn.XLOOKUP($A104,ACT[[№]:[№]],ACT[CBM],"",0,1)</f>
        <v>32.369999999999997</v>
      </c>
      <c r="I104" s="39" cm="1">
        <f t="array" ref="I104">_xlfn.XLOOKUP($A104,ACT[[№]:[№]],ACT[Gross weight, kg/ Вес брутто, кг],"",0,1)</f>
        <v>4030.2</v>
      </c>
      <c r="J104" s="39" t="str" cm="1">
        <f t="array" ref="J104">_xlfn.XLOOKUP($A104,ACT[[№]:[№]],ACT[Delivery terms / Условия поставки],"",0,1)</f>
        <v>FCA</v>
      </c>
      <c r="K104" s="39" cm="1">
        <f t="array" ref="K104">_xlfn.XLOOKUP($A104,ACT[[№]:[№]],ACT[Container total CBM],"",0,1)</f>
        <v>61.23</v>
      </c>
      <c r="L104" s="40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40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40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40" cm="1">
        <f t="array" ref="O104">_xlfn.XLOOKUP($A104,ACT[[№]:[№]],ACT[Documents Work/ Сбор за подготовку документов
KRW],"",0,1)</f>
        <v>26433.121019108279</v>
      </c>
      <c r="P104" s="40" cm="1">
        <f t="array" ref="P104">_xlfn.XLOOKUP($A104,ACT[[№]:[№]],ACT[THC/ Терминальная обработка
KRW],"",0,1)</f>
        <v>98014.012738853504</v>
      </c>
      <c r="Q104" s="40" cm="1">
        <f t="array" ref="Q104">_xlfn.XLOOKUP($A104,ACT[[№]:[№]],ACT[Wharfage/ Портовая пошлина
KRW],"",0,1)</f>
        <v>4810.8280254777073</v>
      </c>
      <c r="R104" s="40" cm="1">
        <f t="array" ref="R104">_xlfn.XLOOKUP($A104,ACT[[№]:[№]],ACT[TRUCKING CHARGE],"",0,1)</f>
        <v>0</v>
      </c>
      <c r="S104" s="40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40" cm="1">
        <f t="array" ref="T104">_xlfn.XLOOKUP($A104,ACT[[№]:[№]],ACT[Special Wooden Shoring / Специальное деревянное крепление],"",0,1)</f>
        <v>0</v>
      </c>
      <c r="U104" s="9"/>
      <c r="V104" s="40" cm="1">
        <f t="array" ref="V104">_xlfn.XLOOKUP($A104,ACT[[№]:[№]],ACT[Total amount/ Общая стоимость KRW (10+11+12+13+14+15+16)],"",0,1)</f>
        <v>1046823.8477707003</v>
      </c>
      <c r="W104" s="40" cm="1">
        <f t="array" ref="W104">_xlfn.XLOOKUP($A104,ACT[[№]:[№]],ACT[Total amount/ Общая стоимость (17*exchange rate/ обменный курс)
 USD],"",0,1)</f>
        <v>823.79</v>
      </c>
      <c r="X104" s="9" cm="1">
        <f t="array" ref="X10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4" s="12">
        <f>VLOOKUP(Шаблон_Формулы[[#This Row],[24]],Курс_840[[Дата]:[Курс]],2,0)</f>
        <v>11370.11</v>
      </c>
      <c r="Z104" s="42">
        <f>IFERROR(Шаблон_Формулы[[#This Row],[23]]*Шаблон_Формулы[[#This Row],[25]],"")</f>
        <v>9366582.9168999996</v>
      </c>
      <c r="AA104" s="13" t="str" cm="1">
        <f t="array" ref="AA104">ACT_number[№ исходящего акта]</f>
        <v>426 LCL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7" cm="1">
        <f t="array" ref="E105">_xlfn.XLOOKUP($A105,ACT[[№]:[№]],ACT[Date of Dispatch/ 
Дата отгрузки],"",0,1)</f>
        <v>44965</v>
      </c>
      <c r="F105" s="38" t="str" cm="1">
        <f t="array" ref="F105">_xlfn.XLOOKUP($A105,ACT[[№]:[№]],ACT[Supplier/ Поставщик],"",0,1)</f>
        <v>ERAE AMS</v>
      </c>
      <c r="G105" s="38" t="str" cm="1">
        <f t="array" ref="G105">_xlfn.XLOOKUP($A105,ACT[[№]:[№]],ACT[Supplier Invoice No/                          № Инвойса Поставщика],"",0,1)</f>
        <v>DM231CH05(11)</v>
      </c>
      <c r="H105" s="39" cm="1">
        <f t="array" ref="H105">_xlfn.XLOOKUP($A105,ACT[[№]:[№]],ACT[CBM],"",0,1)</f>
        <v>28.86</v>
      </c>
      <c r="I105" s="39" cm="1">
        <f t="array" ref="I105">_xlfn.XLOOKUP($A105,ACT[[№]:[№]],ACT[Gross weight, kg/ Вес брутто, кг],"",0,1)</f>
        <v>3732</v>
      </c>
      <c r="J105" s="39" t="str" cm="1">
        <f t="array" ref="J105">_xlfn.XLOOKUP($A105,ACT[[№]:[№]],ACT[Delivery terms / Условия поставки],"",0,1)</f>
        <v>FCA</v>
      </c>
      <c r="K105" s="39" cm="1">
        <f t="array" ref="K105">_xlfn.XLOOKUP($A105,ACT[[№]:[№]],ACT[Container total CBM],"",0,1)</f>
        <v>61.222999999999999</v>
      </c>
      <c r="L105" s="40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40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40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40" cm="1">
        <f t="array" ref="O105">_xlfn.XLOOKUP($A105,ACT[[№]:[№]],ACT[Documents Work/ Сбор за подготовку документов
KRW],"",0,1)</f>
        <v>23569.573526289139</v>
      </c>
      <c r="P105" s="40" cm="1">
        <f t="array" ref="P105">_xlfn.XLOOKUP($A105,ACT[[№]:[№]],ACT[THC/ Терминальная обработка
KRW],"",0,1)</f>
        <v>87395.978635480133</v>
      </c>
      <c r="Q105" s="40" cm="1">
        <f t="array" ref="Q105">_xlfn.XLOOKUP($A105,ACT[[№]:[№]],ACT[Wharfage/ Портовая пошлина
KRW],"",0,1)</f>
        <v>4289.662381784623</v>
      </c>
      <c r="R105" s="40" cm="1">
        <f t="array" ref="R105">_xlfn.XLOOKUP($A105,ACT[[№]:[№]],ACT[TRUCKING CHARGE],"",0,1)</f>
        <v>0</v>
      </c>
      <c r="S105" s="40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40" cm="1">
        <f t="array" ref="T105">_xlfn.XLOOKUP($A105,ACT[[№]:[№]],ACT[Special Wooden Shoring / Специальное деревянное крепление],"",0,1)</f>
        <v>0</v>
      </c>
      <c r="U105" s="9"/>
      <c r="V105" s="40" cm="1">
        <f t="array" ref="V105">_xlfn.XLOOKUP($A105,ACT[[№]:[№]],ACT[Total amount/ Общая стоимость KRW (10+11+12+13+14+15+16)],"",0,1)</f>
        <v>975857.58901393285</v>
      </c>
      <c r="W105" s="40" cm="1">
        <f t="array" ref="W105">_xlfn.XLOOKUP($A105,ACT[[№]:[№]],ACT[Total amount/ Общая стоимость (17*exchange rate/ обменный курс)
 USD],"",0,1)</f>
        <v>767.94</v>
      </c>
      <c r="X105" s="9" cm="1">
        <f t="array" ref="X10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5" s="12">
        <f>VLOOKUP(Шаблон_Формулы[[#This Row],[24]],Курс_840[[Дата]:[Курс]],2,0)</f>
        <v>11370.11</v>
      </c>
      <c r="Z105" s="42">
        <f>IFERROR(Шаблон_Формулы[[#This Row],[23]]*Шаблон_Формулы[[#This Row],[25]],"")</f>
        <v>8731562.2734000012</v>
      </c>
      <c r="AA105" s="13" t="str" cm="1">
        <f t="array" ref="AA105">ACT_number[№ исходящего акта]</f>
        <v>426 LCL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7" cm="1">
        <f t="array" ref="E106">_xlfn.XLOOKUP($A106,ACT[[№]:[№]],ACT[Date of Dispatch/ 
Дата отгрузки],"",0,1)</f>
        <v>44965</v>
      </c>
      <c r="F106" s="38" t="str" cm="1">
        <f t="array" ref="F106">_xlfn.XLOOKUP($A106,ACT[[№]:[№]],ACT[Supplier/ Поставщик],"",0,1)</f>
        <v>ERAE AMS</v>
      </c>
      <c r="G106" s="38" t="str" cm="1">
        <f t="array" ref="G106">_xlfn.XLOOKUP($A106,ACT[[№]:[№]],ACT[Supplier Invoice No/                          № Инвойса Поставщика],"",0,1)</f>
        <v>DM231CH05(12)</v>
      </c>
      <c r="H106" s="39" cm="1">
        <f t="array" ref="H106">_xlfn.XLOOKUP($A106,ACT[[№]:[№]],ACT[CBM],"",0,1)</f>
        <v>9.7089999999999996</v>
      </c>
      <c r="I106" s="39" cm="1">
        <f t="array" ref="I106">_xlfn.XLOOKUP($A106,ACT[[№]:[№]],ACT[Gross weight, kg/ Вес брутто, кг],"",0,1)</f>
        <v>5436</v>
      </c>
      <c r="J106" s="39" t="str" cm="1">
        <f t="array" ref="J106">_xlfn.XLOOKUP($A106,ACT[[№]:[№]],ACT[Delivery terms / Условия поставки],"",0,1)</f>
        <v>FCA</v>
      </c>
      <c r="K106" s="39" cm="1">
        <f t="array" ref="K106">_xlfn.XLOOKUP($A106,ACT[[№]:[№]],ACT[Container total CBM],"",0,1)</f>
        <v>61.222999999999999</v>
      </c>
      <c r="L106" s="40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40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40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40" cm="1">
        <f t="array" ref="O106">_xlfn.XLOOKUP($A106,ACT[[№]:[№]],ACT[Documents Work/ Сбор за подготовку документов
KRW],"",0,1)</f>
        <v>7929.209610767195</v>
      </c>
      <c r="P106" s="40" cm="1">
        <f t="array" ref="P106">_xlfn.XLOOKUP($A106,ACT[[№]:[№]],ACT[THC/ Терминальная обработка
KRW],"",0,1)</f>
        <v>29401.509236724756</v>
      </c>
      <c r="Q106" s="40" cm="1">
        <f t="array" ref="Q106">_xlfn.XLOOKUP($A106,ACT[[№]:[№]],ACT[Wharfage/ Портовая пошлина
KRW],"",0,1)</f>
        <v>1443.1161491596297</v>
      </c>
      <c r="R106" s="40" cm="1">
        <f t="array" ref="R106">_xlfn.XLOOKUP($A106,ACT[[№]:[№]],ACT[TRUCKING CHARGE],"",0,1)</f>
        <v>0</v>
      </c>
      <c r="S106" s="40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40" cm="1">
        <f t="array" ref="T106">_xlfn.XLOOKUP($A106,ACT[[№]:[№]],ACT[Special Wooden Shoring / Специальное деревянное крепление],"",0,1)</f>
        <v>0</v>
      </c>
      <c r="U106" s="9"/>
      <c r="V106" s="40" cm="1">
        <f t="array" ref="V106">_xlfn.XLOOKUP($A106,ACT[[№]:[№]],ACT[Total amount/ Общая стоимость KRW (10+11+12+13+14+15+16)],"",0,1)</f>
        <v>572419.72736438923</v>
      </c>
      <c r="W106" s="40" cm="1">
        <f t="array" ref="W106">_xlfn.XLOOKUP($A106,ACT[[№]:[№]],ACT[Total amount/ Общая стоимость (17*exchange rate/ обменный курс)
 USD],"",0,1)</f>
        <v>450.46</v>
      </c>
      <c r="X106" s="9" cm="1">
        <f t="array" ref="X10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6" s="12">
        <f>VLOOKUP(Шаблон_Формулы[[#This Row],[24]],Курс_840[[Дата]:[Курс]],2,0)</f>
        <v>11370.11</v>
      </c>
      <c r="Z106" s="42">
        <f>IFERROR(Шаблон_Формулы[[#This Row],[23]]*Шаблон_Формулы[[#This Row],[25]],"")</f>
        <v>5121779.7505999999</v>
      </c>
      <c r="AA106" s="13" t="str" cm="1">
        <f t="array" ref="AA106">ACT_number[№ исходящего акта]</f>
        <v>426 LCL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7" cm="1">
        <f t="array" ref="E107">_xlfn.XLOOKUP($A107,ACT[[№]:[№]],ACT[Date of Dispatch/ 
Дата отгрузки],"",0,1)</f>
        <v>44965</v>
      </c>
      <c r="F107" s="38" t="str" cm="1">
        <f t="array" ref="F107">_xlfn.XLOOKUP($A107,ACT[[№]:[№]],ACT[Supplier/ Поставщик],"",0,1)</f>
        <v>ERAE AMS</v>
      </c>
      <c r="G107" s="38" t="str" cm="1">
        <f t="array" ref="G107">_xlfn.XLOOKUP($A107,ACT[[№]:[№]],ACT[Supplier Invoice No/                          № Инвойса Поставщика],"",0,1)</f>
        <v>DM231CH05(13)</v>
      </c>
      <c r="H107" s="39" cm="1">
        <f t="array" ref="H107">_xlfn.XLOOKUP($A107,ACT[[№]:[№]],ACT[CBM],"",0,1)</f>
        <v>22.654</v>
      </c>
      <c r="I107" s="39" cm="1">
        <f t="array" ref="I107">_xlfn.XLOOKUP($A107,ACT[[№]:[№]],ACT[Gross weight, kg/ Вес брутто, кг],"",0,1)</f>
        <v>3330.18</v>
      </c>
      <c r="J107" s="39" t="str" cm="1">
        <f t="array" ref="J107">_xlfn.XLOOKUP($A107,ACT[[№]:[№]],ACT[Delivery terms / Условия поставки],"",0,1)</f>
        <v>FCA</v>
      </c>
      <c r="K107" s="39" cm="1">
        <f t="array" ref="K107">_xlfn.XLOOKUP($A107,ACT[[№]:[№]],ACT[Container total CBM],"",0,1)</f>
        <v>61.222999999999999</v>
      </c>
      <c r="L107" s="40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40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40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40" cm="1">
        <f t="array" ref="O107">_xlfn.XLOOKUP($A107,ACT[[№]:[№]],ACT[Documents Work/ Сбор за подготовку документов
KRW],"",0,1)</f>
        <v>18501.216862943664</v>
      </c>
      <c r="P107" s="40" cm="1">
        <f t="array" ref="P107">_xlfn.XLOOKUP($A107,ACT[[№]:[№]],ACT[THC/ Терминальная обработка
KRW],"",0,1)</f>
        <v>68602.512127795111</v>
      </c>
      <c r="Q107" s="40" cm="1">
        <f t="array" ref="Q107">_xlfn.XLOOKUP($A107,ACT[[№]:[№]],ACT[Wharfage/ Портовая пошлина
KRW],"",0,1)</f>
        <v>3367.2214690557471</v>
      </c>
      <c r="R107" s="40" cm="1">
        <f t="array" ref="R107">_xlfn.XLOOKUP($A107,ACT[[№]:[№]],ACT[TRUCKING CHARGE],"",0,1)</f>
        <v>0</v>
      </c>
      <c r="S107" s="40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40" cm="1">
        <f t="array" ref="T107">_xlfn.XLOOKUP($A107,ACT[[№]:[№]],ACT[Special Wooden Shoring / Специальное деревянное крепление],"",0,1)</f>
        <v>0</v>
      </c>
      <c r="U107" s="9"/>
      <c r="V107" s="40" cm="1">
        <f t="array" ref="V107">_xlfn.XLOOKUP($A107,ACT[[№]:[№]],ACT[Total amount/ Общая стоимость KRW (10+11+12+13+14+15+16)],"",0,1)</f>
        <v>850305.95362167829</v>
      </c>
      <c r="W107" s="40" cm="1">
        <f t="array" ref="W107">_xlfn.XLOOKUP($A107,ACT[[№]:[№]],ACT[Total amount/ Общая стоимость (17*exchange rate/ обменный курс)
 USD],"",0,1)</f>
        <v>669.14</v>
      </c>
      <c r="X107" s="9" cm="1">
        <f t="array" ref="X10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7" s="12">
        <f>VLOOKUP(Шаблон_Формулы[[#This Row],[24]],Курс_840[[Дата]:[Курс]],2,0)</f>
        <v>11370.11</v>
      </c>
      <c r="Z107" s="42">
        <f>IFERROR(Шаблон_Формулы[[#This Row],[23]]*Шаблон_Формулы[[#This Row],[25]],"")</f>
        <v>7608195.4054000005</v>
      </c>
      <c r="AA107" s="13" t="str" cm="1">
        <f t="array" ref="AA107">ACT_number[№ исходящего акта]</f>
        <v>426 LCL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7" cm="1">
        <f t="array" ref="E108">_xlfn.XLOOKUP($A108,ACT[[№]:[№]],ACT[Date of Dispatch/ 
Дата отгрузки],"",0,1)</f>
        <v>44965</v>
      </c>
      <c r="F108" s="38" t="str" cm="1">
        <f t="array" ref="F108">_xlfn.XLOOKUP($A108,ACT[[№]:[№]],ACT[Supplier/ Поставщик],"",0,1)</f>
        <v>ERAE AMS</v>
      </c>
      <c r="G108" s="38" t="str" cm="1">
        <f t="array" ref="G108">_xlfn.XLOOKUP($A108,ACT[[№]:[№]],ACT[Supplier Invoice No/                          № Инвойса Поставщика],"",0,1)</f>
        <v>DM231CH05(14)</v>
      </c>
      <c r="H108" s="39" cm="1">
        <f t="array" ref="H108">_xlfn.XLOOKUP($A108,ACT[[№]:[№]],ACT[CBM],"",0,1)</f>
        <v>12.948</v>
      </c>
      <c r="I108" s="39" cm="1">
        <f t="array" ref="I108">_xlfn.XLOOKUP($A108,ACT[[№]:[№]],ACT[Gross weight, kg/ Вес брутто, кг],"",0,1)</f>
        <v>11095.2</v>
      </c>
      <c r="J108" s="39" t="str" cm="1">
        <f t="array" ref="J108">_xlfn.XLOOKUP($A108,ACT[[№]:[№]],ACT[Delivery terms / Условия поставки],"",0,1)</f>
        <v>FCA</v>
      </c>
      <c r="K108" s="39" cm="1">
        <f t="array" ref="K108">_xlfn.XLOOKUP($A108,ACT[[№]:[№]],ACT[Container total CBM],"",0,1)</f>
        <v>42.457999999999998</v>
      </c>
      <c r="L108" s="40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40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40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40" cm="1">
        <f t="array" ref="O108">_xlfn.XLOOKUP($A108,ACT[[№]:[№]],ACT[Documents Work/ Сбор за подготовку документов
KRW],"",0,1)</f>
        <v>15248.009797917945</v>
      </c>
      <c r="P108" s="40" cm="1">
        <f t="array" ref="P108">_xlfn.XLOOKUP($A108,ACT[[№]:[№]],ACT[THC/ Терминальная обработка
KRW],"",0,1)</f>
        <v>56539.62033067974</v>
      </c>
      <c r="Q108" s="40" cm="1">
        <f t="array" ref="Q108">_xlfn.XLOOKUP($A108,ACT[[№]:[№]],ACT[Wharfage/ Портовая пошлина
KRW],"",0,1)</f>
        <v>2775.137783221066</v>
      </c>
      <c r="R108" s="40" cm="1">
        <f t="array" ref="R108">_xlfn.XLOOKUP($A108,ACT[[№]:[№]],ACT[TRUCKING CHARGE],"",0,1)</f>
        <v>0</v>
      </c>
      <c r="S108" s="40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40" cm="1">
        <f t="array" ref="T108">_xlfn.XLOOKUP($A108,ACT[[№]:[№]],ACT[Special Wooden Shoring / Специальное деревянное крепление],"",0,1)</f>
        <v>0</v>
      </c>
      <c r="U108" s="9"/>
      <c r="V108" s="40" cm="1">
        <f t="array" ref="V108">_xlfn.XLOOKUP($A108,ACT[[№]:[№]],ACT[Total amount/ Общая стоимость KRW (10+11+12+13+14+15+16)],"",0,1)</f>
        <v>721133.90885486826</v>
      </c>
      <c r="W108" s="40" cm="1">
        <f t="array" ref="W108">_xlfn.XLOOKUP($A108,ACT[[№]:[№]],ACT[Total amount/ Общая стоимость (17*exchange rate/ обменный курс)
 USD],"",0,1)</f>
        <v>567.49</v>
      </c>
      <c r="X108" s="9" cm="1">
        <f t="array" ref="X10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8" s="12">
        <f>VLOOKUP(Шаблон_Формулы[[#This Row],[24]],Курс_840[[Дата]:[Курс]],2,0)</f>
        <v>11370.11</v>
      </c>
      <c r="Z108" s="42">
        <f>IFERROR(Шаблон_Формулы[[#This Row],[23]]*Шаблон_Формулы[[#This Row],[25]],"")</f>
        <v>6452423.7239000006</v>
      </c>
      <c r="AA108" s="13" t="str" cm="1">
        <f t="array" ref="AA108">ACT_number[№ исходящего акта]</f>
        <v>426 LCL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7" cm="1">
        <f t="array" ref="E109">_xlfn.XLOOKUP($A109,ACT[[№]:[№]],ACT[Date of Dispatch/ 
Дата отгрузки],"",0,1)</f>
        <v>44965</v>
      </c>
      <c r="F109" s="38" t="str" cm="1">
        <f t="array" ref="F109">_xlfn.XLOOKUP($A109,ACT[[№]:[№]],ACT[Supplier/ Поставщик],"",0,1)</f>
        <v>ERAE AMS</v>
      </c>
      <c r="G109" s="38" t="str" cm="1">
        <f t="array" ref="G109">_xlfn.XLOOKUP($A109,ACT[[№]:[№]],ACT[Supplier Invoice No/                          № Инвойса Поставщика],"",0,1)</f>
        <v>DM231CH05(15)</v>
      </c>
      <c r="H109" s="39" cm="1">
        <f t="array" ref="H109">_xlfn.XLOOKUP($A109,ACT[[№]:[№]],ACT[CBM],"",0,1)</f>
        <v>12.948</v>
      </c>
      <c r="I109" s="39" cm="1">
        <f t="array" ref="I109">_xlfn.XLOOKUP($A109,ACT[[№]:[№]],ACT[Gross weight, kg/ Вес брутто, кг],"",0,1)</f>
        <v>11095.2</v>
      </c>
      <c r="J109" s="39" t="str" cm="1">
        <f t="array" ref="J109">_xlfn.XLOOKUP($A109,ACT[[№]:[№]],ACT[Delivery terms / Условия поставки],"",0,1)</f>
        <v>FCA</v>
      </c>
      <c r="K109" s="39" cm="1">
        <f t="array" ref="K109">_xlfn.XLOOKUP($A109,ACT[[№]:[№]],ACT[Container total CBM],"",0,1)</f>
        <v>42.457999999999998</v>
      </c>
      <c r="L109" s="40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40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40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40" cm="1">
        <f t="array" ref="O109">_xlfn.XLOOKUP($A109,ACT[[№]:[№]],ACT[Documents Work/ Сбор за подготовку документов
KRW],"",0,1)</f>
        <v>15248.009797917945</v>
      </c>
      <c r="P109" s="40" cm="1">
        <f t="array" ref="P109">_xlfn.XLOOKUP($A109,ACT[[№]:[№]],ACT[THC/ Терминальная обработка
KRW],"",0,1)</f>
        <v>56539.62033067974</v>
      </c>
      <c r="Q109" s="40" cm="1">
        <f t="array" ref="Q109">_xlfn.XLOOKUP($A109,ACT[[№]:[№]],ACT[Wharfage/ Портовая пошлина
KRW],"",0,1)</f>
        <v>2775.137783221066</v>
      </c>
      <c r="R109" s="40" cm="1">
        <f t="array" ref="R109">_xlfn.XLOOKUP($A109,ACT[[№]:[№]],ACT[TRUCKING CHARGE],"",0,1)</f>
        <v>0</v>
      </c>
      <c r="S109" s="40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40" cm="1">
        <f t="array" ref="T109">_xlfn.XLOOKUP($A109,ACT[[№]:[№]],ACT[Special Wooden Shoring / Специальное деревянное крепление],"",0,1)</f>
        <v>0</v>
      </c>
      <c r="U109" s="9"/>
      <c r="V109" s="40" cm="1">
        <f t="array" ref="V109">_xlfn.XLOOKUP($A109,ACT[[№]:[№]],ACT[Total amount/ Общая стоимость KRW (10+11+12+13+14+15+16)],"",0,1)</f>
        <v>721133.90885486826</v>
      </c>
      <c r="W109" s="40" cm="1">
        <f t="array" ref="W109">_xlfn.XLOOKUP($A109,ACT[[№]:[№]],ACT[Total amount/ Общая стоимость (17*exchange rate/ обменный курс)
 USD],"",0,1)</f>
        <v>567.49</v>
      </c>
      <c r="X109" s="9" cm="1">
        <f t="array" ref="X10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9" s="12">
        <f>VLOOKUP(Шаблон_Формулы[[#This Row],[24]],Курс_840[[Дата]:[Курс]],2,0)</f>
        <v>11370.11</v>
      </c>
      <c r="Z109" s="42">
        <f>IFERROR(Шаблон_Формулы[[#This Row],[23]]*Шаблон_Формулы[[#This Row],[25]],"")</f>
        <v>6452423.7239000006</v>
      </c>
      <c r="AA109" s="13" t="str" cm="1">
        <f t="array" ref="AA109">ACT_number[№ исходящего акта]</f>
        <v>426 LCL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7" cm="1">
        <f t="array" ref="E110">_xlfn.XLOOKUP($A110,ACT[[№]:[№]],ACT[Date of Dispatch/ 
Дата отгрузки],"",0,1)</f>
        <v>44965</v>
      </c>
      <c r="F110" s="38" t="str" cm="1">
        <f t="array" ref="F110">_xlfn.XLOOKUP($A110,ACT[[№]:[№]],ACT[Supplier/ Поставщик],"",0,1)</f>
        <v>ERAE AMS</v>
      </c>
      <c r="G110" s="38" t="str" cm="1">
        <f t="array" ref="G110">_xlfn.XLOOKUP($A110,ACT[[№]:[№]],ACT[Supplier Invoice No/                          № Инвойса Поставщика],"",0,1)</f>
        <v>DM231CH05(16)</v>
      </c>
      <c r="H110" s="39" cm="1">
        <f t="array" ref="H110">_xlfn.XLOOKUP($A110,ACT[[№]:[№]],ACT[CBM],"",0,1)</f>
        <v>5.7720000000000002</v>
      </c>
      <c r="I110" s="39" cm="1">
        <f t="array" ref="I110">_xlfn.XLOOKUP($A110,ACT[[№]:[№]],ACT[Gross weight, kg/ Вес брутто, кг],"",0,1)</f>
        <v>746.4</v>
      </c>
      <c r="J110" s="39" t="str" cm="1">
        <f t="array" ref="J110">_xlfn.XLOOKUP($A110,ACT[[№]:[№]],ACT[Delivery terms / Условия поставки],"",0,1)</f>
        <v>FCA</v>
      </c>
      <c r="K110" s="39" cm="1">
        <f t="array" ref="K110">_xlfn.XLOOKUP($A110,ACT[[№]:[№]],ACT[Container total CBM],"",0,1)</f>
        <v>42.457999999999998</v>
      </c>
      <c r="L110" s="40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40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40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40" cm="1">
        <f t="array" ref="O110">_xlfn.XLOOKUP($A110,ACT[[№]:[№]],ACT[Documents Work/ Сбор за подготовку документов
KRW],"",0,1)</f>
        <v>6797.3055725658305</v>
      </c>
      <c r="P110" s="40" cm="1">
        <f t="array" ref="P110">_xlfn.XLOOKUP($A110,ACT[[№]:[№]],ACT[THC/ Терминальная обработка
KRW],"",0,1)</f>
        <v>25204.409063074098</v>
      </c>
      <c r="Q110" s="40" cm="1">
        <f t="array" ref="Q110">_xlfn.XLOOKUP($A110,ACT[[№]:[№]],ACT[Wharfage/ Портовая пошлина
KRW],"",0,1)</f>
        <v>1237.1096142069812</v>
      </c>
      <c r="R110" s="40" cm="1">
        <f t="array" ref="R110">_xlfn.XLOOKUP($A110,ACT[[№]:[№]],ACT[TRUCKING CHARGE],"",0,1)</f>
        <v>0</v>
      </c>
      <c r="S110" s="40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40" cm="1">
        <f t="array" ref="T110">_xlfn.XLOOKUP($A110,ACT[[№]:[№]],ACT[Special Wooden Shoring / Специальное деревянное крепление],"",0,1)</f>
        <v>0</v>
      </c>
      <c r="U110" s="9"/>
      <c r="V110" s="40" cm="1">
        <f t="array" ref="V110">_xlfn.XLOOKUP($A110,ACT[[№]:[№]],ACT[Total amount/ Общая стоимость KRW (10+11+12+13+14+15+16)],"",0,1)</f>
        <v>437822.34491120646</v>
      </c>
      <c r="W110" s="40" cm="1">
        <f t="array" ref="W110">_xlfn.XLOOKUP($A110,ACT[[№]:[№]],ACT[Total amount/ Общая стоимость (17*exchange rate/ обменный курс)
 USD],"",0,1)</f>
        <v>344.54</v>
      </c>
      <c r="X110" s="9" cm="1">
        <f t="array" ref="X1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0" s="12">
        <f>VLOOKUP(Шаблон_Формулы[[#This Row],[24]],Курс_840[[Дата]:[Курс]],2,0)</f>
        <v>11370.11</v>
      </c>
      <c r="Z110" s="42">
        <f>IFERROR(Шаблон_Формулы[[#This Row],[23]]*Шаблон_Формулы[[#This Row],[25]],"")</f>
        <v>3917457.6994000003</v>
      </c>
      <c r="AA110" s="13" t="str" cm="1">
        <f t="array" ref="AA110">ACT_number[№ исходящего акта]</f>
        <v>426 LCL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7" cm="1">
        <f t="array" ref="E111">_xlfn.XLOOKUP($A111,ACT[[№]:[№]],ACT[Date of Dispatch/ 
Дата отгрузки],"",0,1)</f>
        <v>44965</v>
      </c>
      <c r="F111" s="38" t="str" cm="1">
        <f t="array" ref="F111">_xlfn.XLOOKUP($A111,ACT[[№]:[№]],ACT[Supplier/ Поставщик],"",0,1)</f>
        <v>ERAE AMS</v>
      </c>
      <c r="G111" s="38" t="str" cm="1">
        <f t="array" ref="G111">_xlfn.XLOOKUP($A111,ACT[[№]:[№]],ACT[Supplier Invoice No/                          № Инвойса Поставщика],"",0,1)</f>
        <v>DM231CH05(17)</v>
      </c>
      <c r="H111" s="39" cm="1">
        <f t="array" ref="H111">_xlfn.XLOOKUP($A111,ACT[[№]:[№]],ACT[CBM],"",0,1)</f>
        <v>10.79</v>
      </c>
      <c r="I111" s="39" cm="1">
        <f t="array" ref="I111">_xlfn.XLOOKUP($A111,ACT[[№]:[№]],ACT[Gross weight, kg/ Вес брутто, кг],"",0,1)</f>
        <v>1343.4</v>
      </c>
      <c r="J111" s="39" t="str" cm="1">
        <f t="array" ref="J111">_xlfn.XLOOKUP($A111,ACT[[№]:[№]],ACT[Delivery terms / Условия поставки],"",0,1)</f>
        <v>FCA</v>
      </c>
      <c r="K111" s="39" cm="1">
        <f t="array" ref="K111">_xlfn.XLOOKUP($A111,ACT[[№]:[№]],ACT[Container total CBM],"",0,1)</f>
        <v>42.457999999999998</v>
      </c>
      <c r="L111" s="40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40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40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40" cm="1">
        <f t="array" ref="O111">_xlfn.XLOOKUP($A111,ACT[[№]:[№]],ACT[Documents Work/ Сбор за подготовку документов
KRW],"",0,1)</f>
        <v>12706.674831598286</v>
      </c>
      <c r="P111" s="40" cm="1">
        <f t="array" ref="P111">_xlfn.XLOOKUP($A111,ACT[[№]:[№]],ACT[THC/ Терминальная обработка
KRW],"",0,1)</f>
        <v>47116.350275566445</v>
      </c>
      <c r="Q111" s="40" cm="1">
        <f t="array" ref="Q111">_xlfn.XLOOKUP($A111,ACT[[№]:[№]],ACT[Wharfage/ Портовая пошлина
KRW],"",0,1)</f>
        <v>2312.614819350888</v>
      </c>
      <c r="R111" s="40" cm="1">
        <f t="array" ref="R111">_xlfn.XLOOKUP($A111,ACT[[№]:[№]],ACT[TRUCKING CHARGE],"",0,1)</f>
        <v>0</v>
      </c>
      <c r="S111" s="40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40" cm="1">
        <f t="array" ref="T111">_xlfn.XLOOKUP($A111,ACT[[№]:[№]],ACT[Special Wooden Shoring / Специальное деревянное крепление],"",0,1)</f>
        <v>0</v>
      </c>
      <c r="U111" s="9"/>
      <c r="V111" s="40" cm="1">
        <f t="array" ref="V111">_xlfn.XLOOKUP($A111,ACT[[№]:[№]],ACT[Total amount/ Общая стоимость KRW (10+11+12+13+14+15+16)],"",0,1)</f>
        <v>606278.25737905689</v>
      </c>
      <c r="W111" s="40" cm="1">
        <f t="array" ref="W111">_xlfn.XLOOKUP($A111,ACT[[№]:[№]],ACT[Total amount/ Общая стоимость (17*exchange rate/ обменный курс)
 USD],"",0,1)</f>
        <v>477.11</v>
      </c>
      <c r="X111" s="9" cm="1">
        <f t="array" ref="X1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1" s="12">
        <f>VLOOKUP(Шаблон_Формулы[[#This Row],[24]],Курс_840[[Дата]:[Курс]],2,0)</f>
        <v>11370.11</v>
      </c>
      <c r="Z111" s="42">
        <f>IFERROR(Шаблон_Формулы[[#This Row],[23]]*Шаблон_Формулы[[#This Row],[25]],"")</f>
        <v>5424793.1821000008</v>
      </c>
      <c r="AA111" s="13" t="str" cm="1">
        <f t="array" ref="AA111">ACT_number[№ исходящего акта]</f>
        <v>426 LCL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7" cm="1">
        <f t="array" ref="E112">_xlfn.XLOOKUP($A112,ACT[[№]:[№]],ACT[Date of Dispatch/ 
Дата отгрузки],"",0,1)</f>
        <v>44965</v>
      </c>
      <c r="F112" s="38" t="str" cm="1">
        <f t="array" ref="F112">_xlfn.XLOOKUP($A112,ACT[[№]:[№]],ACT[Supplier/ Поставщик],"",0,1)</f>
        <v>ERAE AMS</v>
      </c>
      <c r="G112" s="38" t="str" cm="1">
        <f t="array" ref="G112">_xlfn.XLOOKUP($A112,ACT[[№]:[№]],ACT[Supplier Invoice No/                          № Инвойса Поставщика],"",0,1)</f>
        <v>DM231CH05(18)</v>
      </c>
      <c r="H112" s="39" cm="1">
        <f t="array" ref="H112">_xlfn.XLOOKUP($A112,ACT[[№]:[№]],ACT[CBM],"",0,1)</f>
        <v>14.019</v>
      </c>
      <c r="I112" s="39" cm="1">
        <f t="array" ref="I112">_xlfn.XLOOKUP($A112,ACT[[№]:[№]],ACT[Gross weight, kg/ Вес брутто, кг],"",0,1)</f>
        <v>11198.72</v>
      </c>
      <c r="J112" s="39" t="str" cm="1">
        <f t="array" ref="J112">_xlfn.XLOOKUP($A112,ACT[[№]:[№]],ACT[Delivery terms / Условия поставки],"",0,1)</f>
        <v>FCA</v>
      </c>
      <c r="K112" s="39" cm="1">
        <f t="array" ref="K112">_xlfn.XLOOKUP($A112,ACT[[№]:[№]],ACT[Container total CBM],"",0,1)</f>
        <v>47.928999999999995</v>
      </c>
      <c r="L112" s="40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40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40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40" cm="1">
        <f t="array" ref="O112">_xlfn.XLOOKUP($A112,ACT[[№]:[№]],ACT[Documents Work/ Сбор за подготовку документов
KRW],"",0,1)</f>
        <v>14624.75745373365</v>
      </c>
      <c r="P112" s="40" cm="1">
        <f t="array" ref="P112">_xlfn.XLOOKUP($A112,ACT[[№]:[№]],ACT[THC/ Терминальная обработка
KRW],"",0,1)</f>
        <v>54228.600638444375</v>
      </c>
      <c r="Q112" s="40" cm="1">
        <f t="array" ref="Q112">_xlfn.XLOOKUP($A112,ACT[[№]:[№]],ACT[Wharfage/ Портовая пошлина
KRW],"",0,1)</f>
        <v>2661.7058565795242</v>
      </c>
      <c r="R112" s="40" cm="1">
        <f t="array" ref="R112">_xlfn.XLOOKUP($A112,ACT[[№]:[№]],ACT[TRUCKING CHARGE],"",0,1)</f>
        <v>0</v>
      </c>
      <c r="S112" s="40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40" cm="1">
        <f t="array" ref="T112">_xlfn.XLOOKUP($A112,ACT[[№]:[№]],ACT[Special Wooden Shoring / Специальное деревянное крепление],"",0,1)</f>
        <v>0</v>
      </c>
      <c r="U112" s="9"/>
      <c r="V112" s="40" cm="1">
        <f t="array" ref="V112">_xlfn.XLOOKUP($A112,ACT[[№]:[№]],ACT[Total amount/ Общая стоимость KRW (10+11+12+13+14+15+16)],"",0,1)</f>
        <v>953266.82315487508</v>
      </c>
      <c r="W112" s="40" cm="1">
        <f t="array" ref="W112">_xlfn.XLOOKUP($A112,ACT[[№]:[№]],ACT[Total amount/ Общая стоимость (17*exchange rate/ обменный курс)
 USD],"",0,1)</f>
        <v>750.17</v>
      </c>
      <c r="X112" s="9" cm="1">
        <f t="array" ref="X1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2" s="12">
        <f>VLOOKUP(Шаблон_Формулы[[#This Row],[24]],Курс_840[[Дата]:[Курс]],2,0)</f>
        <v>11370.11</v>
      </c>
      <c r="Z112" s="42">
        <f>IFERROR(Шаблон_Формулы[[#This Row],[23]]*Шаблон_Формулы[[#This Row],[25]],"")</f>
        <v>8529515.4187000003</v>
      </c>
      <c r="AA112" s="13" t="str" cm="1">
        <f t="array" ref="AA112">ACT_number[№ исходящего акта]</f>
        <v>426 LCL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7" cm="1">
        <f t="array" ref="E113">_xlfn.XLOOKUP($A113,ACT[[№]:[№]],ACT[Date of Dispatch/ 
Дата отгрузки],"",0,1)</f>
        <v>44965</v>
      </c>
      <c r="F113" s="38" t="str" cm="1">
        <f t="array" ref="F113">_xlfn.XLOOKUP($A113,ACT[[№]:[№]],ACT[Supplier/ Поставщик],"",0,1)</f>
        <v>ERAE AMS</v>
      </c>
      <c r="G113" s="38" t="str" cm="1">
        <f t="array" ref="G113">_xlfn.XLOOKUP($A113,ACT[[№]:[№]],ACT[Supplier Invoice No/                          № Инвойса Поставщика],"",0,1)</f>
        <v>DM231CH05(19)</v>
      </c>
      <c r="H113" s="39" cm="1">
        <f t="array" ref="H113">_xlfn.XLOOKUP($A113,ACT[[№]:[№]],ACT[CBM],"",0,1)</f>
        <v>25.890999999999998</v>
      </c>
      <c r="I113" s="39" cm="1">
        <f t="array" ref="I113">_xlfn.XLOOKUP($A113,ACT[[№]:[№]],ACT[Gross weight, kg/ Вес брутто, кг],"",0,1)</f>
        <v>3224.16</v>
      </c>
      <c r="J113" s="39" t="str" cm="1">
        <f t="array" ref="J113">_xlfn.XLOOKUP($A113,ACT[[№]:[№]],ACT[Delivery terms / Условия поставки],"",0,1)</f>
        <v>FCA</v>
      </c>
      <c r="K113" s="39" cm="1">
        <f t="array" ref="K113">_xlfn.XLOOKUP($A113,ACT[[№]:[№]],ACT[Container total CBM],"",0,1)</f>
        <v>47.928999999999995</v>
      </c>
      <c r="L113" s="40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40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40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40" cm="1">
        <f t="array" ref="O113">_xlfn.XLOOKUP($A113,ACT[[№]:[№]],ACT[Documents Work/ Сбор за подготовку документов
KRW],"",0,1)</f>
        <v>27009.743579044003</v>
      </c>
      <c r="P113" s="40" cm="1">
        <f t="array" ref="P113">_xlfn.XLOOKUP($A113,ACT[[№]:[№]],ACT[THC/ Терминальная обработка
KRW],"",0,1)</f>
        <v>100152.12919109515</v>
      </c>
      <c r="Q113" s="40" cm="1">
        <f t="array" ref="Q113">_xlfn.XLOOKUP($A113,ACT[[№]:[№]],ACT[Wharfage/ Портовая пошлина
KRW],"",0,1)</f>
        <v>4915.773331386009</v>
      </c>
      <c r="R113" s="40" cm="1">
        <f t="array" ref="R113">_xlfn.XLOOKUP($A113,ACT[[№]:[№]],ACT[TRUCKING CHARGE],"",0,1)</f>
        <v>0</v>
      </c>
      <c r="S113" s="40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40" cm="1">
        <f t="array" ref="T113">_xlfn.XLOOKUP($A113,ACT[[№]:[№]],ACT[Special Wooden Shoring / Специальное деревянное крепление],"",0,1)</f>
        <v>0</v>
      </c>
      <c r="U113" s="9"/>
      <c r="V113" s="40" cm="1">
        <f t="array" ref="V113">_xlfn.XLOOKUP($A113,ACT[[№]:[№]],ACT[Total amount/ Общая стоимость KRW (10+11+12+13+14+15+16)],"",0,1)</f>
        <v>1000106.6636923366</v>
      </c>
      <c r="W113" s="40" cm="1">
        <f t="array" ref="W113">_xlfn.XLOOKUP($A113,ACT[[№]:[№]],ACT[Total amount/ Общая стоимость (17*exchange rate/ обменный курс)
 USD],"",0,1)</f>
        <v>787.03</v>
      </c>
      <c r="X113" s="9" cm="1">
        <f t="array" ref="X1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3" s="12">
        <f>VLOOKUP(Шаблон_Формулы[[#This Row],[24]],Курс_840[[Дата]:[Курс]],2,0)</f>
        <v>11370.11</v>
      </c>
      <c r="Z113" s="42">
        <f>IFERROR(Шаблон_Формулы[[#This Row],[23]]*Шаблон_Формулы[[#This Row],[25]],"")</f>
        <v>8948617.6732999999</v>
      </c>
      <c r="AA113" s="13" t="str" cm="1">
        <f t="array" ref="AA113">ACT_number[№ исходящего акта]</f>
        <v>426 LCL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7" cm="1">
        <f t="array" ref="E114">_xlfn.XLOOKUP($A114,ACT[[№]:[№]],ACT[Date of Dispatch/ 
Дата отгрузки],"",0,1)</f>
        <v>44965</v>
      </c>
      <c r="F114" s="38" t="str" cm="1">
        <f t="array" ref="F114">_xlfn.XLOOKUP($A114,ACT[[№]:[№]],ACT[Supplier/ Поставщик],"",0,1)</f>
        <v>SAMJINJEONGGONG (GEM Project)</v>
      </c>
      <c r="G114" s="38" t="str" cm="1">
        <f t="array" ref="G114">_xlfn.XLOOKUP($A114,ACT[[№]:[№]],ACT[Supplier Invoice No/                          № Инвойса Поставщика],"",0,1)</f>
        <v>UZATK0035(16)</v>
      </c>
      <c r="H114" s="39" cm="1">
        <f t="array" ref="H114">_xlfn.XLOOKUP($A114,ACT[[№]:[№]],ACT[CBM],"",0,1)</f>
        <v>8.0190000000000001</v>
      </c>
      <c r="I114" s="39" cm="1">
        <f t="array" ref="I114">_xlfn.XLOOKUP($A114,ACT[[№]:[№]],ACT[Gross weight, kg/ Вес брутто, кг],"",0,1)</f>
        <v>8006</v>
      </c>
      <c r="J114" s="39" t="str" cm="1">
        <f t="array" ref="J114">_xlfn.XLOOKUP($A114,ACT[[№]:[№]],ACT[Delivery terms / Условия поставки],"",0,1)</f>
        <v>FCA</v>
      </c>
      <c r="K114" s="39" cm="1">
        <f t="array" ref="K114">_xlfn.XLOOKUP($A114,ACT[[№]:[№]],ACT[Container total CBM],"",0,1)</f>
        <v>47.928999999999995</v>
      </c>
      <c r="L114" s="40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40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40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40" cm="1">
        <f t="array" ref="O114">_xlfn.XLOOKUP($A114,ACT[[№]:[№]],ACT[Documents Work/ Сбор за подготовку документов
KRW],"",0,1)</f>
        <v>8365.498967222351</v>
      </c>
      <c r="P114" s="40" cm="1">
        <f t="array" ref="P114">_xlfn.XLOOKUP($A114,ACT[[№]:[№]],ACT[THC/ Терминальная обработка
KRW],"",0,1)</f>
        <v>31019.270170460477</v>
      </c>
      <c r="Q114" s="40" cm="1">
        <f t="array" ref="Q114">_xlfn.XLOOKUP($A114,ACT[[№]:[№]],ACT[Wharfage/ Портовая пошлина
KRW],"",0,1)</f>
        <v>1522.520812034468</v>
      </c>
      <c r="R114" s="40" cm="1">
        <f t="array" ref="R114">_xlfn.XLOOKUP($A114,ACT[[№]:[№]],ACT[TRUCKING CHARGE],"",0,1)</f>
        <v>0</v>
      </c>
      <c r="S114" s="40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40" cm="1">
        <f t="array" ref="T114">_xlfn.XLOOKUP($A114,ACT[[№]:[№]],ACT[Special Wooden Shoring / Специальное деревянное крепление],"",0,1)</f>
        <v>0</v>
      </c>
      <c r="U114" s="9"/>
      <c r="V114" s="40" cm="1">
        <f t="array" ref="V114">_xlfn.XLOOKUP($A114,ACT[[№]:[№]],ACT[Total amount/ Общая стоимость KRW (10+11+12+13+14+15+16)],"",0,1)</f>
        <v>453343.72315278847</v>
      </c>
      <c r="W114" s="40" cm="1">
        <f t="array" ref="W114">_xlfn.XLOOKUP($A114,ACT[[№]:[№]],ACT[Total amount/ Общая стоимость (17*exchange rate/ обменный курс)
 USD],"",0,1)</f>
        <v>356.76</v>
      </c>
      <c r="X114" s="9" cm="1">
        <f t="array" ref="X1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4" s="12">
        <f>VLOOKUP(Шаблон_Формулы[[#This Row],[24]],Курс_840[[Дата]:[Курс]],2,0)</f>
        <v>11370.11</v>
      </c>
      <c r="Z114" s="42">
        <f>IFERROR(Шаблон_Формулы[[#This Row],[23]]*Шаблон_Формулы[[#This Row],[25]],"")</f>
        <v>4056400.4435999999</v>
      </c>
      <c r="AA114" s="13" t="str" cm="1">
        <f t="array" ref="AA114">ACT_number[№ исходящего акта]</f>
        <v>426 LCL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7" cm="1">
        <f t="array" ref="E115">_xlfn.XLOOKUP($A115,ACT[[№]:[№]],ACT[Date of Dispatch/ 
Дата отгрузки],"",0,1)</f>
        <v>44965</v>
      </c>
      <c r="F115" s="38" t="str" cm="1">
        <f t="array" ref="F115">_xlfn.XLOOKUP($A115,ACT[[№]:[№]],ACT[Supplier/ Поставщик],"",0,1)</f>
        <v>DMC (GEM Project)</v>
      </c>
      <c r="G115" s="38" t="str" cm="1">
        <f t="array" ref="G115">_xlfn.XLOOKUP($A115,ACT[[№]:[№]],ACT[Supplier Invoice No/                          № Инвойса Поставщика],"",0,1)</f>
        <v>UZATK0035(17)</v>
      </c>
      <c r="H115" s="39" cm="1">
        <f t="array" ref="H115">_xlfn.XLOOKUP($A115,ACT[[№]:[№]],ACT[CBM],"",0,1)</f>
        <v>60.765000000000001</v>
      </c>
      <c r="I115" s="39" cm="1">
        <f t="array" ref="I115">_xlfn.XLOOKUP($A115,ACT[[№]:[№]],ACT[Gross weight, kg/ Вес брутто, кг],"",0,1)</f>
        <v>4851</v>
      </c>
      <c r="J115" s="39" t="str" cm="1">
        <f t="array" ref="J115">_xlfn.XLOOKUP($A115,ACT[[№]:[№]],ACT[Delivery terms / Условия поставки],"",0,1)</f>
        <v>FCA</v>
      </c>
      <c r="K115" s="39" cm="1">
        <f t="array" ref="K115">_xlfn.XLOOKUP($A115,ACT[[№]:[№]],ACT[Container total CBM],"",0,1)</f>
        <v>60.765000000000001</v>
      </c>
      <c r="L115" s="40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40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40" cm="1">
        <f t="array" ref="N115">_xlfn.XLOOKUP($A115,ACT[[№]:[№]],ACT[Shoring, Banding, Sealing, Handling/ Крепление, Перевязка, Опечатование, Обработка
KRW],"",0,1)</f>
        <v>193800</v>
      </c>
      <c r="O115" s="40" cm="1">
        <f t="array" ref="O115">_xlfn.XLOOKUP($A115,ACT[[№]:[№]],ACT[Documents Work/ Сбор за подготовку документов
KRW],"",0,1)</f>
        <v>50000</v>
      </c>
      <c r="P115" s="40" cm="1">
        <f t="array" ref="P115">_xlfn.XLOOKUP($A115,ACT[[№]:[№]],ACT[THC/ Терминальная обработка
KRW],"",0,1)</f>
        <v>185400</v>
      </c>
      <c r="Q115" s="40" cm="1">
        <f t="array" ref="Q115">_xlfn.XLOOKUP($A115,ACT[[№]:[№]],ACT[Wharfage/ Портовая пошлина
KRW],"",0,1)</f>
        <v>9100</v>
      </c>
      <c r="R115" s="40" cm="1">
        <f t="array" ref="R115">_xlfn.XLOOKUP($A115,ACT[[№]:[№]],ACT[TRUCKING CHARGE],"",0,1)</f>
        <v>0</v>
      </c>
      <c r="S115" s="40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40" cm="1">
        <f t="array" ref="T115">_xlfn.XLOOKUP($A115,ACT[[№]:[№]],ACT[Special Wooden Shoring / Специальное деревянное крепление],"",0,1)</f>
        <v>0</v>
      </c>
      <c r="U115" s="9"/>
      <c r="V115" s="40" cm="1">
        <f t="array" ref="V115">_xlfn.XLOOKUP($A115,ACT[[№]:[№]],ACT[Total amount/ Общая стоимость KRW (10+11+12+13+14+15+16)],"",0,1)</f>
        <v>1974694.85</v>
      </c>
      <c r="W115" s="40" cm="1">
        <f t="array" ref="W115">_xlfn.XLOOKUP($A115,ACT[[№]:[№]],ACT[Total amount/ Общая стоимость (17*exchange rate/ обменный курс)
 USD],"",0,1)</f>
        <v>1553.97</v>
      </c>
      <c r="X115" s="9" cm="1">
        <f t="array" ref="X1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5" s="12">
        <f>VLOOKUP(Шаблон_Формулы[[#This Row],[24]],Курс_840[[Дата]:[Курс]],2,0)</f>
        <v>11370.11</v>
      </c>
      <c r="Z115" s="42">
        <f>IFERROR(Шаблон_Формулы[[#This Row],[23]]*Шаблон_Формулы[[#This Row],[25]],"")</f>
        <v>17668809.8367</v>
      </c>
      <c r="AA115" s="13" t="str" cm="1">
        <f t="array" ref="AA115">ACT_number[№ исходящего акта]</f>
        <v>426 LCL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7" cm="1">
        <f t="array" ref="E116">_xlfn.XLOOKUP($A116,ACT[[№]:[№]],ACT[Date of Dispatch/ 
Дата отгрузки],"",0,1)</f>
        <v>44965</v>
      </c>
      <c r="F116" s="38" t="str" cm="1">
        <f t="array" ref="F116">_xlfn.XLOOKUP($A116,ACT[[№]:[№]],ACT[Supplier/ Поставщик],"",0,1)</f>
        <v>DMC (GEM Project)</v>
      </c>
      <c r="G116" s="38" t="str" cm="1">
        <f t="array" ref="G116">_xlfn.XLOOKUP($A116,ACT[[№]:[№]],ACT[Supplier Invoice No/                          № Инвойса Поставщика],"",0,1)</f>
        <v>UZATK0035(18)</v>
      </c>
      <c r="H116" s="39" cm="1">
        <f t="array" ref="H116">_xlfn.XLOOKUP($A116,ACT[[№]:[№]],ACT[CBM],"",0,1)</f>
        <v>41.741</v>
      </c>
      <c r="I116" s="39" cm="1">
        <f t="array" ref="I116">_xlfn.XLOOKUP($A116,ACT[[№]:[№]],ACT[Gross weight, kg/ Вес брутто, кг],"",0,1)</f>
        <v>5669</v>
      </c>
      <c r="J116" s="39" t="str" cm="1">
        <f t="array" ref="J116">_xlfn.XLOOKUP($A116,ACT[[№]:[№]],ACT[Delivery terms / Условия поставки],"",0,1)</f>
        <v>FCA</v>
      </c>
      <c r="K116" s="39" cm="1">
        <f t="array" ref="K116">_xlfn.XLOOKUP($A116,ACT[[№]:[№]],ACT[Container total CBM],"",0,1)</f>
        <v>59.998000000000005</v>
      </c>
      <c r="L116" s="40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40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40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40" cm="1">
        <f t="array" ref="O116">_xlfn.XLOOKUP($A116,ACT[[№]:[№]],ACT[Documents Work/ Сбор за подготовку документов
KRW],"",0,1)</f>
        <v>34785.326177539253</v>
      </c>
      <c r="P116" s="40" cm="1">
        <f t="array" ref="P116">_xlfn.XLOOKUP($A116,ACT[[№]:[№]],ACT[THC/ Терминальная обработка
KRW],"",0,1)</f>
        <v>128983.98946631554</v>
      </c>
      <c r="Q116" s="40" cm="1">
        <f t="array" ref="Q116">_xlfn.XLOOKUP($A116,ACT[[№]:[№]],ACT[Wharfage/ Портовая пошлина
KRW],"",0,1)</f>
        <v>6330.9293643121437</v>
      </c>
      <c r="R116" s="40" cm="1">
        <f t="array" ref="R116">_xlfn.XLOOKUP($A116,ACT[[№]:[№]],ACT[TRUCKING CHARGE],"",0,1)</f>
        <v>0</v>
      </c>
      <c r="S116" s="40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40" cm="1">
        <f t="array" ref="T116">_xlfn.XLOOKUP($A116,ACT[[№]:[№]],ACT[Special Wooden Shoring / Специальное деревянное крепление],"",0,1)</f>
        <v>0</v>
      </c>
      <c r="U116" s="9"/>
      <c r="V116" s="40" cm="1">
        <f t="array" ref="V116">_xlfn.XLOOKUP($A116,ACT[[№]:[№]],ACT[Total amount/ Общая стоимость KRW (10+11+12+13+14+15+16)],"",0,1)</f>
        <v>1513454.9391283044</v>
      </c>
      <c r="W116" s="40" cm="1">
        <f t="array" ref="W116">_xlfn.XLOOKUP($A116,ACT[[№]:[№]],ACT[Total amount/ Общая стоимость (17*exchange rate/ обменный курс)
 USD],"",0,1)</f>
        <v>1191</v>
      </c>
      <c r="X116" s="9" cm="1">
        <f t="array" ref="X1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6" s="12">
        <f>VLOOKUP(Шаблон_Формулы[[#This Row],[24]],Курс_840[[Дата]:[Курс]],2,0)</f>
        <v>11370.11</v>
      </c>
      <c r="Z116" s="42">
        <f>IFERROR(Шаблон_Формулы[[#This Row],[23]]*Шаблон_Формулы[[#This Row],[25]],"")</f>
        <v>13541801.01</v>
      </c>
      <c r="AA116" s="13" t="str" cm="1">
        <f t="array" ref="AA116">ACT_number[№ исходящего акта]</f>
        <v>426 LCL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7" cm="1">
        <f t="array" ref="E117">_xlfn.XLOOKUP($A117,ACT[[№]:[№]],ACT[Date of Dispatch/ 
Дата отгрузки],"",0,1)</f>
        <v>44965</v>
      </c>
      <c r="F117" s="38" t="str" cm="1">
        <f t="array" ref="F117">_xlfn.XLOOKUP($A117,ACT[[№]:[№]],ACT[Supplier/ Поставщик],"",0,1)</f>
        <v>DMC (GEM Project)</v>
      </c>
      <c r="G117" s="38" t="str" cm="1">
        <f t="array" ref="G117">_xlfn.XLOOKUP($A117,ACT[[№]:[№]],ACT[Supplier Invoice No/                          № Инвойса Поставщика],"",0,1)</f>
        <v>UZATK0035(19)</v>
      </c>
      <c r="H117" s="39" cm="1">
        <f t="array" ref="H117">_xlfn.XLOOKUP($A117,ACT[[№]:[№]],ACT[CBM],"",0,1)</f>
        <v>18.257000000000001</v>
      </c>
      <c r="I117" s="39" cm="1">
        <f t="array" ref="I117">_xlfn.XLOOKUP($A117,ACT[[№]:[№]],ACT[Gross weight, kg/ Вес брутто, кг],"",0,1)</f>
        <v>2066</v>
      </c>
      <c r="J117" s="39" t="str" cm="1">
        <f t="array" ref="J117">_xlfn.XLOOKUP($A117,ACT[[№]:[№]],ACT[Delivery terms / Условия поставки],"",0,1)</f>
        <v>FCA</v>
      </c>
      <c r="K117" s="39" cm="1">
        <f t="array" ref="K117">_xlfn.XLOOKUP($A117,ACT[[№]:[№]],ACT[Container total CBM],"",0,1)</f>
        <v>59.998000000000005</v>
      </c>
      <c r="L117" s="40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40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40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40" cm="1">
        <f t="array" ref="O117">_xlfn.XLOOKUP($A117,ACT[[№]:[№]],ACT[Documents Work/ Сбор за подготовку документов
KRW],"",0,1)</f>
        <v>15214.673822460749</v>
      </c>
      <c r="P117" s="40" cm="1">
        <f t="array" ref="P117">_xlfn.XLOOKUP($A117,ACT[[№]:[№]],ACT[THC/ Терминальная обработка
KRW],"",0,1)</f>
        <v>56416.01053368445</v>
      </c>
      <c r="Q117" s="40" cm="1">
        <f t="array" ref="Q117">_xlfn.XLOOKUP($A117,ACT[[№]:[№]],ACT[Wharfage/ Портовая пошлина
KRW],"",0,1)</f>
        <v>2769.0706356878559</v>
      </c>
      <c r="R117" s="40" cm="1">
        <f t="array" ref="R117">_xlfn.XLOOKUP($A117,ACT[[№]:[№]],ACT[TRUCKING CHARGE],"",0,1)</f>
        <v>0</v>
      </c>
      <c r="S117" s="40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40" cm="1">
        <f t="array" ref="T117">_xlfn.XLOOKUP($A117,ACT[[№]:[№]],ACT[Special Wooden Shoring / Специальное деревянное крепление],"",0,1)</f>
        <v>0</v>
      </c>
      <c r="U117" s="9"/>
      <c r="V117" s="40" cm="1">
        <f t="array" ref="V117">_xlfn.XLOOKUP($A117,ACT[[№]:[№]],ACT[Total amount/ Общая стоимость KRW (10+11+12+13+14+15+16)],"",0,1)</f>
        <v>704728.08087169565</v>
      </c>
      <c r="W117" s="40" cm="1">
        <f t="array" ref="W117">_xlfn.XLOOKUP($A117,ACT[[№]:[№]],ACT[Total amount/ Общая стоимость (17*exchange rate/ обменный курс)
 USD],"",0,1)</f>
        <v>554.58000000000004</v>
      </c>
      <c r="X117" s="9" cm="1">
        <f t="array" ref="X1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7" s="12">
        <f>VLOOKUP(Шаблон_Формулы[[#This Row],[24]],Курс_840[[Дата]:[Курс]],2,0)</f>
        <v>11370.11</v>
      </c>
      <c r="Z117" s="42">
        <f>IFERROR(Шаблон_Формулы[[#This Row],[23]]*Шаблон_Формулы[[#This Row],[25]],"")</f>
        <v>6305635.6038000006</v>
      </c>
      <c r="AA117" s="13" t="str" cm="1">
        <f t="array" ref="AA117">ACT_number[№ исходящего акта]</f>
        <v>426 LCL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7" cm="1">
        <f t="array" ref="E118">_xlfn.XLOOKUP($A118,ACT[[№]:[№]],ACT[Date of Dispatch/ 
Дата отгрузки],"",0,1)</f>
        <v>44965</v>
      </c>
      <c r="F118" s="38" t="str" cm="1">
        <f t="array" ref="F118">_xlfn.XLOOKUP($A118,ACT[[№]:[№]],ACT[Supplier/ Поставщик],"",0,1)</f>
        <v>DMC (GEM Project)</v>
      </c>
      <c r="G118" s="38" t="str" cm="1">
        <f t="array" ref="G118">_xlfn.XLOOKUP($A118,ACT[[№]:[№]],ACT[Supplier Invoice No/                          № Инвойса Поставщика],"",0,1)</f>
        <v>UZATK0035(20)</v>
      </c>
      <c r="H118" s="39" cm="1">
        <f t="array" ref="H118">_xlfn.XLOOKUP($A118,ACT[[№]:[№]],ACT[CBM],"",0,1)</f>
        <v>54.564</v>
      </c>
      <c r="I118" s="39" cm="1">
        <f t="array" ref="I118">_xlfn.XLOOKUP($A118,ACT[[№]:[№]],ACT[Gross weight, kg/ Вес брутто, кг],"",0,1)</f>
        <v>4356</v>
      </c>
      <c r="J118" s="39" t="str" cm="1">
        <f t="array" ref="J118">_xlfn.XLOOKUP($A118,ACT[[№]:[№]],ACT[Delivery terms / Условия поставки],"",0,1)</f>
        <v>FCA</v>
      </c>
      <c r="K118" s="39" cm="1">
        <f t="array" ref="K118">_xlfn.XLOOKUP($A118,ACT[[№]:[№]],ACT[Container total CBM],"",0,1)</f>
        <v>59.936</v>
      </c>
      <c r="L118" s="40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40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40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40" cm="1">
        <f t="array" ref="O118">_xlfn.XLOOKUP($A118,ACT[[№]:[№]],ACT[Documents Work/ Сбор за подготовку документов
KRW],"",0,1)</f>
        <v>45518.553123331549</v>
      </c>
      <c r="P118" s="40" cm="1">
        <f t="array" ref="P118">_xlfn.XLOOKUP($A118,ACT[[№]:[№]],ACT[THC/ Терминальная обработка
KRW],"",0,1)</f>
        <v>168782.7949813134</v>
      </c>
      <c r="Q118" s="40" cm="1">
        <f t="array" ref="Q118">_xlfn.XLOOKUP($A118,ACT[[№]:[№]],ACT[Wharfage/ Портовая пошлина
KRW],"",0,1)</f>
        <v>8284.3766684463426</v>
      </c>
      <c r="R118" s="40" cm="1">
        <f t="array" ref="R118">_xlfn.XLOOKUP($A118,ACT[[№]:[№]],ACT[TRUCKING CHARGE],"",0,1)</f>
        <v>0</v>
      </c>
      <c r="S118" s="40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40" cm="1">
        <f t="array" ref="T118">_xlfn.XLOOKUP($A118,ACT[[№]:[№]],ACT[Special Wooden Shoring / Специальное деревянное крепление],"",0,1)</f>
        <v>0</v>
      </c>
      <c r="U118" s="9"/>
      <c r="V118" s="40" cm="1">
        <f t="array" ref="V118">_xlfn.XLOOKUP($A118,ACT[[№]:[№]],ACT[Total amount/ Общая стоимость KRW (10+11+12+13+14+15+16)],"",0,1)</f>
        <v>1857623.0797010141</v>
      </c>
      <c r="W118" s="40" cm="1">
        <f t="array" ref="W118">_xlfn.XLOOKUP($A118,ACT[[№]:[№]],ACT[Total amount/ Общая стоимость (17*exchange rate/ обменный курс)
 USD],"",0,1)</f>
        <v>1461.84</v>
      </c>
      <c r="X118" s="9" cm="1">
        <f t="array" ref="X1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8" s="12">
        <f>VLOOKUP(Шаблон_Формулы[[#This Row],[24]],Курс_840[[Дата]:[Курс]],2,0)</f>
        <v>11370.11</v>
      </c>
      <c r="Z118" s="42">
        <f>IFERROR(Шаблон_Формулы[[#This Row],[23]]*Шаблон_Формулы[[#This Row],[25]],"")</f>
        <v>16621281.602399999</v>
      </c>
      <c r="AA118" s="13" t="str" cm="1">
        <f t="array" ref="AA118">ACT_number[№ исходящего акта]</f>
        <v>426 LCL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7" cm="1">
        <f t="array" ref="E119">_xlfn.XLOOKUP($A119,ACT[[№]:[№]],ACT[Date of Dispatch/ 
Дата отгрузки],"",0,1)</f>
        <v>44965</v>
      </c>
      <c r="F119" s="38" t="str" cm="1">
        <f t="array" ref="F119">_xlfn.XLOOKUP($A119,ACT[[№]:[№]],ACT[Supplier/ Поставщик],"",0,1)</f>
        <v>DMC (GEM Project)</v>
      </c>
      <c r="G119" s="38" t="str" cm="1">
        <f t="array" ref="G119">_xlfn.XLOOKUP($A119,ACT[[№]:[№]],ACT[Supplier Invoice No/                          № Инвойса Поставщика],"",0,1)</f>
        <v>UZATK0035(21)</v>
      </c>
      <c r="H119" s="39" cm="1">
        <f t="array" ref="H119">_xlfn.XLOOKUP($A119,ACT[[№]:[№]],ACT[CBM],"",0,1)</f>
        <v>5.3719999999999999</v>
      </c>
      <c r="I119" s="39" cm="1">
        <f t="array" ref="I119">_xlfn.XLOOKUP($A119,ACT[[№]:[№]],ACT[Gross weight, kg/ Вес брутто, кг],"",0,1)</f>
        <v>988</v>
      </c>
      <c r="J119" s="39" t="str" cm="1">
        <f t="array" ref="J119">_xlfn.XLOOKUP($A119,ACT[[№]:[№]],ACT[Delivery terms / Условия поставки],"",0,1)</f>
        <v>FCA</v>
      </c>
      <c r="K119" s="39" cm="1">
        <f t="array" ref="K119">_xlfn.XLOOKUP($A119,ACT[[№]:[№]],ACT[Container total CBM],"",0,1)</f>
        <v>59.936</v>
      </c>
      <c r="L119" s="40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40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40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40" cm="1">
        <f t="array" ref="O119">_xlfn.XLOOKUP($A119,ACT[[№]:[№]],ACT[Documents Work/ Сбор за подготовку документов
KRW],"",0,1)</f>
        <v>4481.4468766684458</v>
      </c>
      <c r="P119" s="40" cm="1">
        <f t="array" ref="P119">_xlfn.XLOOKUP($A119,ACT[[№]:[№]],ACT[THC/ Терминальная обработка
KRW],"",0,1)</f>
        <v>16617.2050186866</v>
      </c>
      <c r="Q119" s="40" cm="1">
        <f t="array" ref="Q119">_xlfn.XLOOKUP($A119,ACT[[№]:[№]],ACT[Wharfage/ Портовая пошлина
KRW],"",0,1)</f>
        <v>815.62333155365707</v>
      </c>
      <c r="R119" s="40" cm="1">
        <f t="array" ref="R119">_xlfn.XLOOKUP($A119,ACT[[№]:[№]],ACT[TRUCKING CHARGE],"",0,1)</f>
        <v>0</v>
      </c>
      <c r="S119" s="40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40" cm="1">
        <f t="array" ref="T119">_xlfn.XLOOKUP($A119,ACT[[№]:[№]],ACT[Special Wooden Shoring / Специальное деревянное крепление],"",0,1)</f>
        <v>0</v>
      </c>
      <c r="U119" s="9"/>
      <c r="V119" s="40" cm="1">
        <f t="array" ref="V119">_xlfn.XLOOKUP($A119,ACT[[№]:[№]],ACT[Total amount/ Общая стоимость KRW (10+11+12+13+14+15+16)],"",0,1)</f>
        <v>351033.56029898557</v>
      </c>
      <c r="W119" s="40" cm="1">
        <f t="array" ref="W119">_xlfn.XLOOKUP($A119,ACT[[№]:[№]],ACT[Total amount/ Общая стоимость (17*exchange rate/ обменный курс)
 USD],"",0,1)</f>
        <v>276.24</v>
      </c>
      <c r="X119" s="9" cm="1">
        <f t="array" ref="X1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9" s="12">
        <f>VLOOKUP(Шаблон_Формулы[[#This Row],[24]],Курс_840[[Дата]:[Курс]],2,0)</f>
        <v>11370.11</v>
      </c>
      <c r="Z119" s="42">
        <f>IFERROR(Шаблон_Формулы[[#This Row],[23]]*Шаблон_Формулы[[#This Row],[25]],"")</f>
        <v>3140879.1864000005</v>
      </c>
      <c r="AA119" s="13" t="str" cm="1">
        <f t="array" ref="AA119">ACT_number[№ исходящего акта]</f>
        <v>426 LCL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7" t="str" cm="1">
        <f t="array" ref="E120">_xlfn.XLOOKUP($A120,ACT[[№]:[№]],ACT[Date of Dispatch/ 
Дата отгрузки],"",0,1)</f>
        <v/>
      </c>
      <c r="F120" s="38" t="str" cm="1">
        <f t="array" ref="F120">_xlfn.XLOOKUP($A120,ACT[[№]:[№]],ACT[Supplier/ Поставщик],"",0,1)</f>
        <v/>
      </c>
      <c r="G120" s="38" t="str" cm="1">
        <f t="array" ref="G120">_xlfn.XLOOKUP($A120,ACT[[№]:[№]],ACT[Supplier Invoice No/                          № Инвойса Поставщика],"",0,1)</f>
        <v/>
      </c>
      <c r="H120" s="39" t="str" cm="1">
        <f t="array" ref="H120">_xlfn.XLOOKUP($A120,ACT[[№]:[№]],ACT[CBM],"",0,1)</f>
        <v/>
      </c>
      <c r="I120" s="39" t="str" cm="1">
        <f t="array" ref="I120">_xlfn.XLOOKUP($A120,ACT[[№]:[№]],ACT[Gross weight, kg/ Вес брутто, кг],"",0,1)</f>
        <v/>
      </c>
      <c r="J120" s="39" t="str" cm="1">
        <f t="array" ref="J120">_xlfn.XLOOKUP($A120,ACT[[№]:[№]],ACT[Delivery terms / Условия поставки],"",0,1)</f>
        <v/>
      </c>
      <c r="K120" s="39" t="str" cm="1">
        <f t="array" ref="K120">_xlfn.XLOOKUP($A120,ACT[[№]:[№]],ACT[Container total CBM],"",0,1)</f>
        <v/>
      </c>
      <c r="L120" s="40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40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40" t="str" cm="1">
        <f t="array" ref="N120">_xlfn.XLOOKUP($A120,ACT[[№]:[№]],ACT[Shoring, Banding, Sealing, Handling/ Крепление, Перевязка, Опечатование, Обработка
KRW],"",0,1)</f>
        <v/>
      </c>
      <c r="O120" s="40" t="str" cm="1">
        <f t="array" ref="O120">_xlfn.XLOOKUP($A120,ACT[[№]:[№]],ACT[Documents Work/ Сбор за подготовку документов
KRW],"",0,1)</f>
        <v/>
      </c>
      <c r="P120" s="40" t="str" cm="1">
        <f t="array" ref="P120">_xlfn.XLOOKUP($A120,ACT[[№]:[№]],ACT[THC/ Терминальная обработка
KRW],"",0,1)</f>
        <v/>
      </c>
      <c r="Q120" s="40" t="str" cm="1">
        <f t="array" ref="Q120">_xlfn.XLOOKUP($A120,ACT[[№]:[№]],ACT[Wharfage/ Портовая пошлина
KRW],"",0,1)</f>
        <v/>
      </c>
      <c r="R120" s="40" t="str" cm="1">
        <f t="array" ref="R120">_xlfn.XLOOKUP($A120,ACT[[№]:[№]],ACT[TRUCKING CHARGE],"",0,1)</f>
        <v/>
      </c>
      <c r="S120" s="40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40" t="str" cm="1">
        <f t="array" ref="T120">_xlfn.XLOOKUP($A120,ACT[[№]:[№]],ACT[Special Wooden Shoring / Специальное деревянное крепление],"",0,1)</f>
        <v/>
      </c>
      <c r="U120" s="9"/>
      <c r="V120" s="40" t="str" cm="1">
        <f t="array" ref="V120">_xlfn.XLOOKUP($A120,ACT[[№]:[№]],ACT[Total amount/ Общая стоимость KRW (10+11+12+13+14+15+16)],"",0,1)</f>
        <v/>
      </c>
      <c r="W120" s="40" t="str" cm="1">
        <f t="array" ref="W120">_xlfn.XLOOKUP($A120,ACT[[№]:[№]],ACT[Total amount/ Общая стоимость (17*exchange rate/ обменный курс)
 USD],"",0,1)</f>
        <v/>
      </c>
      <c r="X120" s="9" cm="1">
        <f t="array" ref="X1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0" s="12">
        <f>VLOOKUP(Шаблон_Формулы[[#This Row],[24]],Курс_840[[Дата]:[Курс]],2,0)</f>
        <v>11370.11</v>
      </c>
      <c r="Z120" s="42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7" t="str" cm="1">
        <f t="array" ref="E121">_xlfn.XLOOKUP($A121,ACT[[№]:[№]],ACT[Date of Dispatch/ 
Дата отгрузки],"",0,1)</f>
        <v/>
      </c>
      <c r="F121" s="38" t="str" cm="1">
        <f t="array" ref="F121">_xlfn.XLOOKUP($A121,ACT[[№]:[№]],ACT[Supplier/ Поставщик],"",0,1)</f>
        <v/>
      </c>
      <c r="G121" s="38" t="str" cm="1">
        <f t="array" ref="G121">_xlfn.XLOOKUP($A121,ACT[[№]:[№]],ACT[Supplier Invoice No/                          № Инвойса Поставщика],"",0,1)</f>
        <v/>
      </c>
      <c r="H121" s="39" t="str" cm="1">
        <f t="array" ref="H121">_xlfn.XLOOKUP($A121,ACT[[№]:[№]],ACT[CBM],"",0,1)</f>
        <v/>
      </c>
      <c r="I121" s="39" t="str" cm="1">
        <f t="array" ref="I121">_xlfn.XLOOKUP($A121,ACT[[№]:[№]],ACT[Gross weight, kg/ Вес брутто, кг],"",0,1)</f>
        <v/>
      </c>
      <c r="J121" s="39" t="str" cm="1">
        <f t="array" ref="J121">_xlfn.XLOOKUP($A121,ACT[[№]:[№]],ACT[Delivery terms / Условия поставки],"",0,1)</f>
        <v/>
      </c>
      <c r="K121" s="39" t="str" cm="1">
        <f t="array" ref="K121">_xlfn.XLOOKUP($A121,ACT[[№]:[№]],ACT[Container total CBM],"",0,1)</f>
        <v/>
      </c>
      <c r="L121" s="40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40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40" t="str" cm="1">
        <f t="array" ref="N121">_xlfn.XLOOKUP($A121,ACT[[№]:[№]],ACT[Shoring, Banding, Sealing, Handling/ Крепление, Перевязка, Опечатование, Обработка
KRW],"",0,1)</f>
        <v/>
      </c>
      <c r="O121" s="40" t="str" cm="1">
        <f t="array" ref="O121">_xlfn.XLOOKUP($A121,ACT[[№]:[№]],ACT[Documents Work/ Сбор за подготовку документов
KRW],"",0,1)</f>
        <v/>
      </c>
      <c r="P121" s="40" t="str" cm="1">
        <f t="array" ref="P121">_xlfn.XLOOKUP($A121,ACT[[№]:[№]],ACT[THC/ Терминальная обработка
KRW],"",0,1)</f>
        <v/>
      </c>
      <c r="Q121" s="40" t="str" cm="1">
        <f t="array" ref="Q121">_xlfn.XLOOKUP($A121,ACT[[№]:[№]],ACT[Wharfage/ Портовая пошлина
KRW],"",0,1)</f>
        <v/>
      </c>
      <c r="R121" s="40" t="str" cm="1">
        <f t="array" ref="R121">_xlfn.XLOOKUP($A121,ACT[[№]:[№]],ACT[TRUCKING CHARGE],"",0,1)</f>
        <v/>
      </c>
      <c r="S121" s="40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40" t="str" cm="1">
        <f t="array" ref="T121">_xlfn.XLOOKUP($A121,ACT[[№]:[№]],ACT[Special Wooden Shoring / Специальное деревянное крепление],"",0,1)</f>
        <v/>
      </c>
      <c r="U121" s="9"/>
      <c r="V121" s="40" t="str" cm="1">
        <f t="array" ref="V121">_xlfn.XLOOKUP($A121,ACT[[№]:[№]],ACT[Total amount/ Общая стоимость KRW (10+11+12+13+14+15+16)],"",0,1)</f>
        <v/>
      </c>
      <c r="W121" s="40" t="str" cm="1">
        <f t="array" ref="W121">_xlfn.XLOOKUP($A121,ACT[[№]:[№]],ACT[Total amount/ Общая стоимость (17*exchange rate/ обменный курс)
 USD],"",0,1)</f>
        <v/>
      </c>
      <c r="X121" s="9" cm="1">
        <f t="array" ref="X1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1" s="12">
        <f>VLOOKUP(Шаблон_Формулы[[#This Row],[24]],Курс_840[[Дата]:[Курс]],2,0)</f>
        <v>11370.11</v>
      </c>
      <c r="Z121" s="42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7" t="str" cm="1">
        <f t="array" ref="E122">_xlfn.XLOOKUP($A122,ACT[[№]:[№]],ACT[Date of Dispatch/ 
Дата отгрузки],"",0,1)</f>
        <v/>
      </c>
      <c r="F122" s="38" t="str" cm="1">
        <f t="array" ref="F122">_xlfn.XLOOKUP($A122,ACT[[№]:[№]],ACT[Supplier/ Поставщик],"",0,1)</f>
        <v/>
      </c>
      <c r="G122" s="38" t="str" cm="1">
        <f t="array" ref="G122">_xlfn.XLOOKUP($A122,ACT[[№]:[№]],ACT[Supplier Invoice No/                          № Инвойса Поставщика],"",0,1)</f>
        <v/>
      </c>
      <c r="H122" s="39" t="str" cm="1">
        <f t="array" ref="H122">_xlfn.XLOOKUP($A122,ACT[[№]:[№]],ACT[CBM],"",0,1)</f>
        <v/>
      </c>
      <c r="I122" s="39" t="str" cm="1">
        <f t="array" ref="I122">_xlfn.XLOOKUP($A122,ACT[[№]:[№]],ACT[Gross weight, kg/ Вес брутто, кг],"",0,1)</f>
        <v/>
      </c>
      <c r="J122" s="39" t="str" cm="1">
        <f t="array" ref="J122">_xlfn.XLOOKUP($A122,ACT[[№]:[№]],ACT[Delivery terms / Условия поставки],"",0,1)</f>
        <v/>
      </c>
      <c r="K122" s="39" t="str" cm="1">
        <f t="array" ref="K122">_xlfn.XLOOKUP($A122,ACT[[№]:[№]],ACT[Container total CBM],"",0,1)</f>
        <v/>
      </c>
      <c r="L122" s="40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40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40" t="str" cm="1">
        <f t="array" ref="N122">_xlfn.XLOOKUP($A122,ACT[[№]:[№]],ACT[Shoring, Banding, Sealing, Handling/ Крепление, Перевязка, Опечатование, Обработка
KRW],"",0,1)</f>
        <v/>
      </c>
      <c r="O122" s="40" t="str" cm="1">
        <f t="array" ref="O122">_xlfn.XLOOKUP($A122,ACT[[№]:[№]],ACT[Documents Work/ Сбор за подготовку документов
KRW],"",0,1)</f>
        <v/>
      </c>
      <c r="P122" s="40" t="str" cm="1">
        <f t="array" ref="P122">_xlfn.XLOOKUP($A122,ACT[[№]:[№]],ACT[THC/ Терминальная обработка
KRW],"",0,1)</f>
        <v/>
      </c>
      <c r="Q122" s="40" t="str" cm="1">
        <f t="array" ref="Q122">_xlfn.XLOOKUP($A122,ACT[[№]:[№]],ACT[Wharfage/ Портовая пошлина
KRW],"",0,1)</f>
        <v/>
      </c>
      <c r="R122" s="40" t="str" cm="1">
        <f t="array" ref="R122">_xlfn.XLOOKUP($A122,ACT[[№]:[№]],ACT[TRUCKING CHARGE],"",0,1)</f>
        <v/>
      </c>
      <c r="S122" s="40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40" t="str" cm="1">
        <f t="array" ref="T122">_xlfn.XLOOKUP($A122,ACT[[№]:[№]],ACT[Special Wooden Shoring / Специальное деревянное крепление],"",0,1)</f>
        <v/>
      </c>
      <c r="U122" s="9"/>
      <c r="V122" s="40" t="str" cm="1">
        <f t="array" ref="V122">_xlfn.XLOOKUP($A122,ACT[[№]:[№]],ACT[Total amount/ Общая стоимость KRW (10+11+12+13+14+15+16)],"",0,1)</f>
        <v/>
      </c>
      <c r="W122" s="40" t="str" cm="1">
        <f t="array" ref="W122">_xlfn.XLOOKUP($A122,ACT[[№]:[№]],ACT[Total amount/ Общая стоимость (17*exchange rate/ обменный курс)
 USD],"",0,1)</f>
        <v/>
      </c>
      <c r="X122" s="9" cm="1">
        <f t="array" ref="X1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2" s="12">
        <f>VLOOKUP(Шаблон_Формулы[[#This Row],[24]],Курс_840[[Дата]:[Курс]],2,0)</f>
        <v>11370.11</v>
      </c>
      <c r="Z122" s="42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7" t="str" cm="1">
        <f t="array" ref="E123">_xlfn.XLOOKUP($A123,ACT[[№]:[№]],ACT[Date of Dispatch/ 
Дата отгрузки],"",0,1)</f>
        <v/>
      </c>
      <c r="F123" s="38" t="str" cm="1">
        <f t="array" ref="F123">_xlfn.XLOOKUP($A123,ACT[[№]:[№]],ACT[Supplier/ Поставщик],"",0,1)</f>
        <v/>
      </c>
      <c r="G123" s="38" t="str" cm="1">
        <f t="array" ref="G123">_xlfn.XLOOKUP($A123,ACT[[№]:[№]],ACT[Supplier Invoice No/                          № Инвойса Поставщика],"",0,1)</f>
        <v/>
      </c>
      <c r="H123" s="39" t="str" cm="1">
        <f t="array" ref="H123">_xlfn.XLOOKUP($A123,ACT[[№]:[№]],ACT[CBM],"",0,1)</f>
        <v/>
      </c>
      <c r="I123" s="39" t="str" cm="1">
        <f t="array" ref="I123">_xlfn.XLOOKUP($A123,ACT[[№]:[№]],ACT[Gross weight, kg/ Вес брутто, кг],"",0,1)</f>
        <v/>
      </c>
      <c r="J123" s="39" t="str" cm="1">
        <f t="array" ref="J123">_xlfn.XLOOKUP($A123,ACT[[№]:[№]],ACT[Delivery terms / Условия поставки],"",0,1)</f>
        <v/>
      </c>
      <c r="K123" s="39" t="str" cm="1">
        <f t="array" ref="K123">_xlfn.XLOOKUP($A123,ACT[[№]:[№]],ACT[Container total CBM],"",0,1)</f>
        <v/>
      </c>
      <c r="L123" s="40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40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40" t="str" cm="1">
        <f t="array" ref="N123">_xlfn.XLOOKUP($A123,ACT[[№]:[№]],ACT[Shoring, Banding, Sealing, Handling/ Крепление, Перевязка, Опечатование, Обработка
KRW],"",0,1)</f>
        <v/>
      </c>
      <c r="O123" s="40" t="str" cm="1">
        <f t="array" ref="O123">_xlfn.XLOOKUP($A123,ACT[[№]:[№]],ACT[Documents Work/ Сбор за подготовку документов
KRW],"",0,1)</f>
        <v/>
      </c>
      <c r="P123" s="40" t="str" cm="1">
        <f t="array" ref="P123">_xlfn.XLOOKUP($A123,ACT[[№]:[№]],ACT[THC/ Терминальная обработка
KRW],"",0,1)</f>
        <v/>
      </c>
      <c r="Q123" s="40" t="str" cm="1">
        <f t="array" ref="Q123">_xlfn.XLOOKUP($A123,ACT[[№]:[№]],ACT[Wharfage/ Портовая пошлина
KRW],"",0,1)</f>
        <v/>
      </c>
      <c r="R123" s="40" t="str" cm="1">
        <f t="array" ref="R123">_xlfn.XLOOKUP($A123,ACT[[№]:[№]],ACT[TRUCKING CHARGE],"",0,1)</f>
        <v/>
      </c>
      <c r="S123" s="40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40" t="str" cm="1">
        <f t="array" ref="T123">_xlfn.XLOOKUP($A123,ACT[[№]:[№]],ACT[Special Wooden Shoring / Специальное деревянное крепление],"",0,1)</f>
        <v/>
      </c>
      <c r="U123" s="9"/>
      <c r="V123" s="40" t="str" cm="1">
        <f t="array" ref="V123">_xlfn.XLOOKUP($A123,ACT[[№]:[№]],ACT[Total amount/ Общая стоимость KRW (10+11+12+13+14+15+16)],"",0,1)</f>
        <v/>
      </c>
      <c r="W123" s="40" t="str" cm="1">
        <f t="array" ref="W123">_xlfn.XLOOKUP($A123,ACT[[№]:[№]],ACT[Total amount/ Общая стоимость (17*exchange rate/ обменный курс)
 USD],"",0,1)</f>
        <v/>
      </c>
      <c r="X123" s="9" cm="1">
        <f t="array" ref="X1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3" s="12">
        <f>VLOOKUP(Шаблон_Формулы[[#This Row],[24]],Курс_840[[Дата]:[Курс]],2,0)</f>
        <v>11370.11</v>
      </c>
      <c r="Z123" s="42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7" t="str" cm="1">
        <f t="array" ref="E124">_xlfn.XLOOKUP($A124,ACT[[№]:[№]],ACT[Date of Dispatch/ 
Дата отгрузки],"",0,1)</f>
        <v/>
      </c>
      <c r="F124" s="38" t="str" cm="1">
        <f t="array" ref="F124">_xlfn.XLOOKUP($A124,ACT[[№]:[№]],ACT[Supplier/ Поставщик],"",0,1)</f>
        <v/>
      </c>
      <c r="G124" s="38" t="str" cm="1">
        <f t="array" ref="G124">_xlfn.XLOOKUP($A124,ACT[[№]:[№]],ACT[Supplier Invoice No/                          № Инвойса Поставщика],"",0,1)</f>
        <v/>
      </c>
      <c r="H124" s="39" t="str" cm="1">
        <f t="array" ref="H124">_xlfn.XLOOKUP($A124,ACT[[№]:[№]],ACT[CBM],"",0,1)</f>
        <v/>
      </c>
      <c r="I124" s="39" t="str" cm="1">
        <f t="array" ref="I124">_xlfn.XLOOKUP($A124,ACT[[№]:[№]],ACT[Gross weight, kg/ Вес брутто, кг],"",0,1)</f>
        <v/>
      </c>
      <c r="J124" s="39" t="str" cm="1">
        <f t="array" ref="J124">_xlfn.XLOOKUP($A124,ACT[[№]:[№]],ACT[Delivery terms / Условия поставки],"",0,1)</f>
        <v/>
      </c>
      <c r="K124" s="39" t="str" cm="1">
        <f t="array" ref="K124">_xlfn.XLOOKUP($A124,ACT[[№]:[№]],ACT[Container total CBM],"",0,1)</f>
        <v/>
      </c>
      <c r="L124" s="40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40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40" t="str" cm="1">
        <f t="array" ref="N124">_xlfn.XLOOKUP($A124,ACT[[№]:[№]],ACT[Shoring, Banding, Sealing, Handling/ Крепление, Перевязка, Опечатование, Обработка
KRW],"",0,1)</f>
        <v/>
      </c>
      <c r="O124" s="40" t="str" cm="1">
        <f t="array" ref="O124">_xlfn.XLOOKUP($A124,ACT[[№]:[№]],ACT[Documents Work/ Сбор за подготовку документов
KRW],"",0,1)</f>
        <v/>
      </c>
      <c r="P124" s="40" t="str" cm="1">
        <f t="array" ref="P124">_xlfn.XLOOKUP($A124,ACT[[№]:[№]],ACT[THC/ Терминальная обработка
KRW],"",0,1)</f>
        <v/>
      </c>
      <c r="Q124" s="40" t="str" cm="1">
        <f t="array" ref="Q124">_xlfn.XLOOKUP($A124,ACT[[№]:[№]],ACT[Wharfage/ Портовая пошлина
KRW],"",0,1)</f>
        <v/>
      </c>
      <c r="R124" s="40" t="str" cm="1">
        <f t="array" ref="R124">_xlfn.XLOOKUP($A124,ACT[[№]:[№]],ACT[TRUCKING CHARGE],"",0,1)</f>
        <v/>
      </c>
      <c r="S124" s="40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40" t="str" cm="1">
        <f t="array" ref="T124">_xlfn.XLOOKUP($A124,ACT[[№]:[№]],ACT[Special Wooden Shoring / Специальное деревянное крепление],"",0,1)</f>
        <v/>
      </c>
      <c r="U124" s="9"/>
      <c r="V124" s="40" t="str" cm="1">
        <f t="array" ref="V124">_xlfn.XLOOKUP($A124,ACT[[№]:[№]],ACT[Total amount/ Общая стоимость KRW (10+11+12+13+14+15+16)],"",0,1)</f>
        <v/>
      </c>
      <c r="W124" s="40" t="str" cm="1">
        <f t="array" ref="W124">_xlfn.XLOOKUP($A124,ACT[[№]:[№]],ACT[Total amount/ Общая стоимость (17*exchange rate/ обменный курс)
 USD],"",0,1)</f>
        <v/>
      </c>
      <c r="X124" s="9" cm="1">
        <f t="array" ref="X1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4" s="12">
        <f>VLOOKUP(Шаблон_Формулы[[#This Row],[24]],Курс_840[[Дата]:[Курс]],2,0)</f>
        <v>11370.11</v>
      </c>
      <c r="Z124" s="42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7" t="str" cm="1">
        <f t="array" ref="E125">_xlfn.XLOOKUP($A125,ACT[[№]:[№]],ACT[Date of Dispatch/ 
Дата отгрузки],"",0,1)</f>
        <v/>
      </c>
      <c r="F125" s="38" t="str" cm="1">
        <f t="array" ref="F125">_xlfn.XLOOKUP($A125,ACT[[№]:[№]],ACT[Supplier/ Поставщик],"",0,1)</f>
        <v/>
      </c>
      <c r="G125" s="38" t="str" cm="1">
        <f t="array" ref="G125">_xlfn.XLOOKUP($A125,ACT[[№]:[№]],ACT[Supplier Invoice No/                          № Инвойса Поставщика],"",0,1)</f>
        <v/>
      </c>
      <c r="H125" s="39" t="str" cm="1">
        <f t="array" ref="H125">_xlfn.XLOOKUP($A125,ACT[[№]:[№]],ACT[CBM],"",0,1)</f>
        <v/>
      </c>
      <c r="I125" s="39" t="str" cm="1">
        <f t="array" ref="I125">_xlfn.XLOOKUP($A125,ACT[[№]:[№]],ACT[Gross weight, kg/ Вес брутто, кг],"",0,1)</f>
        <v/>
      </c>
      <c r="J125" s="39" t="str" cm="1">
        <f t="array" ref="J125">_xlfn.XLOOKUP($A125,ACT[[№]:[№]],ACT[Delivery terms / Условия поставки],"",0,1)</f>
        <v/>
      </c>
      <c r="K125" s="39" t="str" cm="1">
        <f t="array" ref="K125">_xlfn.XLOOKUP($A125,ACT[[№]:[№]],ACT[Container total CBM],"",0,1)</f>
        <v/>
      </c>
      <c r="L125" s="40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40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40" t="str" cm="1">
        <f t="array" ref="N125">_xlfn.XLOOKUP($A125,ACT[[№]:[№]],ACT[Shoring, Banding, Sealing, Handling/ Крепление, Перевязка, Опечатование, Обработка
KRW],"",0,1)</f>
        <v/>
      </c>
      <c r="O125" s="40" t="str" cm="1">
        <f t="array" ref="O125">_xlfn.XLOOKUP($A125,ACT[[№]:[№]],ACT[Documents Work/ Сбор за подготовку документов
KRW],"",0,1)</f>
        <v/>
      </c>
      <c r="P125" s="40" t="str" cm="1">
        <f t="array" ref="P125">_xlfn.XLOOKUP($A125,ACT[[№]:[№]],ACT[THC/ Терминальная обработка
KRW],"",0,1)</f>
        <v/>
      </c>
      <c r="Q125" s="40" t="str" cm="1">
        <f t="array" ref="Q125">_xlfn.XLOOKUP($A125,ACT[[№]:[№]],ACT[Wharfage/ Портовая пошлина
KRW],"",0,1)</f>
        <v/>
      </c>
      <c r="R125" s="40" t="str" cm="1">
        <f t="array" ref="R125">_xlfn.XLOOKUP($A125,ACT[[№]:[№]],ACT[TRUCKING CHARGE],"",0,1)</f>
        <v/>
      </c>
      <c r="S125" s="40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40" t="str" cm="1">
        <f t="array" ref="T125">_xlfn.XLOOKUP($A125,ACT[[№]:[№]],ACT[Special Wooden Shoring / Специальное деревянное крепление],"",0,1)</f>
        <v/>
      </c>
      <c r="U125" s="9"/>
      <c r="V125" s="40" t="str" cm="1">
        <f t="array" ref="V125">_xlfn.XLOOKUP($A125,ACT[[№]:[№]],ACT[Total amount/ Общая стоимость KRW (10+11+12+13+14+15+16)],"",0,1)</f>
        <v/>
      </c>
      <c r="W125" s="40" t="str" cm="1">
        <f t="array" ref="W125">_xlfn.XLOOKUP($A125,ACT[[№]:[№]],ACT[Total amount/ Общая стоимость (17*exchange rate/ обменный курс)
 USD],"",0,1)</f>
        <v/>
      </c>
      <c r="X125" s="9" cm="1">
        <f t="array" ref="X1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5" s="12">
        <f>VLOOKUP(Шаблон_Формулы[[#This Row],[24]],Курс_840[[Дата]:[Курс]],2,0)</f>
        <v>11370.11</v>
      </c>
      <c r="Z125" s="42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7" t="str" cm="1">
        <f t="array" ref="E126">_xlfn.XLOOKUP($A126,ACT[[№]:[№]],ACT[Date of Dispatch/ 
Дата отгрузки],"",0,1)</f>
        <v/>
      </c>
      <c r="F126" s="38" t="str" cm="1">
        <f t="array" ref="F126">_xlfn.XLOOKUP($A126,ACT[[№]:[№]],ACT[Supplier/ Поставщик],"",0,1)</f>
        <v/>
      </c>
      <c r="G126" s="38" t="str" cm="1">
        <f t="array" ref="G126">_xlfn.XLOOKUP($A126,ACT[[№]:[№]],ACT[Supplier Invoice No/                          № Инвойса Поставщика],"",0,1)</f>
        <v/>
      </c>
      <c r="H126" s="39" t="str" cm="1">
        <f t="array" ref="H126">_xlfn.XLOOKUP($A126,ACT[[№]:[№]],ACT[CBM],"",0,1)</f>
        <v/>
      </c>
      <c r="I126" s="39" t="str" cm="1">
        <f t="array" ref="I126">_xlfn.XLOOKUP($A126,ACT[[№]:[№]],ACT[Gross weight, kg/ Вес брутто, кг],"",0,1)</f>
        <v/>
      </c>
      <c r="J126" s="39" t="str" cm="1">
        <f t="array" ref="J126">_xlfn.XLOOKUP($A126,ACT[[№]:[№]],ACT[Delivery terms / Условия поставки],"",0,1)</f>
        <v/>
      </c>
      <c r="K126" s="39" t="str" cm="1">
        <f t="array" ref="K126">_xlfn.XLOOKUP($A126,ACT[[№]:[№]],ACT[Container total CBM],"",0,1)</f>
        <v/>
      </c>
      <c r="L126" s="40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40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40" t="str" cm="1">
        <f t="array" ref="N126">_xlfn.XLOOKUP($A126,ACT[[№]:[№]],ACT[Shoring, Banding, Sealing, Handling/ Крепление, Перевязка, Опечатование, Обработка
KRW],"",0,1)</f>
        <v/>
      </c>
      <c r="O126" s="40" t="str" cm="1">
        <f t="array" ref="O126">_xlfn.XLOOKUP($A126,ACT[[№]:[№]],ACT[Documents Work/ Сбор за подготовку документов
KRW],"",0,1)</f>
        <v/>
      </c>
      <c r="P126" s="40" t="str" cm="1">
        <f t="array" ref="P126">_xlfn.XLOOKUP($A126,ACT[[№]:[№]],ACT[THC/ Терминальная обработка
KRW],"",0,1)</f>
        <v/>
      </c>
      <c r="Q126" s="40" t="str" cm="1">
        <f t="array" ref="Q126">_xlfn.XLOOKUP($A126,ACT[[№]:[№]],ACT[Wharfage/ Портовая пошлина
KRW],"",0,1)</f>
        <v/>
      </c>
      <c r="R126" s="40" t="str" cm="1">
        <f t="array" ref="R126">_xlfn.XLOOKUP($A126,ACT[[№]:[№]],ACT[TRUCKING CHARGE],"",0,1)</f>
        <v/>
      </c>
      <c r="S126" s="40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40" t="str" cm="1">
        <f t="array" ref="T126">_xlfn.XLOOKUP($A126,ACT[[№]:[№]],ACT[Special Wooden Shoring / Специальное деревянное крепление],"",0,1)</f>
        <v/>
      </c>
      <c r="U126" s="9"/>
      <c r="V126" s="40" t="str" cm="1">
        <f t="array" ref="V126">_xlfn.XLOOKUP($A126,ACT[[№]:[№]],ACT[Total amount/ Общая стоимость KRW (10+11+12+13+14+15+16)],"",0,1)</f>
        <v/>
      </c>
      <c r="W126" s="40" t="str" cm="1">
        <f t="array" ref="W126">_xlfn.XLOOKUP($A126,ACT[[№]:[№]],ACT[Total amount/ Общая стоимость (17*exchange rate/ обменный курс)
 USD],"",0,1)</f>
        <v/>
      </c>
      <c r="X126" s="9" cm="1">
        <f t="array" ref="X1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6" s="12">
        <f>VLOOKUP(Шаблон_Формулы[[#This Row],[24]],Курс_840[[Дата]:[Курс]],2,0)</f>
        <v>11370.11</v>
      </c>
      <c r="Z126" s="42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7" t="str" cm="1">
        <f t="array" ref="E127">_xlfn.XLOOKUP($A127,ACT[[№]:[№]],ACT[Date of Dispatch/ 
Дата отгрузки],"",0,1)</f>
        <v/>
      </c>
      <c r="F127" s="38" t="str" cm="1">
        <f t="array" ref="F127">_xlfn.XLOOKUP($A127,ACT[[№]:[№]],ACT[Supplier/ Поставщик],"",0,1)</f>
        <v/>
      </c>
      <c r="G127" s="38" t="str" cm="1">
        <f t="array" ref="G127">_xlfn.XLOOKUP($A127,ACT[[№]:[№]],ACT[Supplier Invoice No/                          № Инвойса Поставщика],"",0,1)</f>
        <v/>
      </c>
      <c r="H127" s="39" t="str" cm="1">
        <f t="array" ref="H127">_xlfn.XLOOKUP($A127,ACT[[№]:[№]],ACT[CBM],"",0,1)</f>
        <v/>
      </c>
      <c r="I127" s="39" t="str" cm="1">
        <f t="array" ref="I127">_xlfn.XLOOKUP($A127,ACT[[№]:[№]],ACT[Gross weight, kg/ Вес брутто, кг],"",0,1)</f>
        <v/>
      </c>
      <c r="J127" s="39" t="str" cm="1">
        <f t="array" ref="J127">_xlfn.XLOOKUP($A127,ACT[[№]:[№]],ACT[Delivery terms / Условия поставки],"",0,1)</f>
        <v/>
      </c>
      <c r="K127" s="39" t="str" cm="1">
        <f t="array" ref="K127">_xlfn.XLOOKUP($A127,ACT[[№]:[№]],ACT[Container total CBM],"",0,1)</f>
        <v/>
      </c>
      <c r="L127" s="40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40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40" t="str" cm="1">
        <f t="array" ref="N127">_xlfn.XLOOKUP($A127,ACT[[№]:[№]],ACT[Shoring, Banding, Sealing, Handling/ Крепление, Перевязка, Опечатование, Обработка
KRW],"",0,1)</f>
        <v/>
      </c>
      <c r="O127" s="40" t="str" cm="1">
        <f t="array" ref="O127">_xlfn.XLOOKUP($A127,ACT[[№]:[№]],ACT[Documents Work/ Сбор за подготовку документов
KRW],"",0,1)</f>
        <v/>
      </c>
      <c r="P127" s="40" t="str" cm="1">
        <f t="array" ref="P127">_xlfn.XLOOKUP($A127,ACT[[№]:[№]],ACT[THC/ Терминальная обработка
KRW],"",0,1)</f>
        <v/>
      </c>
      <c r="Q127" s="40" t="str" cm="1">
        <f t="array" ref="Q127">_xlfn.XLOOKUP($A127,ACT[[№]:[№]],ACT[Wharfage/ Портовая пошлина
KRW],"",0,1)</f>
        <v/>
      </c>
      <c r="R127" s="40" t="str" cm="1">
        <f t="array" ref="R127">_xlfn.XLOOKUP($A127,ACT[[№]:[№]],ACT[TRUCKING CHARGE],"",0,1)</f>
        <v/>
      </c>
      <c r="S127" s="40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40" t="str" cm="1">
        <f t="array" ref="T127">_xlfn.XLOOKUP($A127,ACT[[№]:[№]],ACT[Special Wooden Shoring / Специальное деревянное крепление],"",0,1)</f>
        <v/>
      </c>
      <c r="U127" s="9"/>
      <c r="V127" s="40" t="str" cm="1">
        <f t="array" ref="V127">_xlfn.XLOOKUP($A127,ACT[[№]:[№]],ACT[Total amount/ Общая стоимость KRW (10+11+12+13+14+15+16)],"",0,1)</f>
        <v/>
      </c>
      <c r="W127" s="40" t="str" cm="1">
        <f t="array" ref="W127">_xlfn.XLOOKUP($A127,ACT[[№]:[№]],ACT[Total amount/ Общая стоимость (17*exchange rate/ обменный курс)
 USD],"",0,1)</f>
        <v/>
      </c>
      <c r="X127" s="9" cm="1">
        <f t="array" ref="X1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7" s="12">
        <f>VLOOKUP(Шаблон_Формулы[[#This Row],[24]],Курс_840[[Дата]:[Курс]],2,0)</f>
        <v>11370.11</v>
      </c>
      <c r="Z127" s="42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7" t="str" cm="1">
        <f t="array" ref="E128">_xlfn.XLOOKUP($A128,ACT[[№]:[№]],ACT[Date of Dispatch/ 
Дата отгрузки],"",0,1)</f>
        <v/>
      </c>
      <c r="F128" s="38" t="str" cm="1">
        <f t="array" ref="F128">_xlfn.XLOOKUP($A128,ACT[[№]:[№]],ACT[Supplier/ Поставщик],"",0,1)</f>
        <v/>
      </c>
      <c r="G128" s="38" t="str" cm="1">
        <f t="array" ref="G128">_xlfn.XLOOKUP($A128,ACT[[№]:[№]],ACT[Supplier Invoice No/                          № Инвойса Поставщика],"",0,1)</f>
        <v/>
      </c>
      <c r="H128" s="39" t="str" cm="1">
        <f t="array" ref="H128">_xlfn.XLOOKUP($A128,ACT[[№]:[№]],ACT[CBM],"",0,1)</f>
        <v/>
      </c>
      <c r="I128" s="39" t="str" cm="1">
        <f t="array" ref="I128">_xlfn.XLOOKUP($A128,ACT[[№]:[№]],ACT[Gross weight, kg/ Вес брутто, кг],"",0,1)</f>
        <v/>
      </c>
      <c r="J128" s="39" t="str" cm="1">
        <f t="array" ref="J128">_xlfn.XLOOKUP($A128,ACT[[№]:[№]],ACT[Delivery terms / Условия поставки],"",0,1)</f>
        <v/>
      </c>
      <c r="K128" s="39" t="str" cm="1">
        <f t="array" ref="K128">_xlfn.XLOOKUP($A128,ACT[[№]:[№]],ACT[Container total CBM],"",0,1)</f>
        <v/>
      </c>
      <c r="L128" s="40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40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40" t="str" cm="1">
        <f t="array" ref="N128">_xlfn.XLOOKUP($A128,ACT[[№]:[№]],ACT[Shoring, Banding, Sealing, Handling/ Крепление, Перевязка, Опечатование, Обработка
KRW],"",0,1)</f>
        <v/>
      </c>
      <c r="O128" s="40" t="str" cm="1">
        <f t="array" ref="O128">_xlfn.XLOOKUP($A128,ACT[[№]:[№]],ACT[Documents Work/ Сбор за подготовку документов
KRW],"",0,1)</f>
        <v/>
      </c>
      <c r="P128" s="40" t="str" cm="1">
        <f t="array" ref="P128">_xlfn.XLOOKUP($A128,ACT[[№]:[№]],ACT[THC/ Терминальная обработка
KRW],"",0,1)</f>
        <v/>
      </c>
      <c r="Q128" s="40" t="str" cm="1">
        <f t="array" ref="Q128">_xlfn.XLOOKUP($A128,ACT[[№]:[№]],ACT[Wharfage/ Портовая пошлина
KRW],"",0,1)</f>
        <v/>
      </c>
      <c r="R128" s="40" t="str" cm="1">
        <f t="array" ref="R128">_xlfn.XLOOKUP($A128,ACT[[№]:[№]],ACT[TRUCKING CHARGE],"",0,1)</f>
        <v/>
      </c>
      <c r="S128" s="40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40" t="str" cm="1">
        <f t="array" ref="T128">_xlfn.XLOOKUP($A128,ACT[[№]:[№]],ACT[Special Wooden Shoring / Специальное деревянное крепление],"",0,1)</f>
        <v/>
      </c>
      <c r="U128" s="9"/>
      <c r="V128" s="40" t="str" cm="1">
        <f t="array" ref="V128">_xlfn.XLOOKUP($A128,ACT[[№]:[№]],ACT[Total amount/ Общая стоимость KRW (10+11+12+13+14+15+16)],"",0,1)</f>
        <v/>
      </c>
      <c r="W128" s="40" t="str" cm="1">
        <f t="array" ref="W128">_xlfn.XLOOKUP($A128,ACT[[№]:[№]],ACT[Total amount/ Общая стоимость (17*exchange rate/ обменный курс)
 USD],"",0,1)</f>
        <v/>
      </c>
      <c r="X128" s="9" cm="1">
        <f t="array" ref="X1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8" s="12">
        <f>VLOOKUP(Шаблон_Формулы[[#This Row],[24]],Курс_840[[Дата]:[Курс]],2,0)</f>
        <v>11370.11</v>
      </c>
      <c r="Z128" s="42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7" t="str" cm="1">
        <f t="array" ref="E129">_xlfn.XLOOKUP($A129,ACT[[№]:[№]],ACT[Date of Dispatch/ 
Дата отгрузки],"",0,1)</f>
        <v/>
      </c>
      <c r="F129" s="38" t="str" cm="1">
        <f t="array" ref="F129">_xlfn.XLOOKUP($A129,ACT[[№]:[№]],ACT[Supplier/ Поставщик],"",0,1)</f>
        <v/>
      </c>
      <c r="G129" s="38" t="str" cm="1">
        <f t="array" ref="G129">_xlfn.XLOOKUP($A129,ACT[[№]:[№]],ACT[Supplier Invoice No/                          № Инвойса Поставщика],"",0,1)</f>
        <v/>
      </c>
      <c r="H129" s="39" t="str" cm="1">
        <f t="array" ref="H129">_xlfn.XLOOKUP($A129,ACT[[№]:[№]],ACT[CBM],"",0,1)</f>
        <v/>
      </c>
      <c r="I129" s="39" t="str" cm="1">
        <f t="array" ref="I129">_xlfn.XLOOKUP($A129,ACT[[№]:[№]],ACT[Gross weight, kg/ Вес брутто, кг],"",0,1)</f>
        <v/>
      </c>
      <c r="J129" s="39" t="str" cm="1">
        <f t="array" ref="J129">_xlfn.XLOOKUP($A129,ACT[[№]:[№]],ACT[Delivery terms / Условия поставки],"",0,1)</f>
        <v/>
      </c>
      <c r="K129" s="39" t="str" cm="1">
        <f t="array" ref="K129">_xlfn.XLOOKUP($A129,ACT[[№]:[№]],ACT[Container total CBM],"",0,1)</f>
        <v/>
      </c>
      <c r="L129" s="40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40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40" t="str" cm="1">
        <f t="array" ref="N129">_xlfn.XLOOKUP($A129,ACT[[№]:[№]],ACT[Shoring, Banding, Sealing, Handling/ Крепление, Перевязка, Опечатование, Обработка
KRW],"",0,1)</f>
        <v/>
      </c>
      <c r="O129" s="40" t="str" cm="1">
        <f t="array" ref="O129">_xlfn.XLOOKUP($A129,ACT[[№]:[№]],ACT[Documents Work/ Сбор за подготовку документов
KRW],"",0,1)</f>
        <v/>
      </c>
      <c r="P129" s="40" t="str" cm="1">
        <f t="array" ref="P129">_xlfn.XLOOKUP($A129,ACT[[№]:[№]],ACT[THC/ Терминальная обработка
KRW],"",0,1)</f>
        <v/>
      </c>
      <c r="Q129" s="40" t="str" cm="1">
        <f t="array" ref="Q129">_xlfn.XLOOKUP($A129,ACT[[№]:[№]],ACT[Wharfage/ Портовая пошлина
KRW],"",0,1)</f>
        <v/>
      </c>
      <c r="R129" s="40" t="str" cm="1">
        <f t="array" ref="R129">_xlfn.XLOOKUP($A129,ACT[[№]:[№]],ACT[TRUCKING CHARGE],"",0,1)</f>
        <v/>
      </c>
      <c r="S129" s="40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40" t="str" cm="1">
        <f t="array" ref="T129">_xlfn.XLOOKUP($A129,ACT[[№]:[№]],ACT[Special Wooden Shoring / Специальное деревянное крепление],"",0,1)</f>
        <v/>
      </c>
      <c r="U129" s="9"/>
      <c r="V129" s="40" t="str" cm="1">
        <f t="array" ref="V129">_xlfn.XLOOKUP($A129,ACT[[№]:[№]],ACT[Total amount/ Общая стоимость KRW (10+11+12+13+14+15+16)],"",0,1)</f>
        <v/>
      </c>
      <c r="W129" s="40" t="str" cm="1">
        <f t="array" ref="W129">_xlfn.XLOOKUP($A129,ACT[[№]:[№]],ACT[Total amount/ Общая стоимость (17*exchange rate/ обменный курс)
 USD],"",0,1)</f>
        <v/>
      </c>
      <c r="X129" s="9" cm="1">
        <f t="array" ref="X1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9" s="12">
        <f>VLOOKUP(Шаблон_Формулы[[#This Row],[24]],Курс_840[[Дата]:[Курс]],2,0)</f>
        <v>11370.11</v>
      </c>
      <c r="Z129" s="42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7" t="str" cm="1">
        <f t="array" ref="E130">_xlfn.XLOOKUP($A130,ACT[[№]:[№]],ACT[Date of Dispatch/ 
Дата отгрузки],"",0,1)</f>
        <v/>
      </c>
      <c r="F130" s="38" t="str" cm="1">
        <f t="array" ref="F130">_xlfn.XLOOKUP($A130,ACT[[№]:[№]],ACT[Supplier/ Поставщик],"",0,1)</f>
        <v/>
      </c>
      <c r="G130" s="38" t="str" cm="1">
        <f t="array" ref="G130">_xlfn.XLOOKUP($A130,ACT[[№]:[№]],ACT[Supplier Invoice No/                          № Инвойса Поставщика],"",0,1)</f>
        <v/>
      </c>
      <c r="H130" s="39" t="str" cm="1">
        <f t="array" ref="H130">_xlfn.XLOOKUP($A130,ACT[[№]:[№]],ACT[CBM],"",0,1)</f>
        <v/>
      </c>
      <c r="I130" s="39" t="str" cm="1">
        <f t="array" ref="I130">_xlfn.XLOOKUP($A130,ACT[[№]:[№]],ACT[Gross weight, kg/ Вес брутто, кг],"",0,1)</f>
        <v/>
      </c>
      <c r="J130" s="39" t="str" cm="1">
        <f t="array" ref="J130">_xlfn.XLOOKUP($A130,ACT[[№]:[№]],ACT[Delivery terms / Условия поставки],"",0,1)</f>
        <v/>
      </c>
      <c r="K130" s="39" t="str" cm="1">
        <f t="array" ref="K130">_xlfn.XLOOKUP($A130,ACT[[№]:[№]],ACT[Container total CBM],"",0,1)</f>
        <v/>
      </c>
      <c r="L130" s="40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40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40" t="str" cm="1">
        <f t="array" ref="N130">_xlfn.XLOOKUP($A130,ACT[[№]:[№]],ACT[Shoring, Banding, Sealing, Handling/ Крепление, Перевязка, Опечатование, Обработка
KRW],"",0,1)</f>
        <v/>
      </c>
      <c r="O130" s="40" t="str" cm="1">
        <f t="array" ref="O130">_xlfn.XLOOKUP($A130,ACT[[№]:[№]],ACT[Documents Work/ Сбор за подготовку документов
KRW],"",0,1)</f>
        <v/>
      </c>
      <c r="P130" s="40" t="str" cm="1">
        <f t="array" ref="P130">_xlfn.XLOOKUP($A130,ACT[[№]:[№]],ACT[THC/ Терминальная обработка
KRW],"",0,1)</f>
        <v/>
      </c>
      <c r="Q130" s="40" t="str" cm="1">
        <f t="array" ref="Q130">_xlfn.XLOOKUP($A130,ACT[[№]:[№]],ACT[Wharfage/ Портовая пошлина
KRW],"",0,1)</f>
        <v/>
      </c>
      <c r="R130" s="40" t="str" cm="1">
        <f t="array" ref="R130">_xlfn.XLOOKUP($A130,ACT[[№]:[№]],ACT[TRUCKING CHARGE],"",0,1)</f>
        <v/>
      </c>
      <c r="S130" s="40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40" t="str" cm="1">
        <f t="array" ref="T130">_xlfn.XLOOKUP($A130,ACT[[№]:[№]],ACT[Special Wooden Shoring / Специальное деревянное крепление],"",0,1)</f>
        <v/>
      </c>
      <c r="U130" s="9"/>
      <c r="V130" s="40" t="str" cm="1">
        <f t="array" ref="V130">_xlfn.XLOOKUP($A130,ACT[[№]:[№]],ACT[Total amount/ Общая стоимость KRW (10+11+12+13+14+15+16)],"",0,1)</f>
        <v/>
      </c>
      <c r="W130" s="40" t="str" cm="1">
        <f t="array" ref="W130">_xlfn.XLOOKUP($A130,ACT[[№]:[№]],ACT[Total amount/ Общая стоимость (17*exchange rate/ обменный курс)
 USD],"",0,1)</f>
        <v/>
      </c>
      <c r="X130" s="9" cm="1">
        <f t="array" ref="X1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0" s="12">
        <f>VLOOKUP(Шаблон_Формулы[[#This Row],[24]],Курс_840[[Дата]:[Курс]],2,0)</f>
        <v>11370.11</v>
      </c>
      <c r="Z130" s="42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7" t="str" cm="1">
        <f t="array" ref="E131">_xlfn.XLOOKUP($A131,ACT[[№]:[№]],ACT[Date of Dispatch/ 
Дата отгрузки],"",0,1)</f>
        <v/>
      </c>
      <c r="F131" s="38" t="str" cm="1">
        <f t="array" ref="F131">_xlfn.XLOOKUP($A131,ACT[[№]:[№]],ACT[Supplier/ Поставщик],"",0,1)</f>
        <v/>
      </c>
      <c r="G131" s="38" t="str" cm="1">
        <f t="array" ref="G131">_xlfn.XLOOKUP($A131,ACT[[№]:[№]],ACT[Supplier Invoice No/                          № Инвойса Поставщика],"",0,1)</f>
        <v/>
      </c>
      <c r="H131" s="39" t="str" cm="1">
        <f t="array" ref="H131">_xlfn.XLOOKUP($A131,ACT[[№]:[№]],ACT[CBM],"",0,1)</f>
        <v/>
      </c>
      <c r="I131" s="39" t="str" cm="1">
        <f t="array" ref="I131">_xlfn.XLOOKUP($A131,ACT[[№]:[№]],ACT[Gross weight, kg/ Вес брутто, кг],"",0,1)</f>
        <v/>
      </c>
      <c r="J131" s="39" t="str" cm="1">
        <f t="array" ref="J131">_xlfn.XLOOKUP($A131,ACT[[№]:[№]],ACT[Delivery terms / Условия поставки],"",0,1)</f>
        <v/>
      </c>
      <c r="K131" s="39" t="str" cm="1">
        <f t="array" ref="K131">_xlfn.XLOOKUP($A131,ACT[[№]:[№]],ACT[Container total CBM],"",0,1)</f>
        <v/>
      </c>
      <c r="L131" s="40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40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40" t="str" cm="1">
        <f t="array" ref="N131">_xlfn.XLOOKUP($A131,ACT[[№]:[№]],ACT[Shoring, Banding, Sealing, Handling/ Крепление, Перевязка, Опечатование, Обработка
KRW],"",0,1)</f>
        <v/>
      </c>
      <c r="O131" s="40" t="str" cm="1">
        <f t="array" ref="O131">_xlfn.XLOOKUP($A131,ACT[[№]:[№]],ACT[Documents Work/ Сбор за подготовку документов
KRW],"",0,1)</f>
        <v/>
      </c>
      <c r="P131" s="40" t="str" cm="1">
        <f t="array" ref="P131">_xlfn.XLOOKUP($A131,ACT[[№]:[№]],ACT[THC/ Терминальная обработка
KRW],"",0,1)</f>
        <v/>
      </c>
      <c r="Q131" s="40" t="str" cm="1">
        <f t="array" ref="Q131">_xlfn.XLOOKUP($A131,ACT[[№]:[№]],ACT[Wharfage/ Портовая пошлина
KRW],"",0,1)</f>
        <v/>
      </c>
      <c r="R131" s="40" t="str" cm="1">
        <f t="array" ref="R131">_xlfn.XLOOKUP($A131,ACT[[№]:[№]],ACT[TRUCKING CHARGE],"",0,1)</f>
        <v/>
      </c>
      <c r="S131" s="40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40" t="str" cm="1">
        <f t="array" ref="T131">_xlfn.XLOOKUP($A131,ACT[[№]:[№]],ACT[Special Wooden Shoring / Специальное деревянное крепление],"",0,1)</f>
        <v/>
      </c>
      <c r="U131" s="9"/>
      <c r="V131" s="40" t="str" cm="1">
        <f t="array" ref="V131">_xlfn.XLOOKUP($A131,ACT[[№]:[№]],ACT[Total amount/ Общая стоимость KRW (10+11+12+13+14+15+16)],"",0,1)</f>
        <v/>
      </c>
      <c r="W131" s="40" t="str" cm="1">
        <f t="array" ref="W131">_xlfn.XLOOKUP($A131,ACT[[№]:[№]],ACT[Total amount/ Общая стоимость (17*exchange rate/ обменный курс)
 USD],"",0,1)</f>
        <v/>
      </c>
      <c r="X131" s="9" cm="1">
        <f t="array" ref="X1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1" s="12">
        <f>VLOOKUP(Шаблон_Формулы[[#This Row],[24]],Курс_840[[Дата]:[Курс]],2,0)</f>
        <v>11370.11</v>
      </c>
      <c r="Z131" s="42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7" t="str" cm="1">
        <f t="array" ref="E132">_xlfn.XLOOKUP($A132,ACT[[№]:[№]],ACT[Date of Dispatch/ 
Дата отгрузки],"",0,1)</f>
        <v/>
      </c>
      <c r="F132" s="38" t="str" cm="1">
        <f t="array" ref="F132">_xlfn.XLOOKUP($A132,ACT[[№]:[№]],ACT[Supplier/ Поставщик],"",0,1)</f>
        <v/>
      </c>
      <c r="G132" s="38" t="str" cm="1">
        <f t="array" ref="G132">_xlfn.XLOOKUP($A132,ACT[[№]:[№]],ACT[Supplier Invoice No/                          № Инвойса Поставщика],"",0,1)</f>
        <v/>
      </c>
      <c r="H132" s="39" t="str" cm="1">
        <f t="array" ref="H132">_xlfn.XLOOKUP($A132,ACT[[№]:[№]],ACT[CBM],"",0,1)</f>
        <v/>
      </c>
      <c r="I132" s="39" t="str" cm="1">
        <f t="array" ref="I132">_xlfn.XLOOKUP($A132,ACT[[№]:[№]],ACT[Gross weight, kg/ Вес брутто, кг],"",0,1)</f>
        <v/>
      </c>
      <c r="J132" s="39" t="str" cm="1">
        <f t="array" ref="J132">_xlfn.XLOOKUP($A132,ACT[[№]:[№]],ACT[Delivery terms / Условия поставки],"",0,1)</f>
        <v/>
      </c>
      <c r="K132" s="39" t="str" cm="1">
        <f t="array" ref="K132">_xlfn.XLOOKUP($A132,ACT[[№]:[№]],ACT[Container total CBM],"",0,1)</f>
        <v/>
      </c>
      <c r="L132" s="40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40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40" t="str" cm="1">
        <f t="array" ref="N132">_xlfn.XLOOKUP($A132,ACT[[№]:[№]],ACT[Shoring, Banding, Sealing, Handling/ Крепление, Перевязка, Опечатование, Обработка
KRW],"",0,1)</f>
        <v/>
      </c>
      <c r="O132" s="40" t="str" cm="1">
        <f t="array" ref="O132">_xlfn.XLOOKUP($A132,ACT[[№]:[№]],ACT[Documents Work/ Сбор за подготовку документов
KRW],"",0,1)</f>
        <v/>
      </c>
      <c r="P132" s="40" t="str" cm="1">
        <f t="array" ref="P132">_xlfn.XLOOKUP($A132,ACT[[№]:[№]],ACT[THC/ Терминальная обработка
KRW],"",0,1)</f>
        <v/>
      </c>
      <c r="Q132" s="40" t="str" cm="1">
        <f t="array" ref="Q132">_xlfn.XLOOKUP($A132,ACT[[№]:[№]],ACT[Wharfage/ Портовая пошлина
KRW],"",0,1)</f>
        <v/>
      </c>
      <c r="R132" s="40" t="str" cm="1">
        <f t="array" ref="R132">_xlfn.XLOOKUP($A132,ACT[[№]:[№]],ACT[TRUCKING CHARGE],"",0,1)</f>
        <v/>
      </c>
      <c r="S132" s="40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40" t="str" cm="1">
        <f t="array" ref="T132">_xlfn.XLOOKUP($A132,ACT[[№]:[№]],ACT[Special Wooden Shoring / Специальное деревянное крепление],"",0,1)</f>
        <v/>
      </c>
      <c r="U132" s="9"/>
      <c r="V132" s="40" t="str" cm="1">
        <f t="array" ref="V132">_xlfn.XLOOKUP($A132,ACT[[№]:[№]],ACT[Total amount/ Общая стоимость KRW (10+11+12+13+14+15+16)],"",0,1)</f>
        <v/>
      </c>
      <c r="W132" s="40" t="str" cm="1">
        <f t="array" ref="W132">_xlfn.XLOOKUP($A132,ACT[[№]:[№]],ACT[Total amount/ Общая стоимость (17*exchange rate/ обменный курс)
 USD],"",0,1)</f>
        <v/>
      </c>
      <c r="X132" s="9" cm="1">
        <f t="array" ref="X1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2" s="12">
        <f>VLOOKUP(Шаблон_Формулы[[#This Row],[24]],Курс_840[[Дата]:[Курс]],2,0)</f>
        <v>11370.11</v>
      </c>
      <c r="Z132" s="42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7" t="str" cm="1">
        <f t="array" ref="E133">_xlfn.XLOOKUP($A133,ACT[[№]:[№]],ACT[Date of Dispatch/ 
Дата отгрузки],"",0,1)</f>
        <v/>
      </c>
      <c r="F133" s="38" t="str" cm="1">
        <f t="array" ref="F133">_xlfn.XLOOKUP($A133,ACT[[№]:[№]],ACT[Supplier/ Поставщик],"",0,1)</f>
        <v/>
      </c>
      <c r="G133" s="38" t="str" cm="1">
        <f t="array" ref="G133">_xlfn.XLOOKUP($A133,ACT[[№]:[№]],ACT[Supplier Invoice No/                          № Инвойса Поставщика],"",0,1)</f>
        <v/>
      </c>
      <c r="H133" s="39" t="str" cm="1">
        <f t="array" ref="H133">_xlfn.XLOOKUP($A133,ACT[[№]:[№]],ACT[CBM],"",0,1)</f>
        <v/>
      </c>
      <c r="I133" s="39" t="str" cm="1">
        <f t="array" ref="I133">_xlfn.XLOOKUP($A133,ACT[[№]:[№]],ACT[Gross weight, kg/ Вес брутто, кг],"",0,1)</f>
        <v/>
      </c>
      <c r="J133" s="39" t="str" cm="1">
        <f t="array" ref="J133">_xlfn.XLOOKUP($A133,ACT[[№]:[№]],ACT[Delivery terms / Условия поставки],"",0,1)</f>
        <v/>
      </c>
      <c r="K133" s="39" t="str" cm="1">
        <f t="array" ref="K133">_xlfn.XLOOKUP($A133,ACT[[№]:[№]],ACT[Container total CBM],"",0,1)</f>
        <v/>
      </c>
      <c r="L133" s="40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40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40" t="str" cm="1">
        <f t="array" ref="N133">_xlfn.XLOOKUP($A133,ACT[[№]:[№]],ACT[Shoring, Banding, Sealing, Handling/ Крепление, Перевязка, Опечатование, Обработка
KRW],"",0,1)</f>
        <v/>
      </c>
      <c r="O133" s="40" t="str" cm="1">
        <f t="array" ref="O133">_xlfn.XLOOKUP($A133,ACT[[№]:[№]],ACT[Documents Work/ Сбор за подготовку документов
KRW],"",0,1)</f>
        <v/>
      </c>
      <c r="P133" s="40" t="str" cm="1">
        <f t="array" ref="P133">_xlfn.XLOOKUP($A133,ACT[[№]:[№]],ACT[THC/ Терминальная обработка
KRW],"",0,1)</f>
        <v/>
      </c>
      <c r="Q133" s="40" t="str" cm="1">
        <f t="array" ref="Q133">_xlfn.XLOOKUP($A133,ACT[[№]:[№]],ACT[Wharfage/ Портовая пошлина
KRW],"",0,1)</f>
        <v/>
      </c>
      <c r="R133" s="40" t="str" cm="1">
        <f t="array" ref="R133">_xlfn.XLOOKUP($A133,ACT[[№]:[№]],ACT[TRUCKING CHARGE],"",0,1)</f>
        <v/>
      </c>
      <c r="S133" s="40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40" t="str" cm="1">
        <f t="array" ref="T133">_xlfn.XLOOKUP($A133,ACT[[№]:[№]],ACT[Special Wooden Shoring / Специальное деревянное крепление],"",0,1)</f>
        <v/>
      </c>
      <c r="U133" s="9"/>
      <c r="V133" s="40" t="str" cm="1">
        <f t="array" ref="V133">_xlfn.XLOOKUP($A133,ACT[[№]:[№]],ACT[Total amount/ Общая стоимость KRW (10+11+12+13+14+15+16)],"",0,1)</f>
        <v/>
      </c>
      <c r="W133" s="40" t="str" cm="1">
        <f t="array" ref="W133">_xlfn.XLOOKUP($A133,ACT[[№]:[№]],ACT[Total amount/ Общая стоимость (17*exchange rate/ обменный курс)
 USD],"",0,1)</f>
        <v/>
      </c>
      <c r="X133" s="9" cm="1">
        <f t="array" ref="X1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3" s="12">
        <f>VLOOKUP(Шаблон_Формулы[[#This Row],[24]],Курс_840[[Дата]:[Курс]],2,0)</f>
        <v>11370.11</v>
      </c>
      <c r="Z133" s="42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7" t="str" cm="1">
        <f t="array" ref="E134">_xlfn.XLOOKUP($A134,ACT[[№]:[№]],ACT[Date of Dispatch/ 
Дата отгрузки],"",0,1)</f>
        <v/>
      </c>
      <c r="F134" s="38" t="str" cm="1">
        <f t="array" ref="F134">_xlfn.XLOOKUP($A134,ACT[[№]:[№]],ACT[Supplier/ Поставщик],"",0,1)</f>
        <v/>
      </c>
      <c r="G134" s="38" t="str" cm="1">
        <f t="array" ref="G134">_xlfn.XLOOKUP($A134,ACT[[№]:[№]],ACT[Supplier Invoice No/                          № Инвойса Поставщика],"",0,1)</f>
        <v/>
      </c>
      <c r="H134" s="39" t="str" cm="1">
        <f t="array" ref="H134">_xlfn.XLOOKUP($A134,ACT[[№]:[№]],ACT[CBM],"",0,1)</f>
        <v/>
      </c>
      <c r="I134" s="39" t="str" cm="1">
        <f t="array" ref="I134">_xlfn.XLOOKUP($A134,ACT[[№]:[№]],ACT[Gross weight, kg/ Вес брутто, кг],"",0,1)</f>
        <v/>
      </c>
      <c r="J134" s="39" t="str" cm="1">
        <f t="array" ref="J134">_xlfn.XLOOKUP($A134,ACT[[№]:[№]],ACT[Delivery terms / Условия поставки],"",0,1)</f>
        <v/>
      </c>
      <c r="K134" s="39" t="str" cm="1">
        <f t="array" ref="K134">_xlfn.XLOOKUP($A134,ACT[[№]:[№]],ACT[Container total CBM],"",0,1)</f>
        <v/>
      </c>
      <c r="L134" s="40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40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40" t="str" cm="1">
        <f t="array" ref="N134">_xlfn.XLOOKUP($A134,ACT[[№]:[№]],ACT[Shoring, Banding, Sealing, Handling/ Крепление, Перевязка, Опечатование, Обработка
KRW],"",0,1)</f>
        <v/>
      </c>
      <c r="O134" s="40" t="str" cm="1">
        <f t="array" ref="O134">_xlfn.XLOOKUP($A134,ACT[[№]:[№]],ACT[Documents Work/ Сбор за подготовку документов
KRW],"",0,1)</f>
        <v/>
      </c>
      <c r="P134" s="40" t="str" cm="1">
        <f t="array" ref="P134">_xlfn.XLOOKUP($A134,ACT[[№]:[№]],ACT[THC/ Терминальная обработка
KRW],"",0,1)</f>
        <v/>
      </c>
      <c r="Q134" s="40" t="str" cm="1">
        <f t="array" ref="Q134">_xlfn.XLOOKUP($A134,ACT[[№]:[№]],ACT[Wharfage/ Портовая пошлина
KRW],"",0,1)</f>
        <v/>
      </c>
      <c r="R134" s="40" t="str" cm="1">
        <f t="array" ref="R134">_xlfn.XLOOKUP($A134,ACT[[№]:[№]],ACT[TRUCKING CHARGE],"",0,1)</f>
        <v/>
      </c>
      <c r="S134" s="40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40" t="str" cm="1">
        <f t="array" ref="T134">_xlfn.XLOOKUP($A134,ACT[[№]:[№]],ACT[Special Wooden Shoring / Специальное деревянное крепление],"",0,1)</f>
        <v/>
      </c>
      <c r="U134" s="9"/>
      <c r="V134" s="40" t="str" cm="1">
        <f t="array" ref="V134">_xlfn.XLOOKUP($A134,ACT[[№]:[№]],ACT[Total amount/ Общая стоимость KRW (10+11+12+13+14+15+16)],"",0,1)</f>
        <v/>
      </c>
      <c r="W134" s="40" t="str" cm="1">
        <f t="array" ref="W134">_xlfn.XLOOKUP($A134,ACT[[№]:[№]],ACT[Total amount/ Общая стоимость (17*exchange rate/ обменный курс)
 USD],"",0,1)</f>
        <v/>
      </c>
      <c r="X134" s="9" cm="1">
        <f t="array" ref="X1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4" s="12">
        <f>VLOOKUP(Шаблон_Формулы[[#This Row],[24]],Курс_840[[Дата]:[Курс]],2,0)</f>
        <v>11370.11</v>
      </c>
      <c r="Z134" s="42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7" t="str" cm="1">
        <f t="array" ref="E135">_xlfn.XLOOKUP($A135,ACT[[№]:[№]],ACT[Date of Dispatch/ 
Дата отгрузки],"",0,1)</f>
        <v/>
      </c>
      <c r="F135" s="38" t="str" cm="1">
        <f t="array" ref="F135">_xlfn.XLOOKUP($A135,ACT[[№]:[№]],ACT[Supplier/ Поставщик],"",0,1)</f>
        <v/>
      </c>
      <c r="G135" s="38" t="str" cm="1">
        <f t="array" ref="G135">_xlfn.XLOOKUP($A135,ACT[[№]:[№]],ACT[Supplier Invoice No/                          № Инвойса Поставщика],"",0,1)</f>
        <v/>
      </c>
      <c r="H135" s="39" t="str" cm="1">
        <f t="array" ref="H135">_xlfn.XLOOKUP($A135,ACT[[№]:[№]],ACT[CBM],"",0,1)</f>
        <v/>
      </c>
      <c r="I135" s="39" t="str" cm="1">
        <f t="array" ref="I135">_xlfn.XLOOKUP($A135,ACT[[№]:[№]],ACT[Gross weight, kg/ Вес брутто, кг],"",0,1)</f>
        <v/>
      </c>
      <c r="J135" s="39" t="str" cm="1">
        <f t="array" ref="J135">_xlfn.XLOOKUP($A135,ACT[[№]:[№]],ACT[Delivery terms / Условия поставки],"",0,1)</f>
        <v/>
      </c>
      <c r="K135" s="39" t="str" cm="1">
        <f t="array" ref="K135">_xlfn.XLOOKUP($A135,ACT[[№]:[№]],ACT[Container total CBM],"",0,1)</f>
        <v/>
      </c>
      <c r="L135" s="40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40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40" t="str" cm="1">
        <f t="array" ref="N135">_xlfn.XLOOKUP($A135,ACT[[№]:[№]],ACT[Shoring, Banding, Sealing, Handling/ Крепление, Перевязка, Опечатование, Обработка
KRW],"",0,1)</f>
        <v/>
      </c>
      <c r="O135" s="40" t="str" cm="1">
        <f t="array" ref="O135">_xlfn.XLOOKUP($A135,ACT[[№]:[№]],ACT[Documents Work/ Сбор за подготовку документов
KRW],"",0,1)</f>
        <v/>
      </c>
      <c r="P135" s="40" t="str" cm="1">
        <f t="array" ref="P135">_xlfn.XLOOKUP($A135,ACT[[№]:[№]],ACT[THC/ Терминальная обработка
KRW],"",0,1)</f>
        <v/>
      </c>
      <c r="Q135" s="40" t="str" cm="1">
        <f t="array" ref="Q135">_xlfn.XLOOKUP($A135,ACT[[№]:[№]],ACT[Wharfage/ Портовая пошлина
KRW],"",0,1)</f>
        <v/>
      </c>
      <c r="R135" s="40" t="str" cm="1">
        <f t="array" ref="R135">_xlfn.XLOOKUP($A135,ACT[[№]:[№]],ACT[TRUCKING CHARGE],"",0,1)</f>
        <v/>
      </c>
      <c r="S135" s="40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40" t="str" cm="1">
        <f t="array" ref="T135">_xlfn.XLOOKUP($A135,ACT[[№]:[№]],ACT[Special Wooden Shoring / Специальное деревянное крепление],"",0,1)</f>
        <v/>
      </c>
      <c r="U135" s="9"/>
      <c r="V135" s="40" t="str" cm="1">
        <f t="array" ref="V135">_xlfn.XLOOKUP($A135,ACT[[№]:[№]],ACT[Total amount/ Общая стоимость KRW (10+11+12+13+14+15+16)],"",0,1)</f>
        <v/>
      </c>
      <c r="W135" s="40" t="str" cm="1">
        <f t="array" ref="W135">_xlfn.XLOOKUP($A135,ACT[[№]:[№]],ACT[Total amount/ Общая стоимость (17*exchange rate/ обменный курс)
 USD],"",0,1)</f>
        <v/>
      </c>
      <c r="X135" s="9" cm="1">
        <f t="array" ref="X1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5" s="12">
        <f>VLOOKUP(Шаблон_Формулы[[#This Row],[24]],Курс_840[[Дата]:[Курс]],2,0)</f>
        <v>11370.11</v>
      </c>
      <c r="Z135" s="42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7" t="str" cm="1">
        <f t="array" ref="E136">_xlfn.XLOOKUP($A136,ACT[[№]:[№]],ACT[Date of Dispatch/ 
Дата отгрузки],"",0,1)</f>
        <v/>
      </c>
      <c r="F136" s="38" t="str" cm="1">
        <f t="array" ref="F136">_xlfn.XLOOKUP($A136,ACT[[№]:[№]],ACT[Supplier/ Поставщик],"",0,1)</f>
        <v/>
      </c>
      <c r="G136" s="38" t="str" cm="1">
        <f t="array" ref="G136">_xlfn.XLOOKUP($A136,ACT[[№]:[№]],ACT[Supplier Invoice No/                          № Инвойса Поставщика],"",0,1)</f>
        <v/>
      </c>
      <c r="H136" s="39" t="str" cm="1">
        <f t="array" ref="H136">_xlfn.XLOOKUP($A136,ACT[[№]:[№]],ACT[CBM],"",0,1)</f>
        <v/>
      </c>
      <c r="I136" s="39" t="str" cm="1">
        <f t="array" ref="I136">_xlfn.XLOOKUP($A136,ACT[[№]:[№]],ACT[Gross weight, kg/ Вес брутто, кг],"",0,1)</f>
        <v/>
      </c>
      <c r="J136" s="39" t="str" cm="1">
        <f t="array" ref="J136">_xlfn.XLOOKUP($A136,ACT[[№]:[№]],ACT[Delivery terms / Условия поставки],"",0,1)</f>
        <v/>
      </c>
      <c r="K136" s="39" t="str" cm="1">
        <f t="array" ref="K136">_xlfn.XLOOKUP($A136,ACT[[№]:[№]],ACT[Container total CBM],"",0,1)</f>
        <v/>
      </c>
      <c r="L136" s="40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40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40" t="str" cm="1">
        <f t="array" ref="N136">_xlfn.XLOOKUP($A136,ACT[[№]:[№]],ACT[Shoring, Banding, Sealing, Handling/ Крепление, Перевязка, Опечатование, Обработка
KRW],"",0,1)</f>
        <v/>
      </c>
      <c r="O136" s="40" t="str" cm="1">
        <f t="array" ref="O136">_xlfn.XLOOKUP($A136,ACT[[№]:[№]],ACT[Documents Work/ Сбор за подготовку документов
KRW],"",0,1)</f>
        <v/>
      </c>
      <c r="P136" s="40" t="str" cm="1">
        <f t="array" ref="P136">_xlfn.XLOOKUP($A136,ACT[[№]:[№]],ACT[THC/ Терминальная обработка
KRW],"",0,1)</f>
        <v/>
      </c>
      <c r="Q136" s="40" t="str" cm="1">
        <f t="array" ref="Q136">_xlfn.XLOOKUP($A136,ACT[[№]:[№]],ACT[Wharfage/ Портовая пошлина
KRW],"",0,1)</f>
        <v/>
      </c>
      <c r="R136" s="40" t="str" cm="1">
        <f t="array" ref="R136">_xlfn.XLOOKUP($A136,ACT[[№]:[№]],ACT[TRUCKING CHARGE],"",0,1)</f>
        <v/>
      </c>
      <c r="S136" s="40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40" t="str" cm="1">
        <f t="array" ref="T136">_xlfn.XLOOKUP($A136,ACT[[№]:[№]],ACT[Special Wooden Shoring / Специальное деревянное крепление],"",0,1)</f>
        <v/>
      </c>
      <c r="U136" s="9"/>
      <c r="V136" s="40" t="str" cm="1">
        <f t="array" ref="V136">_xlfn.XLOOKUP($A136,ACT[[№]:[№]],ACT[Total amount/ Общая стоимость KRW (10+11+12+13+14+15+16)],"",0,1)</f>
        <v/>
      </c>
      <c r="W136" s="40" t="str" cm="1">
        <f t="array" ref="W136">_xlfn.XLOOKUP($A136,ACT[[№]:[№]],ACT[Total amount/ Общая стоимость (17*exchange rate/ обменный курс)
 USD],"",0,1)</f>
        <v/>
      </c>
      <c r="X136" s="9" cm="1">
        <f t="array" ref="X1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6" s="12">
        <f>VLOOKUP(Шаблон_Формулы[[#This Row],[24]],Курс_840[[Дата]:[Курс]],2,0)</f>
        <v>11370.11</v>
      </c>
      <c r="Z136" s="42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7" t="str" cm="1">
        <f t="array" ref="E137">_xlfn.XLOOKUP($A137,ACT[[№]:[№]],ACT[Date of Dispatch/ 
Дата отгрузки],"",0,1)</f>
        <v/>
      </c>
      <c r="F137" s="38" t="str" cm="1">
        <f t="array" ref="F137">_xlfn.XLOOKUP($A137,ACT[[№]:[№]],ACT[Supplier/ Поставщик],"",0,1)</f>
        <v/>
      </c>
      <c r="G137" s="38" t="str" cm="1">
        <f t="array" ref="G137">_xlfn.XLOOKUP($A137,ACT[[№]:[№]],ACT[Supplier Invoice No/                          № Инвойса Поставщика],"",0,1)</f>
        <v/>
      </c>
      <c r="H137" s="39" t="str" cm="1">
        <f t="array" ref="H137">_xlfn.XLOOKUP($A137,ACT[[№]:[№]],ACT[CBM],"",0,1)</f>
        <v/>
      </c>
      <c r="I137" s="39" t="str" cm="1">
        <f t="array" ref="I137">_xlfn.XLOOKUP($A137,ACT[[№]:[№]],ACT[Gross weight, kg/ Вес брутто, кг],"",0,1)</f>
        <v/>
      </c>
      <c r="J137" s="39" t="str" cm="1">
        <f t="array" ref="J137">_xlfn.XLOOKUP($A137,ACT[[№]:[№]],ACT[Delivery terms / Условия поставки],"",0,1)</f>
        <v/>
      </c>
      <c r="K137" s="39" t="str" cm="1">
        <f t="array" ref="K137">_xlfn.XLOOKUP($A137,ACT[[№]:[№]],ACT[Container total CBM],"",0,1)</f>
        <v/>
      </c>
      <c r="L137" s="40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40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40" t="str" cm="1">
        <f t="array" ref="N137">_xlfn.XLOOKUP($A137,ACT[[№]:[№]],ACT[Shoring, Banding, Sealing, Handling/ Крепление, Перевязка, Опечатование, Обработка
KRW],"",0,1)</f>
        <v/>
      </c>
      <c r="O137" s="40" t="str" cm="1">
        <f t="array" ref="O137">_xlfn.XLOOKUP($A137,ACT[[№]:[№]],ACT[Documents Work/ Сбор за подготовку документов
KRW],"",0,1)</f>
        <v/>
      </c>
      <c r="P137" s="40" t="str" cm="1">
        <f t="array" ref="P137">_xlfn.XLOOKUP($A137,ACT[[№]:[№]],ACT[THC/ Терминальная обработка
KRW],"",0,1)</f>
        <v/>
      </c>
      <c r="Q137" s="40" t="str" cm="1">
        <f t="array" ref="Q137">_xlfn.XLOOKUP($A137,ACT[[№]:[№]],ACT[Wharfage/ Портовая пошлина
KRW],"",0,1)</f>
        <v/>
      </c>
      <c r="R137" s="40" t="str" cm="1">
        <f t="array" ref="R137">_xlfn.XLOOKUP($A137,ACT[[№]:[№]],ACT[TRUCKING CHARGE],"",0,1)</f>
        <v/>
      </c>
      <c r="S137" s="40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40" t="str" cm="1">
        <f t="array" ref="T137">_xlfn.XLOOKUP($A137,ACT[[№]:[№]],ACT[Special Wooden Shoring / Специальное деревянное крепление],"",0,1)</f>
        <v/>
      </c>
      <c r="U137" s="9"/>
      <c r="V137" s="40" t="str" cm="1">
        <f t="array" ref="V137">_xlfn.XLOOKUP($A137,ACT[[№]:[№]],ACT[Total amount/ Общая стоимость KRW (10+11+12+13+14+15+16)],"",0,1)</f>
        <v/>
      </c>
      <c r="W137" s="40" t="str" cm="1">
        <f t="array" ref="W137">_xlfn.XLOOKUP($A137,ACT[[№]:[№]],ACT[Total amount/ Общая стоимость (17*exchange rate/ обменный курс)
 USD],"",0,1)</f>
        <v/>
      </c>
      <c r="X137" s="9" cm="1">
        <f t="array" ref="X1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7" s="12">
        <f>VLOOKUP(Шаблон_Формулы[[#This Row],[24]],Курс_840[[Дата]:[Курс]],2,0)</f>
        <v>11370.11</v>
      </c>
      <c r="Z137" s="42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7" t="str" cm="1">
        <f t="array" ref="E138">_xlfn.XLOOKUP($A138,ACT[[№]:[№]],ACT[Date of Dispatch/ 
Дата отгрузки],"",0,1)</f>
        <v/>
      </c>
      <c r="F138" s="38" t="str" cm="1">
        <f t="array" ref="F138">_xlfn.XLOOKUP($A138,ACT[[№]:[№]],ACT[Supplier/ Поставщик],"",0,1)</f>
        <v/>
      </c>
      <c r="G138" s="38" t="str" cm="1">
        <f t="array" ref="G138">_xlfn.XLOOKUP($A138,ACT[[№]:[№]],ACT[Supplier Invoice No/                          № Инвойса Поставщика],"",0,1)</f>
        <v/>
      </c>
      <c r="H138" s="39" t="str" cm="1">
        <f t="array" ref="H138">_xlfn.XLOOKUP($A138,ACT[[№]:[№]],ACT[CBM],"",0,1)</f>
        <v/>
      </c>
      <c r="I138" s="39" t="str" cm="1">
        <f t="array" ref="I138">_xlfn.XLOOKUP($A138,ACT[[№]:[№]],ACT[Gross weight, kg/ Вес брутто, кг],"",0,1)</f>
        <v/>
      </c>
      <c r="J138" s="39" t="str" cm="1">
        <f t="array" ref="J138">_xlfn.XLOOKUP($A138,ACT[[№]:[№]],ACT[Delivery terms / Условия поставки],"",0,1)</f>
        <v/>
      </c>
      <c r="K138" s="39" t="str" cm="1">
        <f t="array" ref="K138">_xlfn.XLOOKUP($A138,ACT[[№]:[№]],ACT[Container total CBM],"",0,1)</f>
        <v/>
      </c>
      <c r="L138" s="40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40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40" t="str" cm="1">
        <f t="array" ref="N138">_xlfn.XLOOKUP($A138,ACT[[№]:[№]],ACT[Shoring, Banding, Sealing, Handling/ Крепление, Перевязка, Опечатование, Обработка
KRW],"",0,1)</f>
        <v/>
      </c>
      <c r="O138" s="40" t="str" cm="1">
        <f t="array" ref="O138">_xlfn.XLOOKUP($A138,ACT[[№]:[№]],ACT[Documents Work/ Сбор за подготовку документов
KRW],"",0,1)</f>
        <v/>
      </c>
      <c r="P138" s="40" t="str" cm="1">
        <f t="array" ref="P138">_xlfn.XLOOKUP($A138,ACT[[№]:[№]],ACT[THC/ Терминальная обработка
KRW],"",0,1)</f>
        <v/>
      </c>
      <c r="Q138" s="40" t="str" cm="1">
        <f t="array" ref="Q138">_xlfn.XLOOKUP($A138,ACT[[№]:[№]],ACT[Wharfage/ Портовая пошлина
KRW],"",0,1)</f>
        <v/>
      </c>
      <c r="R138" s="40" t="str" cm="1">
        <f t="array" ref="R138">_xlfn.XLOOKUP($A138,ACT[[№]:[№]],ACT[TRUCKING CHARGE],"",0,1)</f>
        <v/>
      </c>
      <c r="S138" s="40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40" t="str" cm="1">
        <f t="array" ref="T138">_xlfn.XLOOKUP($A138,ACT[[№]:[№]],ACT[Special Wooden Shoring / Специальное деревянное крепление],"",0,1)</f>
        <v/>
      </c>
      <c r="U138" s="9"/>
      <c r="V138" s="40" t="str" cm="1">
        <f t="array" ref="V138">_xlfn.XLOOKUP($A138,ACT[[№]:[№]],ACT[Total amount/ Общая стоимость KRW (10+11+12+13+14+15+16)],"",0,1)</f>
        <v/>
      </c>
      <c r="W138" s="40" t="str" cm="1">
        <f t="array" ref="W138">_xlfn.XLOOKUP($A138,ACT[[№]:[№]],ACT[Total amount/ Общая стоимость (17*exchange rate/ обменный курс)
 USD],"",0,1)</f>
        <v/>
      </c>
      <c r="X138" s="9" cm="1">
        <f t="array" ref="X1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8" s="12">
        <f>VLOOKUP(Шаблон_Формулы[[#This Row],[24]],Курс_840[[Дата]:[Курс]],2,0)</f>
        <v>11370.11</v>
      </c>
      <c r="Z138" s="42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7" t="str" cm="1">
        <f t="array" ref="E139">_xlfn.XLOOKUP($A139,ACT[[№]:[№]],ACT[Date of Dispatch/ 
Дата отгрузки],"",0,1)</f>
        <v/>
      </c>
      <c r="F139" s="38" t="str" cm="1">
        <f t="array" ref="F139">_xlfn.XLOOKUP($A139,ACT[[№]:[№]],ACT[Supplier/ Поставщик],"",0,1)</f>
        <v/>
      </c>
      <c r="G139" s="38" t="str" cm="1">
        <f t="array" ref="G139">_xlfn.XLOOKUP($A139,ACT[[№]:[№]],ACT[Supplier Invoice No/                          № Инвойса Поставщика],"",0,1)</f>
        <v/>
      </c>
      <c r="H139" s="39" t="str" cm="1">
        <f t="array" ref="H139">_xlfn.XLOOKUP($A139,ACT[[№]:[№]],ACT[CBM],"",0,1)</f>
        <v/>
      </c>
      <c r="I139" s="39" t="str" cm="1">
        <f t="array" ref="I139">_xlfn.XLOOKUP($A139,ACT[[№]:[№]],ACT[Gross weight, kg/ Вес брутто, кг],"",0,1)</f>
        <v/>
      </c>
      <c r="J139" s="39" t="str" cm="1">
        <f t="array" ref="J139">_xlfn.XLOOKUP($A139,ACT[[№]:[№]],ACT[Delivery terms / Условия поставки],"",0,1)</f>
        <v/>
      </c>
      <c r="K139" s="39" t="str" cm="1">
        <f t="array" ref="K139">_xlfn.XLOOKUP($A139,ACT[[№]:[№]],ACT[Container total CBM],"",0,1)</f>
        <v/>
      </c>
      <c r="L139" s="40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40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40" t="str" cm="1">
        <f t="array" ref="N139">_xlfn.XLOOKUP($A139,ACT[[№]:[№]],ACT[Shoring, Banding, Sealing, Handling/ Крепление, Перевязка, Опечатование, Обработка
KRW],"",0,1)</f>
        <v/>
      </c>
      <c r="O139" s="40" t="str" cm="1">
        <f t="array" ref="O139">_xlfn.XLOOKUP($A139,ACT[[№]:[№]],ACT[Documents Work/ Сбор за подготовку документов
KRW],"",0,1)</f>
        <v/>
      </c>
      <c r="P139" s="40" t="str" cm="1">
        <f t="array" ref="P139">_xlfn.XLOOKUP($A139,ACT[[№]:[№]],ACT[THC/ Терминальная обработка
KRW],"",0,1)</f>
        <v/>
      </c>
      <c r="Q139" s="40" t="str" cm="1">
        <f t="array" ref="Q139">_xlfn.XLOOKUP($A139,ACT[[№]:[№]],ACT[Wharfage/ Портовая пошлина
KRW],"",0,1)</f>
        <v/>
      </c>
      <c r="R139" s="40" t="str" cm="1">
        <f t="array" ref="R139">_xlfn.XLOOKUP($A139,ACT[[№]:[№]],ACT[TRUCKING CHARGE],"",0,1)</f>
        <v/>
      </c>
      <c r="S139" s="40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40" t="str" cm="1">
        <f t="array" ref="T139">_xlfn.XLOOKUP($A139,ACT[[№]:[№]],ACT[Special Wooden Shoring / Специальное деревянное крепление],"",0,1)</f>
        <v/>
      </c>
      <c r="U139" s="9"/>
      <c r="V139" s="40" t="str" cm="1">
        <f t="array" ref="V139">_xlfn.XLOOKUP($A139,ACT[[№]:[№]],ACT[Total amount/ Общая стоимость KRW (10+11+12+13+14+15+16)],"",0,1)</f>
        <v/>
      </c>
      <c r="W139" s="40" t="str" cm="1">
        <f t="array" ref="W139">_xlfn.XLOOKUP($A139,ACT[[№]:[№]],ACT[Total amount/ Общая стоимость (17*exchange rate/ обменный курс)
 USD],"",0,1)</f>
        <v/>
      </c>
      <c r="X139" s="9" cm="1">
        <f t="array" ref="X1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9" s="12">
        <f>VLOOKUP(Шаблон_Формулы[[#This Row],[24]],Курс_840[[Дата]:[Курс]],2,0)</f>
        <v>11370.11</v>
      </c>
      <c r="Z139" s="42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7" t="str" cm="1">
        <f t="array" ref="E140">_xlfn.XLOOKUP($A140,ACT[[№]:[№]],ACT[Date of Dispatch/ 
Дата отгрузки],"",0,1)</f>
        <v/>
      </c>
      <c r="F140" s="38" t="str" cm="1">
        <f t="array" ref="F140">_xlfn.XLOOKUP($A140,ACT[[№]:[№]],ACT[Supplier/ Поставщик],"",0,1)</f>
        <v/>
      </c>
      <c r="G140" s="38" t="str" cm="1">
        <f t="array" ref="G140">_xlfn.XLOOKUP($A140,ACT[[№]:[№]],ACT[Supplier Invoice No/                          № Инвойса Поставщика],"",0,1)</f>
        <v/>
      </c>
      <c r="H140" s="39" t="str" cm="1">
        <f t="array" ref="H140">_xlfn.XLOOKUP($A140,ACT[[№]:[№]],ACT[CBM],"",0,1)</f>
        <v/>
      </c>
      <c r="I140" s="39" t="str" cm="1">
        <f t="array" ref="I140">_xlfn.XLOOKUP($A140,ACT[[№]:[№]],ACT[Gross weight, kg/ Вес брутто, кг],"",0,1)</f>
        <v/>
      </c>
      <c r="J140" s="39" t="str" cm="1">
        <f t="array" ref="J140">_xlfn.XLOOKUP($A140,ACT[[№]:[№]],ACT[Delivery terms / Условия поставки],"",0,1)</f>
        <v/>
      </c>
      <c r="K140" s="39" t="str" cm="1">
        <f t="array" ref="K140">_xlfn.XLOOKUP($A140,ACT[[№]:[№]],ACT[Container total CBM],"",0,1)</f>
        <v/>
      </c>
      <c r="L140" s="40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40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40" t="str" cm="1">
        <f t="array" ref="N140">_xlfn.XLOOKUP($A140,ACT[[№]:[№]],ACT[Shoring, Banding, Sealing, Handling/ Крепление, Перевязка, Опечатование, Обработка
KRW],"",0,1)</f>
        <v/>
      </c>
      <c r="O140" s="40" t="str" cm="1">
        <f t="array" ref="O140">_xlfn.XLOOKUP($A140,ACT[[№]:[№]],ACT[Documents Work/ Сбор за подготовку документов
KRW],"",0,1)</f>
        <v/>
      </c>
      <c r="P140" s="40" t="str" cm="1">
        <f t="array" ref="P140">_xlfn.XLOOKUP($A140,ACT[[№]:[№]],ACT[THC/ Терминальная обработка
KRW],"",0,1)</f>
        <v/>
      </c>
      <c r="Q140" s="40" t="str" cm="1">
        <f t="array" ref="Q140">_xlfn.XLOOKUP($A140,ACT[[№]:[№]],ACT[Wharfage/ Портовая пошлина
KRW],"",0,1)</f>
        <v/>
      </c>
      <c r="R140" s="40" t="str" cm="1">
        <f t="array" ref="R140">_xlfn.XLOOKUP($A140,ACT[[№]:[№]],ACT[TRUCKING CHARGE],"",0,1)</f>
        <v/>
      </c>
      <c r="S140" s="40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40" t="str" cm="1">
        <f t="array" ref="T140">_xlfn.XLOOKUP($A140,ACT[[№]:[№]],ACT[Special Wooden Shoring / Специальное деревянное крепление],"",0,1)</f>
        <v/>
      </c>
      <c r="U140" s="9"/>
      <c r="V140" s="40" t="str" cm="1">
        <f t="array" ref="V140">_xlfn.XLOOKUP($A140,ACT[[№]:[№]],ACT[Total amount/ Общая стоимость KRW (10+11+12+13+14+15+16)],"",0,1)</f>
        <v/>
      </c>
      <c r="W140" s="40" t="str" cm="1">
        <f t="array" ref="W140">_xlfn.XLOOKUP($A140,ACT[[№]:[№]],ACT[Total amount/ Общая стоимость (17*exchange rate/ обменный курс)
 USD],"",0,1)</f>
        <v/>
      </c>
      <c r="X140" s="9" cm="1">
        <f t="array" ref="X1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0" s="12">
        <f>VLOOKUP(Шаблон_Формулы[[#This Row],[24]],Курс_840[[Дата]:[Курс]],2,0)</f>
        <v>11370.11</v>
      </c>
      <c r="Z140" s="42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7" t="str" cm="1">
        <f t="array" ref="E141">_xlfn.XLOOKUP($A141,ACT[[№]:[№]],ACT[Date of Dispatch/ 
Дата отгрузки],"",0,1)</f>
        <v/>
      </c>
      <c r="F141" s="38" t="str" cm="1">
        <f t="array" ref="F141">_xlfn.XLOOKUP($A141,ACT[[№]:[№]],ACT[Supplier/ Поставщик],"",0,1)</f>
        <v/>
      </c>
      <c r="G141" s="38" t="str" cm="1">
        <f t="array" ref="G141">_xlfn.XLOOKUP($A141,ACT[[№]:[№]],ACT[Supplier Invoice No/                          № Инвойса Поставщика],"",0,1)</f>
        <v/>
      </c>
      <c r="H141" s="39" t="str" cm="1">
        <f t="array" ref="H141">_xlfn.XLOOKUP($A141,ACT[[№]:[№]],ACT[CBM],"",0,1)</f>
        <v/>
      </c>
      <c r="I141" s="39" t="str" cm="1">
        <f t="array" ref="I141">_xlfn.XLOOKUP($A141,ACT[[№]:[№]],ACT[Gross weight, kg/ Вес брутто, кг],"",0,1)</f>
        <v/>
      </c>
      <c r="J141" s="39" t="str" cm="1">
        <f t="array" ref="J141">_xlfn.XLOOKUP($A141,ACT[[№]:[№]],ACT[Delivery terms / Условия поставки],"",0,1)</f>
        <v/>
      </c>
      <c r="K141" s="39" t="str" cm="1">
        <f t="array" ref="K141">_xlfn.XLOOKUP($A141,ACT[[№]:[№]],ACT[Container total CBM],"",0,1)</f>
        <v/>
      </c>
      <c r="L141" s="40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40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40" t="str" cm="1">
        <f t="array" ref="N141">_xlfn.XLOOKUP($A141,ACT[[№]:[№]],ACT[Shoring, Banding, Sealing, Handling/ Крепление, Перевязка, Опечатование, Обработка
KRW],"",0,1)</f>
        <v/>
      </c>
      <c r="O141" s="40" t="str" cm="1">
        <f t="array" ref="O141">_xlfn.XLOOKUP($A141,ACT[[№]:[№]],ACT[Documents Work/ Сбор за подготовку документов
KRW],"",0,1)</f>
        <v/>
      </c>
      <c r="P141" s="40" t="str" cm="1">
        <f t="array" ref="P141">_xlfn.XLOOKUP($A141,ACT[[№]:[№]],ACT[THC/ Терминальная обработка
KRW],"",0,1)</f>
        <v/>
      </c>
      <c r="Q141" s="40" t="str" cm="1">
        <f t="array" ref="Q141">_xlfn.XLOOKUP($A141,ACT[[№]:[№]],ACT[Wharfage/ Портовая пошлина
KRW],"",0,1)</f>
        <v/>
      </c>
      <c r="R141" s="40" t="str" cm="1">
        <f t="array" ref="R141">_xlfn.XLOOKUP($A141,ACT[[№]:[№]],ACT[TRUCKING CHARGE],"",0,1)</f>
        <v/>
      </c>
      <c r="S141" s="40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40" t="str" cm="1">
        <f t="array" ref="T141">_xlfn.XLOOKUP($A141,ACT[[№]:[№]],ACT[Special Wooden Shoring / Специальное деревянное крепление],"",0,1)</f>
        <v/>
      </c>
      <c r="U141" s="9"/>
      <c r="V141" s="40" t="str" cm="1">
        <f t="array" ref="V141">_xlfn.XLOOKUP($A141,ACT[[№]:[№]],ACT[Total amount/ Общая стоимость KRW (10+11+12+13+14+15+16)],"",0,1)</f>
        <v/>
      </c>
      <c r="W141" s="40" t="str" cm="1">
        <f t="array" ref="W141">_xlfn.XLOOKUP($A141,ACT[[№]:[№]],ACT[Total amount/ Общая стоимость (17*exchange rate/ обменный курс)
 USD],"",0,1)</f>
        <v/>
      </c>
      <c r="X141" s="9" cm="1">
        <f t="array" ref="X1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1" s="12">
        <f>VLOOKUP(Шаблон_Формулы[[#This Row],[24]],Курс_840[[Дата]:[Курс]],2,0)</f>
        <v>11370.11</v>
      </c>
      <c r="Z141" s="42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7" t="str" cm="1">
        <f t="array" ref="E142">_xlfn.XLOOKUP($A142,ACT[[№]:[№]],ACT[Date of Dispatch/ 
Дата отгрузки],"",0,1)</f>
        <v/>
      </c>
      <c r="F142" s="38" t="str" cm="1">
        <f t="array" ref="F142">_xlfn.XLOOKUP($A142,ACT[[№]:[№]],ACT[Supplier/ Поставщик],"",0,1)</f>
        <v/>
      </c>
      <c r="G142" s="38" t="str" cm="1">
        <f t="array" ref="G142">_xlfn.XLOOKUP($A142,ACT[[№]:[№]],ACT[Supplier Invoice No/                          № Инвойса Поставщика],"",0,1)</f>
        <v/>
      </c>
      <c r="H142" s="39" t="str" cm="1">
        <f t="array" ref="H142">_xlfn.XLOOKUP($A142,ACT[[№]:[№]],ACT[CBM],"",0,1)</f>
        <v/>
      </c>
      <c r="I142" s="39" t="str" cm="1">
        <f t="array" ref="I142">_xlfn.XLOOKUP($A142,ACT[[№]:[№]],ACT[Gross weight, kg/ Вес брутто, кг],"",0,1)</f>
        <v/>
      </c>
      <c r="J142" s="39" t="str" cm="1">
        <f t="array" ref="J142">_xlfn.XLOOKUP($A142,ACT[[№]:[№]],ACT[Delivery terms / Условия поставки],"",0,1)</f>
        <v/>
      </c>
      <c r="K142" s="39" t="str" cm="1">
        <f t="array" ref="K142">_xlfn.XLOOKUP($A142,ACT[[№]:[№]],ACT[Container total CBM],"",0,1)</f>
        <v/>
      </c>
      <c r="L142" s="40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40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40" t="str" cm="1">
        <f t="array" ref="N142">_xlfn.XLOOKUP($A142,ACT[[№]:[№]],ACT[Shoring, Banding, Sealing, Handling/ Крепление, Перевязка, Опечатование, Обработка
KRW],"",0,1)</f>
        <v/>
      </c>
      <c r="O142" s="40" t="str" cm="1">
        <f t="array" ref="O142">_xlfn.XLOOKUP($A142,ACT[[№]:[№]],ACT[Documents Work/ Сбор за подготовку документов
KRW],"",0,1)</f>
        <v/>
      </c>
      <c r="P142" s="40" t="str" cm="1">
        <f t="array" ref="P142">_xlfn.XLOOKUP($A142,ACT[[№]:[№]],ACT[THC/ Терминальная обработка
KRW],"",0,1)</f>
        <v/>
      </c>
      <c r="Q142" s="40" t="str" cm="1">
        <f t="array" ref="Q142">_xlfn.XLOOKUP($A142,ACT[[№]:[№]],ACT[Wharfage/ Портовая пошлина
KRW],"",0,1)</f>
        <v/>
      </c>
      <c r="R142" s="40" t="str" cm="1">
        <f t="array" ref="R142">_xlfn.XLOOKUP($A142,ACT[[№]:[№]],ACT[TRUCKING CHARGE],"",0,1)</f>
        <v/>
      </c>
      <c r="S142" s="40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40" t="str" cm="1">
        <f t="array" ref="T142">_xlfn.XLOOKUP($A142,ACT[[№]:[№]],ACT[Special Wooden Shoring / Специальное деревянное крепление],"",0,1)</f>
        <v/>
      </c>
      <c r="U142" s="9"/>
      <c r="V142" s="40" t="str" cm="1">
        <f t="array" ref="V142">_xlfn.XLOOKUP($A142,ACT[[№]:[№]],ACT[Total amount/ Общая стоимость KRW (10+11+12+13+14+15+16)],"",0,1)</f>
        <v/>
      </c>
      <c r="W142" s="40" t="str" cm="1">
        <f t="array" ref="W142">_xlfn.XLOOKUP($A142,ACT[[№]:[№]],ACT[Total amount/ Общая стоимость (17*exchange rate/ обменный курс)
 USD],"",0,1)</f>
        <v/>
      </c>
      <c r="X142" s="9" cm="1">
        <f t="array" ref="X1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2" s="12">
        <f>VLOOKUP(Шаблон_Формулы[[#This Row],[24]],Курс_840[[Дата]:[Курс]],2,0)</f>
        <v>11370.11</v>
      </c>
      <c r="Z142" s="42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7" t="str" cm="1">
        <f t="array" ref="E143">_xlfn.XLOOKUP($A143,ACT[[№]:[№]],ACT[Date of Dispatch/ 
Дата отгрузки],"",0,1)</f>
        <v/>
      </c>
      <c r="F143" s="38" t="str" cm="1">
        <f t="array" ref="F143">_xlfn.XLOOKUP($A143,ACT[[№]:[№]],ACT[Supplier/ Поставщик],"",0,1)</f>
        <v/>
      </c>
      <c r="G143" s="38" t="str" cm="1">
        <f t="array" ref="G143">_xlfn.XLOOKUP($A143,ACT[[№]:[№]],ACT[Supplier Invoice No/                          № Инвойса Поставщика],"",0,1)</f>
        <v/>
      </c>
      <c r="H143" s="39" t="str" cm="1">
        <f t="array" ref="H143">_xlfn.XLOOKUP($A143,ACT[[№]:[№]],ACT[CBM],"",0,1)</f>
        <v/>
      </c>
      <c r="I143" s="39" t="str" cm="1">
        <f t="array" ref="I143">_xlfn.XLOOKUP($A143,ACT[[№]:[№]],ACT[Gross weight, kg/ Вес брутто, кг],"",0,1)</f>
        <v/>
      </c>
      <c r="J143" s="39" t="str" cm="1">
        <f t="array" ref="J143">_xlfn.XLOOKUP($A143,ACT[[№]:[№]],ACT[Delivery terms / Условия поставки],"",0,1)</f>
        <v/>
      </c>
      <c r="K143" s="39" t="str" cm="1">
        <f t="array" ref="K143">_xlfn.XLOOKUP($A143,ACT[[№]:[№]],ACT[Container total CBM],"",0,1)</f>
        <v/>
      </c>
      <c r="L143" s="40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40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40" t="str" cm="1">
        <f t="array" ref="N143">_xlfn.XLOOKUP($A143,ACT[[№]:[№]],ACT[Shoring, Banding, Sealing, Handling/ Крепление, Перевязка, Опечатование, Обработка
KRW],"",0,1)</f>
        <v/>
      </c>
      <c r="O143" s="40" t="str" cm="1">
        <f t="array" ref="O143">_xlfn.XLOOKUP($A143,ACT[[№]:[№]],ACT[Documents Work/ Сбор за подготовку документов
KRW],"",0,1)</f>
        <v/>
      </c>
      <c r="P143" s="40" t="str" cm="1">
        <f t="array" ref="P143">_xlfn.XLOOKUP($A143,ACT[[№]:[№]],ACT[THC/ Терминальная обработка
KRW],"",0,1)</f>
        <v/>
      </c>
      <c r="Q143" s="40" t="str" cm="1">
        <f t="array" ref="Q143">_xlfn.XLOOKUP($A143,ACT[[№]:[№]],ACT[Wharfage/ Портовая пошлина
KRW],"",0,1)</f>
        <v/>
      </c>
      <c r="R143" s="40" t="str" cm="1">
        <f t="array" ref="R143">_xlfn.XLOOKUP($A143,ACT[[№]:[№]],ACT[TRUCKING CHARGE],"",0,1)</f>
        <v/>
      </c>
      <c r="S143" s="40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40" t="str" cm="1">
        <f t="array" ref="T143">_xlfn.XLOOKUP($A143,ACT[[№]:[№]],ACT[Special Wooden Shoring / Специальное деревянное крепление],"",0,1)</f>
        <v/>
      </c>
      <c r="U143" s="9"/>
      <c r="V143" s="40" t="str" cm="1">
        <f t="array" ref="V143">_xlfn.XLOOKUP($A143,ACT[[№]:[№]],ACT[Total amount/ Общая стоимость KRW (10+11+12+13+14+15+16)],"",0,1)</f>
        <v/>
      </c>
      <c r="W143" s="40" t="str" cm="1">
        <f t="array" ref="W143">_xlfn.XLOOKUP($A143,ACT[[№]:[№]],ACT[Total amount/ Общая стоимость (17*exchange rate/ обменный курс)
 USD],"",0,1)</f>
        <v/>
      </c>
      <c r="X143" s="9" cm="1">
        <f t="array" ref="X1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3" s="12">
        <f>VLOOKUP(Шаблон_Формулы[[#This Row],[24]],Курс_840[[Дата]:[Курс]],2,0)</f>
        <v>11370.11</v>
      </c>
      <c r="Z143" s="42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7" t="str" cm="1">
        <f t="array" ref="E144">_xlfn.XLOOKUP($A144,ACT[[№]:[№]],ACT[Date of Dispatch/ 
Дата отгрузки],"",0,1)</f>
        <v/>
      </c>
      <c r="F144" s="38" t="str" cm="1">
        <f t="array" ref="F144">_xlfn.XLOOKUP($A144,ACT[[№]:[№]],ACT[Supplier/ Поставщик],"",0,1)</f>
        <v/>
      </c>
      <c r="G144" s="38" t="str" cm="1">
        <f t="array" ref="G144">_xlfn.XLOOKUP($A144,ACT[[№]:[№]],ACT[Supplier Invoice No/                          № Инвойса Поставщика],"",0,1)</f>
        <v/>
      </c>
      <c r="H144" s="39" t="str" cm="1">
        <f t="array" ref="H144">_xlfn.XLOOKUP($A144,ACT[[№]:[№]],ACT[CBM],"",0,1)</f>
        <v/>
      </c>
      <c r="I144" s="39" t="str" cm="1">
        <f t="array" ref="I144">_xlfn.XLOOKUP($A144,ACT[[№]:[№]],ACT[Gross weight, kg/ Вес брутто, кг],"",0,1)</f>
        <v/>
      </c>
      <c r="J144" s="39" t="str" cm="1">
        <f t="array" ref="J144">_xlfn.XLOOKUP($A144,ACT[[№]:[№]],ACT[Delivery terms / Условия поставки],"",0,1)</f>
        <v/>
      </c>
      <c r="K144" s="39" t="str" cm="1">
        <f t="array" ref="K144">_xlfn.XLOOKUP($A144,ACT[[№]:[№]],ACT[Container total CBM],"",0,1)</f>
        <v/>
      </c>
      <c r="L144" s="40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40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40" t="str" cm="1">
        <f t="array" ref="N144">_xlfn.XLOOKUP($A144,ACT[[№]:[№]],ACT[Shoring, Banding, Sealing, Handling/ Крепление, Перевязка, Опечатование, Обработка
KRW],"",0,1)</f>
        <v/>
      </c>
      <c r="O144" s="40" t="str" cm="1">
        <f t="array" ref="O144">_xlfn.XLOOKUP($A144,ACT[[№]:[№]],ACT[Documents Work/ Сбор за подготовку документов
KRW],"",0,1)</f>
        <v/>
      </c>
      <c r="P144" s="40" t="str" cm="1">
        <f t="array" ref="P144">_xlfn.XLOOKUP($A144,ACT[[№]:[№]],ACT[THC/ Терминальная обработка
KRW],"",0,1)</f>
        <v/>
      </c>
      <c r="Q144" s="40" t="str" cm="1">
        <f t="array" ref="Q144">_xlfn.XLOOKUP($A144,ACT[[№]:[№]],ACT[Wharfage/ Портовая пошлина
KRW],"",0,1)</f>
        <v/>
      </c>
      <c r="R144" s="40" t="str" cm="1">
        <f t="array" ref="R144">_xlfn.XLOOKUP($A144,ACT[[№]:[№]],ACT[TRUCKING CHARGE],"",0,1)</f>
        <v/>
      </c>
      <c r="S144" s="40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40" t="str" cm="1">
        <f t="array" ref="T144">_xlfn.XLOOKUP($A144,ACT[[№]:[№]],ACT[Special Wooden Shoring / Специальное деревянное крепление],"",0,1)</f>
        <v/>
      </c>
      <c r="U144" s="9"/>
      <c r="V144" s="40" t="str" cm="1">
        <f t="array" ref="V144">_xlfn.XLOOKUP($A144,ACT[[№]:[№]],ACT[Total amount/ Общая стоимость KRW (10+11+12+13+14+15+16)],"",0,1)</f>
        <v/>
      </c>
      <c r="W144" s="40" t="str" cm="1">
        <f t="array" ref="W144">_xlfn.XLOOKUP($A144,ACT[[№]:[№]],ACT[Total amount/ Общая стоимость (17*exchange rate/ обменный курс)
 USD],"",0,1)</f>
        <v/>
      </c>
      <c r="X144" s="9" cm="1">
        <f t="array" ref="X1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4" s="12">
        <f>VLOOKUP(Шаблон_Формулы[[#This Row],[24]],Курс_840[[Дата]:[Курс]],2,0)</f>
        <v>11370.11</v>
      </c>
      <c r="Z144" s="42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7" t="str" cm="1">
        <f t="array" ref="E145">_xlfn.XLOOKUP($A145,ACT[[№]:[№]],ACT[Date of Dispatch/ 
Дата отгрузки],"",0,1)</f>
        <v/>
      </c>
      <c r="F145" s="38" t="str" cm="1">
        <f t="array" ref="F145">_xlfn.XLOOKUP($A145,ACT[[№]:[№]],ACT[Supplier/ Поставщик],"",0,1)</f>
        <v/>
      </c>
      <c r="G145" s="38" t="str" cm="1">
        <f t="array" ref="G145">_xlfn.XLOOKUP($A145,ACT[[№]:[№]],ACT[Supplier Invoice No/                          № Инвойса Поставщика],"",0,1)</f>
        <v/>
      </c>
      <c r="H145" s="39" t="str" cm="1">
        <f t="array" ref="H145">_xlfn.XLOOKUP($A145,ACT[[№]:[№]],ACT[CBM],"",0,1)</f>
        <v/>
      </c>
      <c r="I145" s="39" t="str" cm="1">
        <f t="array" ref="I145">_xlfn.XLOOKUP($A145,ACT[[№]:[№]],ACT[Gross weight, kg/ Вес брутто, кг],"",0,1)</f>
        <v/>
      </c>
      <c r="J145" s="39" t="str" cm="1">
        <f t="array" ref="J145">_xlfn.XLOOKUP($A145,ACT[[№]:[№]],ACT[Delivery terms / Условия поставки],"",0,1)</f>
        <v/>
      </c>
      <c r="K145" s="39" t="str" cm="1">
        <f t="array" ref="K145">_xlfn.XLOOKUP($A145,ACT[[№]:[№]],ACT[Container total CBM],"",0,1)</f>
        <v/>
      </c>
      <c r="L145" s="40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40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40" t="str" cm="1">
        <f t="array" ref="N145">_xlfn.XLOOKUP($A145,ACT[[№]:[№]],ACT[Shoring, Banding, Sealing, Handling/ Крепление, Перевязка, Опечатование, Обработка
KRW],"",0,1)</f>
        <v/>
      </c>
      <c r="O145" s="40" t="str" cm="1">
        <f t="array" ref="O145">_xlfn.XLOOKUP($A145,ACT[[№]:[№]],ACT[Documents Work/ Сбор за подготовку документов
KRW],"",0,1)</f>
        <v/>
      </c>
      <c r="P145" s="40" t="str" cm="1">
        <f t="array" ref="P145">_xlfn.XLOOKUP($A145,ACT[[№]:[№]],ACT[THC/ Терминальная обработка
KRW],"",0,1)</f>
        <v/>
      </c>
      <c r="Q145" s="40" t="str" cm="1">
        <f t="array" ref="Q145">_xlfn.XLOOKUP($A145,ACT[[№]:[№]],ACT[Wharfage/ Портовая пошлина
KRW],"",0,1)</f>
        <v/>
      </c>
      <c r="R145" s="40" t="str" cm="1">
        <f t="array" ref="R145">_xlfn.XLOOKUP($A145,ACT[[№]:[№]],ACT[TRUCKING CHARGE],"",0,1)</f>
        <v/>
      </c>
      <c r="S145" s="40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40" t="str" cm="1">
        <f t="array" ref="T145">_xlfn.XLOOKUP($A145,ACT[[№]:[№]],ACT[Special Wooden Shoring / Специальное деревянное крепление],"",0,1)</f>
        <v/>
      </c>
      <c r="U145" s="9"/>
      <c r="V145" s="40" t="str" cm="1">
        <f t="array" ref="V145">_xlfn.XLOOKUP($A145,ACT[[№]:[№]],ACT[Total amount/ Общая стоимость KRW (10+11+12+13+14+15+16)],"",0,1)</f>
        <v/>
      </c>
      <c r="W145" s="40" t="str" cm="1">
        <f t="array" ref="W145">_xlfn.XLOOKUP($A145,ACT[[№]:[№]],ACT[Total amount/ Общая стоимость (17*exchange rate/ обменный курс)
 USD],"",0,1)</f>
        <v/>
      </c>
      <c r="X145" s="9" cm="1">
        <f t="array" ref="X1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5" s="12">
        <f>VLOOKUP(Шаблон_Формулы[[#This Row],[24]],Курс_840[[Дата]:[Курс]],2,0)</f>
        <v>11370.11</v>
      </c>
      <c r="Z145" s="42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7" t="str" cm="1">
        <f t="array" ref="E146">_xlfn.XLOOKUP($A146,ACT[[№]:[№]],ACT[Date of Dispatch/ 
Дата отгрузки],"",0,1)</f>
        <v/>
      </c>
      <c r="F146" s="38" t="str" cm="1">
        <f t="array" ref="F146">_xlfn.XLOOKUP($A146,ACT[[№]:[№]],ACT[Supplier/ Поставщик],"",0,1)</f>
        <v/>
      </c>
      <c r="G146" s="38" t="str" cm="1">
        <f t="array" ref="G146">_xlfn.XLOOKUP($A146,ACT[[№]:[№]],ACT[Supplier Invoice No/                          № Инвойса Поставщика],"",0,1)</f>
        <v/>
      </c>
      <c r="H146" s="39" t="str" cm="1">
        <f t="array" ref="H146">_xlfn.XLOOKUP($A146,ACT[[№]:[№]],ACT[CBM],"",0,1)</f>
        <v/>
      </c>
      <c r="I146" s="39" t="str" cm="1">
        <f t="array" ref="I146">_xlfn.XLOOKUP($A146,ACT[[№]:[№]],ACT[Gross weight, kg/ Вес брутто, кг],"",0,1)</f>
        <v/>
      </c>
      <c r="J146" s="39" t="str" cm="1">
        <f t="array" ref="J146">_xlfn.XLOOKUP($A146,ACT[[№]:[№]],ACT[Delivery terms / Условия поставки],"",0,1)</f>
        <v/>
      </c>
      <c r="K146" s="39" t="str" cm="1">
        <f t="array" ref="K146">_xlfn.XLOOKUP($A146,ACT[[№]:[№]],ACT[Container total CBM],"",0,1)</f>
        <v/>
      </c>
      <c r="L146" s="40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40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40" t="str" cm="1">
        <f t="array" ref="N146">_xlfn.XLOOKUP($A146,ACT[[№]:[№]],ACT[Shoring, Banding, Sealing, Handling/ Крепление, Перевязка, Опечатование, Обработка
KRW],"",0,1)</f>
        <v/>
      </c>
      <c r="O146" s="40" t="str" cm="1">
        <f t="array" ref="O146">_xlfn.XLOOKUP($A146,ACT[[№]:[№]],ACT[Documents Work/ Сбор за подготовку документов
KRW],"",0,1)</f>
        <v/>
      </c>
      <c r="P146" s="40" t="str" cm="1">
        <f t="array" ref="P146">_xlfn.XLOOKUP($A146,ACT[[№]:[№]],ACT[THC/ Терминальная обработка
KRW],"",0,1)</f>
        <v/>
      </c>
      <c r="Q146" s="40" t="str" cm="1">
        <f t="array" ref="Q146">_xlfn.XLOOKUP($A146,ACT[[№]:[№]],ACT[Wharfage/ Портовая пошлина
KRW],"",0,1)</f>
        <v/>
      </c>
      <c r="R146" s="40" t="str" cm="1">
        <f t="array" ref="R146">_xlfn.XLOOKUP($A146,ACT[[№]:[№]],ACT[TRUCKING CHARGE],"",0,1)</f>
        <v/>
      </c>
      <c r="S146" s="40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40" t="str" cm="1">
        <f t="array" ref="T146">_xlfn.XLOOKUP($A146,ACT[[№]:[№]],ACT[Special Wooden Shoring / Специальное деревянное крепление],"",0,1)</f>
        <v/>
      </c>
      <c r="U146" s="9"/>
      <c r="V146" s="40" t="str" cm="1">
        <f t="array" ref="V146">_xlfn.XLOOKUP($A146,ACT[[№]:[№]],ACT[Total amount/ Общая стоимость KRW (10+11+12+13+14+15+16)],"",0,1)</f>
        <v/>
      </c>
      <c r="W146" s="40" t="str" cm="1">
        <f t="array" ref="W146">_xlfn.XLOOKUP($A146,ACT[[№]:[№]],ACT[Total amount/ Общая стоимость (17*exchange rate/ обменный курс)
 USD],"",0,1)</f>
        <v/>
      </c>
      <c r="X146" s="9" cm="1">
        <f t="array" ref="X1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6" s="12">
        <f>VLOOKUP(Шаблон_Формулы[[#This Row],[24]],Курс_840[[Дата]:[Курс]],2,0)</f>
        <v>11370.11</v>
      </c>
      <c r="Z146" s="42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7" t="str" cm="1">
        <f t="array" ref="E147">_xlfn.XLOOKUP($A147,ACT[[№]:[№]],ACT[Date of Dispatch/ 
Дата отгрузки],"",0,1)</f>
        <v/>
      </c>
      <c r="F147" s="38" t="str" cm="1">
        <f t="array" ref="F147">_xlfn.XLOOKUP($A147,ACT[[№]:[№]],ACT[Supplier/ Поставщик],"",0,1)</f>
        <v/>
      </c>
      <c r="G147" s="38" t="str" cm="1">
        <f t="array" ref="G147">_xlfn.XLOOKUP($A147,ACT[[№]:[№]],ACT[Supplier Invoice No/                          № Инвойса Поставщика],"",0,1)</f>
        <v/>
      </c>
      <c r="H147" s="39" t="str" cm="1">
        <f t="array" ref="H147">_xlfn.XLOOKUP($A147,ACT[[№]:[№]],ACT[CBM],"",0,1)</f>
        <v/>
      </c>
      <c r="I147" s="39" t="str" cm="1">
        <f t="array" ref="I147">_xlfn.XLOOKUP($A147,ACT[[№]:[№]],ACT[Gross weight, kg/ Вес брутто, кг],"",0,1)</f>
        <v/>
      </c>
      <c r="J147" s="39" t="str" cm="1">
        <f t="array" ref="J147">_xlfn.XLOOKUP($A147,ACT[[№]:[№]],ACT[Delivery terms / Условия поставки],"",0,1)</f>
        <v/>
      </c>
      <c r="K147" s="39" t="str" cm="1">
        <f t="array" ref="K147">_xlfn.XLOOKUP($A147,ACT[[№]:[№]],ACT[Container total CBM],"",0,1)</f>
        <v/>
      </c>
      <c r="L147" s="40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40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40" t="str" cm="1">
        <f t="array" ref="N147">_xlfn.XLOOKUP($A147,ACT[[№]:[№]],ACT[Shoring, Banding, Sealing, Handling/ Крепление, Перевязка, Опечатование, Обработка
KRW],"",0,1)</f>
        <v/>
      </c>
      <c r="O147" s="40" t="str" cm="1">
        <f t="array" ref="O147">_xlfn.XLOOKUP($A147,ACT[[№]:[№]],ACT[Documents Work/ Сбор за подготовку документов
KRW],"",0,1)</f>
        <v/>
      </c>
      <c r="P147" s="40" t="str" cm="1">
        <f t="array" ref="P147">_xlfn.XLOOKUP($A147,ACT[[№]:[№]],ACT[THC/ Терминальная обработка
KRW],"",0,1)</f>
        <v/>
      </c>
      <c r="Q147" s="40" t="str" cm="1">
        <f t="array" ref="Q147">_xlfn.XLOOKUP($A147,ACT[[№]:[№]],ACT[Wharfage/ Портовая пошлина
KRW],"",0,1)</f>
        <v/>
      </c>
      <c r="R147" s="40" t="str" cm="1">
        <f t="array" ref="R147">_xlfn.XLOOKUP($A147,ACT[[№]:[№]],ACT[TRUCKING CHARGE],"",0,1)</f>
        <v/>
      </c>
      <c r="S147" s="40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40" t="str" cm="1">
        <f t="array" ref="T147">_xlfn.XLOOKUP($A147,ACT[[№]:[№]],ACT[Special Wooden Shoring / Специальное деревянное крепление],"",0,1)</f>
        <v/>
      </c>
      <c r="U147" s="9"/>
      <c r="V147" s="40" t="str" cm="1">
        <f t="array" ref="V147">_xlfn.XLOOKUP($A147,ACT[[№]:[№]],ACT[Total amount/ Общая стоимость KRW (10+11+12+13+14+15+16)],"",0,1)</f>
        <v/>
      </c>
      <c r="W147" s="40" t="str" cm="1">
        <f t="array" ref="W147">_xlfn.XLOOKUP($A147,ACT[[№]:[№]],ACT[Total amount/ Общая стоимость (17*exchange rate/ обменный курс)
 USD],"",0,1)</f>
        <v/>
      </c>
      <c r="X147" s="9" cm="1">
        <f t="array" ref="X1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7" s="12">
        <f>VLOOKUP(Шаблон_Формулы[[#This Row],[24]],Курс_840[[Дата]:[Курс]],2,0)</f>
        <v>11370.11</v>
      </c>
      <c r="Z147" s="42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7" t="str" cm="1">
        <f t="array" ref="E148">_xlfn.XLOOKUP($A148,ACT[[№]:[№]],ACT[Date of Dispatch/ 
Дата отгрузки],"",0,1)</f>
        <v/>
      </c>
      <c r="F148" s="38" t="str" cm="1">
        <f t="array" ref="F148">_xlfn.XLOOKUP($A148,ACT[[№]:[№]],ACT[Supplier/ Поставщик],"",0,1)</f>
        <v/>
      </c>
      <c r="G148" s="38" t="str" cm="1">
        <f t="array" ref="G148">_xlfn.XLOOKUP($A148,ACT[[№]:[№]],ACT[Supplier Invoice No/                          № Инвойса Поставщика],"",0,1)</f>
        <v/>
      </c>
      <c r="H148" s="39" t="str" cm="1">
        <f t="array" ref="H148">_xlfn.XLOOKUP($A148,ACT[[№]:[№]],ACT[CBM],"",0,1)</f>
        <v/>
      </c>
      <c r="I148" s="39" t="str" cm="1">
        <f t="array" ref="I148">_xlfn.XLOOKUP($A148,ACT[[№]:[№]],ACT[Gross weight, kg/ Вес брутто, кг],"",0,1)</f>
        <v/>
      </c>
      <c r="J148" s="39" t="str" cm="1">
        <f t="array" ref="J148">_xlfn.XLOOKUP($A148,ACT[[№]:[№]],ACT[Delivery terms / Условия поставки],"",0,1)</f>
        <v/>
      </c>
      <c r="K148" s="39" t="str" cm="1">
        <f t="array" ref="K148">_xlfn.XLOOKUP($A148,ACT[[№]:[№]],ACT[Container total CBM],"",0,1)</f>
        <v/>
      </c>
      <c r="L148" s="40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40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40" t="str" cm="1">
        <f t="array" ref="N148">_xlfn.XLOOKUP($A148,ACT[[№]:[№]],ACT[Shoring, Banding, Sealing, Handling/ Крепление, Перевязка, Опечатование, Обработка
KRW],"",0,1)</f>
        <v/>
      </c>
      <c r="O148" s="40" t="str" cm="1">
        <f t="array" ref="O148">_xlfn.XLOOKUP($A148,ACT[[№]:[№]],ACT[Documents Work/ Сбор за подготовку документов
KRW],"",0,1)</f>
        <v/>
      </c>
      <c r="P148" s="40" t="str" cm="1">
        <f t="array" ref="P148">_xlfn.XLOOKUP($A148,ACT[[№]:[№]],ACT[THC/ Терминальная обработка
KRW],"",0,1)</f>
        <v/>
      </c>
      <c r="Q148" s="40" t="str" cm="1">
        <f t="array" ref="Q148">_xlfn.XLOOKUP($A148,ACT[[№]:[№]],ACT[Wharfage/ Портовая пошлина
KRW],"",0,1)</f>
        <v/>
      </c>
      <c r="R148" s="40" t="str" cm="1">
        <f t="array" ref="R148">_xlfn.XLOOKUP($A148,ACT[[№]:[№]],ACT[TRUCKING CHARGE],"",0,1)</f>
        <v/>
      </c>
      <c r="S148" s="40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40" t="str" cm="1">
        <f t="array" ref="T148">_xlfn.XLOOKUP($A148,ACT[[№]:[№]],ACT[Special Wooden Shoring / Специальное деревянное крепление],"",0,1)</f>
        <v/>
      </c>
      <c r="U148" s="9"/>
      <c r="V148" s="40" t="str" cm="1">
        <f t="array" ref="V148">_xlfn.XLOOKUP($A148,ACT[[№]:[№]],ACT[Total amount/ Общая стоимость KRW (10+11+12+13+14+15+16)],"",0,1)</f>
        <v/>
      </c>
      <c r="W148" s="40" t="str" cm="1">
        <f t="array" ref="W148">_xlfn.XLOOKUP($A148,ACT[[№]:[№]],ACT[Total amount/ Общая стоимость (17*exchange rate/ обменный курс)
 USD],"",0,1)</f>
        <v/>
      </c>
      <c r="X148" s="9" cm="1">
        <f t="array" ref="X1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8" s="12">
        <f>VLOOKUP(Шаблон_Формулы[[#This Row],[24]],Курс_840[[Дата]:[Курс]],2,0)</f>
        <v>11370.11</v>
      </c>
      <c r="Z148" s="42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7" t="str" cm="1">
        <f t="array" ref="E149">_xlfn.XLOOKUP($A149,ACT[[№]:[№]],ACT[Date of Dispatch/ 
Дата отгрузки],"",0,1)</f>
        <v/>
      </c>
      <c r="F149" s="38" t="str" cm="1">
        <f t="array" ref="F149">_xlfn.XLOOKUP($A149,ACT[[№]:[№]],ACT[Supplier/ Поставщик],"",0,1)</f>
        <v/>
      </c>
      <c r="G149" s="38" t="str" cm="1">
        <f t="array" ref="G149">_xlfn.XLOOKUP($A149,ACT[[№]:[№]],ACT[Supplier Invoice No/                          № Инвойса Поставщика],"",0,1)</f>
        <v/>
      </c>
      <c r="H149" s="39" t="str" cm="1">
        <f t="array" ref="H149">_xlfn.XLOOKUP($A149,ACT[[№]:[№]],ACT[CBM],"",0,1)</f>
        <v/>
      </c>
      <c r="I149" s="39" t="str" cm="1">
        <f t="array" ref="I149">_xlfn.XLOOKUP($A149,ACT[[№]:[№]],ACT[Gross weight, kg/ Вес брутто, кг],"",0,1)</f>
        <v/>
      </c>
      <c r="J149" s="39" t="str" cm="1">
        <f t="array" ref="J149">_xlfn.XLOOKUP($A149,ACT[[№]:[№]],ACT[Delivery terms / Условия поставки],"",0,1)</f>
        <v/>
      </c>
      <c r="K149" s="39" t="str" cm="1">
        <f t="array" ref="K149">_xlfn.XLOOKUP($A149,ACT[[№]:[№]],ACT[Container total CBM],"",0,1)</f>
        <v/>
      </c>
      <c r="L149" s="40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40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40" t="str" cm="1">
        <f t="array" ref="N149">_xlfn.XLOOKUP($A149,ACT[[№]:[№]],ACT[Shoring, Banding, Sealing, Handling/ Крепление, Перевязка, Опечатование, Обработка
KRW],"",0,1)</f>
        <v/>
      </c>
      <c r="O149" s="40" t="str" cm="1">
        <f t="array" ref="O149">_xlfn.XLOOKUP($A149,ACT[[№]:[№]],ACT[Documents Work/ Сбор за подготовку документов
KRW],"",0,1)</f>
        <v/>
      </c>
      <c r="P149" s="40" t="str" cm="1">
        <f t="array" ref="P149">_xlfn.XLOOKUP($A149,ACT[[№]:[№]],ACT[THC/ Терминальная обработка
KRW],"",0,1)</f>
        <v/>
      </c>
      <c r="Q149" s="40" t="str" cm="1">
        <f t="array" ref="Q149">_xlfn.XLOOKUP($A149,ACT[[№]:[№]],ACT[Wharfage/ Портовая пошлина
KRW],"",0,1)</f>
        <v/>
      </c>
      <c r="R149" s="40" t="str" cm="1">
        <f t="array" ref="R149">_xlfn.XLOOKUP($A149,ACT[[№]:[№]],ACT[TRUCKING CHARGE],"",0,1)</f>
        <v/>
      </c>
      <c r="S149" s="40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40" t="str" cm="1">
        <f t="array" ref="T149">_xlfn.XLOOKUP($A149,ACT[[№]:[№]],ACT[Special Wooden Shoring / Специальное деревянное крепление],"",0,1)</f>
        <v/>
      </c>
      <c r="U149" s="9"/>
      <c r="V149" s="40" t="str" cm="1">
        <f t="array" ref="V149">_xlfn.XLOOKUP($A149,ACT[[№]:[№]],ACT[Total amount/ Общая стоимость KRW (10+11+12+13+14+15+16)],"",0,1)</f>
        <v/>
      </c>
      <c r="W149" s="40" t="str" cm="1">
        <f t="array" ref="W149">_xlfn.XLOOKUP($A149,ACT[[№]:[№]],ACT[Total amount/ Общая стоимость (17*exchange rate/ обменный курс)
 USD],"",0,1)</f>
        <v/>
      </c>
      <c r="X149" s="9" cm="1">
        <f t="array" ref="X1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9" s="12">
        <f>VLOOKUP(Шаблон_Формулы[[#This Row],[24]],Курс_840[[Дата]:[Курс]],2,0)</f>
        <v>11370.11</v>
      </c>
      <c r="Z149" s="42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7" t="str" cm="1">
        <f t="array" ref="E150">_xlfn.XLOOKUP($A150,ACT[[№]:[№]],ACT[Date of Dispatch/ 
Дата отгрузки],"",0,1)</f>
        <v/>
      </c>
      <c r="F150" s="38" t="str" cm="1">
        <f t="array" ref="F150">_xlfn.XLOOKUP($A150,ACT[[№]:[№]],ACT[Supplier/ Поставщик],"",0,1)</f>
        <v/>
      </c>
      <c r="G150" s="38" t="str" cm="1">
        <f t="array" ref="G150">_xlfn.XLOOKUP($A150,ACT[[№]:[№]],ACT[Supplier Invoice No/                          № Инвойса Поставщика],"",0,1)</f>
        <v/>
      </c>
      <c r="H150" s="39" t="str" cm="1">
        <f t="array" ref="H150">_xlfn.XLOOKUP($A150,ACT[[№]:[№]],ACT[CBM],"",0,1)</f>
        <v/>
      </c>
      <c r="I150" s="39" t="str" cm="1">
        <f t="array" ref="I150">_xlfn.XLOOKUP($A150,ACT[[№]:[№]],ACT[Gross weight, kg/ Вес брутто, кг],"",0,1)</f>
        <v/>
      </c>
      <c r="J150" s="39" t="str" cm="1">
        <f t="array" ref="J150">_xlfn.XLOOKUP($A150,ACT[[№]:[№]],ACT[Delivery terms / Условия поставки],"",0,1)</f>
        <v/>
      </c>
      <c r="K150" s="39" t="str" cm="1">
        <f t="array" ref="K150">_xlfn.XLOOKUP($A150,ACT[[№]:[№]],ACT[Container total CBM],"",0,1)</f>
        <v/>
      </c>
      <c r="L150" s="40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40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40" t="str" cm="1">
        <f t="array" ref="N150">_xlfn.XLOOKUP($A150,ACT[[№]:[№]],ACT[Shoring, Banding, Sealing, Handling/ Крепление, Перевязка, Опечатование, Обработка
KRW],"",0,1)</f>
        <v/>
      </c>
      <c r="O150" s="40" t="str" cm="1">
        <f t="array" ref="O150">_xlfn.XLOOKUP($A150,ACT[[№]:[№]],ACT[Documents Work/ Сбор за подготовку документов
KRW],"",0,1)</f>
        <v/>
      </c>
      <c r="P150" s="40" t="str" cm="1">
        <f t="array" ref="P150">_xlfn.XLOOKUP($A150,ACT[[№]:[№]],ACT[THC/ Терминальная обработка
KRW],"",0,1)</f>
        <v/>
      </c>
      <c r="Q150" s="40" t="str" cm="1">
        <f t="array" ref="Q150">_xlfn.XLOOKUP($A150,ACT[[№]:[№]],ACT[Wharfage/ Портовая пошлина
KRW],"",0,1)</f>
        <v/>
      </c>
      <c r="R150" s="40" t="str" cm="1">
        <f t="array" ref="R150">_xlfn.XLOOKUP($A150,ACT[[№]:[№]],ACT[TRUCKING CHARGE],"",0,1)</f>
        <v/>
      </c>
      <c r="S150" s="40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40" t="str" cm="1">
        <f t="array" ref="T150">_xlfn.XLOOKUP($A150,ACT[[№]:[№]],ACT[Special Wooden Shoring / Специальное деревянное крепление],"",0,1)</f>
        <v/>
      </c>
      <c r="U150" s="9"/>
      <c r="V150" s="40" t="str" cm="1">
        <f t="array" ref="V150">_xlfn.XLOOKUP($A150,ACT[[№]:[№]],ACT[Total amount/ Общая стоимость KRW (10+11+12+13+14+15+16)],"",0,1)</f>
        <v/>
      </c>
      <c r="W150" s="40" t="str" cm="1">
        <f t="array" ref="W150">_xlfn.XLOOKUP($A150,ACT[[№]:[№]],ACT[Total amount/ Общая стоимость (17*exchange rate/ обменный курс)
 USD],"",0,1)</f>
        <v/>
      </c>
      <c r="X150" s="9" cm="1">
        <f t="array" ref="X1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0" s="12">
        <f>VLOOKUP(Шаблон_Формулы[[#This Row],[24]],Курс_840[[Дата]:[Курс]],2,0)</f>
        <v>11370.11</v>
      </c>
      <c r="Z150" s="42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7" t="str" cm="1">
        <f t="array" ref="E151">_xlfn.XLOOKUP($A151,ACT[[№]:[№]],ACT[Date of Dispatch/ 
Дата отгрузки],"",0,1)</f>
        <v/>
      </c>
      <c r="F151" s="38" t="str" cm="1">
        <f t="array" ref="F151">_xlfn.XLOOKUP($A151,ACT[[№]:[№]],ACT[Supplier/ Поставщик],"",0,1)</f>
        <v/>
      </c>
      <c r="G151" s="38" t="str" cm="1">
        <f t="array" ref="G151">_xlfn.XLOOKUP($A151,ACT[[№]:[№]],ACT[Supplier Invoice No/                          № Инвойса Поставщика],"",0,1)</f>
        <v/>
      </c>
      <c r="H151" s="39" t="str" cm="1">
        <f t="array" ref="H151">_xlfn.XLOOKUP($A151,ACT[[№]:[№]],ACT[CBM],"",0,1)</f>
        <v/>
      </c>
      <c r="I151" s="39" t="str" cm="1">
        <f t="array" ref="I151">_xlfn.XLOOKUP($A151,ACT[[№]:[№]],ACT[Gross weight, kg/ Вес брутто, кг],"",0,1)</f>
        <v/>
      </c>
      <c r="J151" s="39" t="str" cm="1">
        <f t="array" ref="J151">_xlfn.XLOOKUP($A151,ACT[[№]:[№]],ACT[Delivery terms / Условия поставки],"",0,1)</f>
        <v/>
      </c>
      <c r="K151" s="39" t="str" cm="1">
        <f t="array" ref="K151">_xlfn.XLOOKUP($A151,ACT[[№]:[№]],ACT[Container total CBM],"",0,1)</f>
        <v/>
      </c>
      <c r="L151" s="40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40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40" t="str" cm="1">
        <f t="array" ref="N151">_xlfn.XLOOKUP($A151,ACT[[№]:[№]],ACT[Shoring, Banding, Sealing, Handling/ Крепление, Перевязка, Опечатование, Обработка
KRW],"",0,1)</f>
        <v/>
      </c>
      <c r="O151" s="40" t="str" cm="1">
        <f t="array" ref="O151">_xlfn.XLOOKUP($A151,ACT[[№]:[№]],ACT[Documents Work/ Сбор за подготовку документов
KRW],"",0,1)</f>
        <v/>
      </c>
      <c r="P151" s="40" t="str" cm="1">
        <f t="array" ref="P151">_xlfn.XLOOKUP($A151,ACT[[№]:[№]],ACT[THC/ Терминальная обработка
KRW],"",0,1)</f>
        <v/>
      </c>
      <c r="Q151" s="40" t="str" cm="1">
        <f t="array" ref="Q151">_xlfn.XLOOKUP($A151,ACT[[№]:[№]],ACT[Wharfage/ Портовая пошлина
KRW],"",0,1)</f>
        <v/>
      </c>
      <c r="R151" s="40" t="str" cm="1">
        <f t="array" ref="R151">_xlfn.XLOOKUP($A151,ACT[[№]:[№]],ACT[TRUCKING CHARGE],"",0,1)</f>
        <v/>
      </c>
      <c r="S151" s="40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40" t="str" cm="1">
        <f t="array" ref="T151">_xlfn.XLOOKUP($A151,ACT[[№]:[№]],ACT[Special Wooden Shoring / Специальное деревянное крепление],"",0,1)</f>
        <v/>
      </c>
      <c r="U151" s="9"/>
      <c r="V151" s="40" t="str" cm="1">
        <f t="array" ref="V151">_xlfn.XLOOKUP($A151,ACT[[№]:[№]],ACT[Total amount/ Общая стоимость KRW (10+11+12+13+14+15+16)],"",0,1)</f>
        <v/>
      </c>
      <c r="W151" s="40" t="str" cm="1">
        <f t="array" ref="W151">_xlfn.XLOOKUP($A151,ACT[[№]:[№]],ACT[Total amount/ Общая стоимость (17*exchange rate/ обменный курс)
 USD],"",0,1)</f>
        <v/>
      </c>
      <c r="X151" s="9" cm="1">
        <f t="array" ref="X1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1" s="12">
        <f>VLOOKUP(Шаблон_Формулы[[#This Row],[24]],Курс_840[[Дата]:[Курс]],2,0)</f>
        <v>11370.11</v>
      </c>
      <c r="Z151" s="42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7" t="str" cm="1">
        <f t="array" ref="E152">_xlfn.XLOOKUP($A152,ACT[[№]:[№]],ACT[Date of Dispatch/ 
Дата отгрузки],"",0,1)</f>
        <v/>
      </c>
      <c r="F152" s="38" t="str" cm="1">
        <f t="array" ref="F152">_xlfn.XLOOKUP($A152,ACT[[№]:[№]],ACT[Supplier/ Поставщик],"",0,1)</f>
        <v/>
      </c>
      <c r="G152" s="38" t="str" cm="1">
        <f t="array" ref="G152">_xlfn.XLOOKUP($A152,ACT[[№]:[№]],ACT[Supplier Invoice No/                          № Инвойса Поставщика],"",0,1)</f>
        <v/>
      </c>
      <c r="H152" s="39" t="str" cm="1">
        <f t="array" ref="H152">_xlfn.XLOOKUP($A152,ACT[[№]:[№]],ACT[CBM],"",0,1)</f>
        <v/>
      </c>
      <c r="I152" s="39" t="str" cm="1">
        <f t="array" ref="I152">_xlfn.XLOOKUP($A152,ACT[[№]:[№]],ACT[Gross weight, kg/ Вес брутто, кг],"",0,1)</f>
        <v/>
      </c>
      <c r="J152" s="39" t="str" cm="1">
        <f t="array" ref="J152">_xlfn.XLOOKUP($A152,ACT[[№]:[№]],ACT[Delivery terms / Условия поставки],"",0,1)</f>
        <v/>
      </c>
      <c r="K152" s="39" t="str" cm="1">
        <f t="array" ref="K152">_xlfn.XLOOKUP($A152,ACT[[№]:[№]],ACT[Container total CBM],"",0,1)</f>
        <v/>
      </c>
      <c r="L152" s="40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40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40" t="str" cm="1">
        <f t="array" ref="N152">_xlfn.XLOOKUP($A152,ACT[[№]:[№]],ACT[Shoring, Banding, Sealing, Handling/ Крепление, Перевязка, Опечатование, Обработка
KRW],"",0,1)</f>
        <v/>
      </c>
      <c r="O152" s="40" t="str" cm="1">
        <f t="array" ref="O152">_xlfn.XLOOKUP($A152,ACT[[№]:[№]],ACT[Documents Work/ Сбор за подготовку документов
KRW],"",0,1)</f>
        <v/>
      </c>
      <c r="P152" s="40" t="str" cm="1">
        <f t="array" ref="P152">_xlfn.XLOOKUP($A152,ACT[[№]:[№]],ACT[THC/ Терминальная обработка
KRW],"",0,1)</f>
        <v/>
      </c>
      <c r="Q152" s="40" t="str" cm="1">
        <f t="array" ref="Q152">_xlfn.XLOOKUP($A152,ACT[[№]:[№]],ACT[Wharfage/ Портовая пошлина
KRW],"",0,1)</f>
        <v/>
      </c>
      <c r="R152" s="40" t="str" cm="1">
        <f t="array" ref="R152">_xlfn.XLOOKUP($A152,ACT[[№]:[№]],ACT[TRUCKING CHARGE],"",0,1)</f>
        <v/>
      </c>
      <c r="S152" s="40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40" t="str" cm="1">
        <f t="array" ref="T152">_xlfn.XLOOKUP($A152,ACT[[№]:[№]],ACT[Special Wooden Shoring / Специальное деревянное крепление],"",0,1)</f>
        <v/>
      </c>
      <c r="U152" s="9"/>
      <c r="V152" s="40" t="str" cm="1">
        <f t="array" ref="V152">_xlfn.XLOOKUP($A152,ACT[[№]:[№]],ACT[Total amount/ Общая стоимость KRW (10+11+12+13+14+15+16)],"",0,1)</f>
        <v/>
      </c>
      <c r="W152" s="40" t="str" cm="1">
        <f t="array" ref="W152">_xlfn.XLOOKUP($A152,ACT[[№]:[№]],ACT[Total amount/ Общая стоимость (17*exchange rate/ обменный курс)
 USD],"",0,1)</f>
        <v/>
      </c>
      <c r="X152" s="9" cm="1">
        <f t="array" ref="X1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2" s="12">
        <f>VLOOKUP(Шаблон_Формулы[[#This Row],[24]],Курс_840[[Дата]:[Курс]],2,0)</f>
        <v>11370.11</v>
      </c>
      <c r="Z152" s="42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7" t="str" cm="1">
        <f t="array" ref="E153">_xlfn.XLOOKUP($A153,ACT[[№]:[№]],ACT[Date of Dispatch/ 
Дата отгрузки],"",0,1)</f>
        <v/>
      </c>
      <c r="F153" s="38" t="str" cm="1">
        <f t="array" ref="F153">_xlfn.XLOOKUP($A153,ACT[[№]:[№]],ACT[Supplier/ Поставщик],"",0,1)</f>
        <v/>
      </c>
      <c r="G153" s="38" t="str" cm="1">
        <f t="array" ref="G153">_xlfn.XLOOKUP($A153,ACT[[№]:[№]],ACT[Supplier Invoice No/                          № Инвойса Поставщика],"",0,1)</f>
        <v/>
      </c>
      <c r="H153" s="39" t="str" cm="1">
        <f t="array" ref="H153">_xlfn.XLOOKUP($A153,ACT[[№]:[№]],ACT[CBM],"",0,1)</f>
        <v/>
      </c>
      <c r="I153" s="39" t="str" cm="1">
        <f t="array" ref="I153">_xlfn.XLOOKUP($A153,ACT[[№]:[№]],ACT[Gross weight, kg/ Вес брутто, кг],"",0,1)</f>
        <v/>
      </c>
      <c r="J153" s="39" t="str" cm="1">
        <f t="array" ref="J153">_xlfn.XLOOKUP($A153,ACT[[№]:[№]],ACT[Delivery terms / Условия поставки],"",0,1)</f>
        <v/>
      </c>
      <c r="K153" s="39" t="str" cm="1">
        <f t="array" ref="K153">_xlfn.XLOOKUP($A153,ACT[[№]:[№]],ACT[Container total CBM],"",0,1)</f>
        <v/>
      </c>
      <c r="L153" s="40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40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40" t="str" cm="1">
        <f t="array" ref="N153">_xlfn.XLOOKUP($A153,ACT[[№]:[№]],ACT[Shoring, Banding, Sealing, Handling/ Крепление, Перевязка, Опечатование, Обработка
KRW],"",0,1)</f>
        <v/>
      </c>
      <c r="O153" s="40" t="str" cm="1">
        <f t="array" ref="O153">_xlfn.XLOOKUP($A153,ACT[[№]:[№]],ACT[Documents Work/ Сбор за подготовку документов
KRW],"",0,1)</f>
        <v/>
      </c>
      <c r="P153" s="40" t="str" cm="1">
        <f t="array" ref="P153">_xlfn.XLOOKUP($A153,ACT[[№]:[№]],ACT[THC/ Терминальная обработка
KRW],"",0,1)</f>
        <v/>
      </c>
      <c r="Q153" s="40" t="str" cm="1">
        <f t="array" ref="Q153">_xlfn.XLOOKUP($A153,ACT[[№]:[№]],ACT[Wharfage/ Портовая пошлина
KRW],"",0,1)</f>
        <v/>
      </c>
      <c r="R153" s="40" t="str" cm="1">
        <f t="array" ref="R153">_xlfn.XLOOKUP($A153,ACT[[№]:[№]],ACT[TRUCKING CHARGE],"",0,1)</f>
        <v/>
      </c>
      <c r="S153" s="40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40" t="str" cm="1">
        <f t="array" ref="T153">_xlfn.XLOOKUP($A153,ACT[[№]:[№]],ACT[Special Wooden Shoring / Специальное деревянное крепление],"",0,1)</f>
        <v/>
      </c>
      <c r="U153" s="9"/>
      <c r="V153" s="40" t="str" cm="1">
        <f t="array" ref="V153">_xlfn.XLOOKUP($A153,ACT[[№]:[№]],ACT[Total amount/ Общая стоимость KRW (10+11+12+13+14+15+16)],"",0,1)</f>
        <v/>
      </c>
      <c r="W153" s="40" t="str" cm="1">
        <f t="array" ref="W153">_xlfn.XLOOKUP($A153,ACT[[№]:[№]],ACT[Total amount/ Общая стоимость (17*exchange rate/ обменный курс)
 USD],"",0,1)</f>
        <v/>
      </c>
      <c r="X153" s="9" cm="1">
        <f t="array" ref="X1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3" s="12">
        <f>VLOOKUP(Шаблон_Формулы[[#This Row],[24]],Курс_840[[Дата]:[Курс]],2,0)</f>
        <v>11370.11</v>
      </c>
      <c r="Z153" s="42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7" t="str" cm="1">
        <f t="array" ref="E154">_xlfn.XLOOKUP($A154,ACT[[№]:[№]],ACT[Date of Dispatch/ 
Дата отгрузки],"",0,1)</f>
        <v/>
      </c>
      <c r="F154" s="38" t="str" cm="1">
        <f t="array" ref="F154">_xlfn.XLOOKUP($A154,ACT[[№]:[№]],ACT[Supplier/ Поставщик],"",0,1)</f>
        <v/>
      </c>
      <c r="G154" s="38" t="str" cm="1">
        <f t="array" ref="G154">_xlfn.XLOOKUP($A154,ACT[[№]:[№]],ACT[Supplier Invoice No/                          № Инвойса Поставщика],"",0,1)</f>
        <v/>
      </c>
      <c r="H154" s="39" t="str" cm="1">
        <f t="array" ref="H154">_xlfn.XLOOKUP($A154,ACT[[№]:[№]],ACT[CBM],"",0,1)</f>
        <v/>
      </c>
      <c r="I154" s="39" t="str" cm="1">
        <f t="array" ref="I154">_xlfn.XLOOKUP($A154,ACT[[№]:[№]],ACT[Gross weight, kg/ Вес брутто, кг],"",0,1)</f>
        <v/>
      </c>
      <c r="J154" s="39" t="str" cm="1">
        <f t="array" ref="J154">_xlfn.XLOOKUP($A154,ACT[[№]:[№]],ACT[Delivery terms / Условия поставки],"",0,1)</f>
        <v/>
      </c>
      <c r="K154" s="39" t="str" cm="1">
        <f t="array" ref="K154">_xlfn.XLOOKUP($A154,ACT[[№]:[№]],ACT[Container total CBM],"",0,1)</f>
        <v/>
      </c>
      <c r="L154" s="40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40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40" t="str" cm="1">
        <f t="array" ref="N154">_xlfn.XLOOKUP($A154,ACT[[№]:[№]],ACT[Shoring, Banding, Sealing, Handling/ Крепление, Перевязка, Опечатование, Обработка
KRW],"",0,1)</f>
        <v/>
      </c>
      <c r="O154" s="40" t="str" cm="1">
        <f t="array" ref="O154">_xlfn.XLOOKUP($A154,ACT[[№]:[№]],ACT[Documents Work/ Сбор за подготовку документов
KRW],"",0,1)</f>
        <v/>
      </c>
      <c r="P154" s="40" t="str" cm="1">
        <f t="array" ref="P154">_xlfn.XLOOKUP($A154,ACT[[№]:[№]],ACT[THC/ Терминальная обработка
KRW],"",0,1)</f>
        <v/>
      </c>
      <c r="Q154" s="40" t="str" cm="1">
        <f t="array" ref="Q154">_xlfn.XLOOKUP($A154,ACT[[№]:[№]],ACT[Wharfage/ Портовая пошлина
KRW],"",0,1)</f>
        <v/>
      </c>
      <c r="R154" s="40" t="str" cm="1">
        <f t="array" ref="R154">_xlfn.XLOOKUP($A154,ACT[[№]:[№]],ACT[TRUCKING CHARGE],"",0,1)</f>
        <v/>
      </c>
      <c r="S154" s="40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40" t="str" cm="1">
        <f t="array" ref="T154">_xlfn.XLOOKUP($A154,ACT[[№]:[№]],ACT[Special Wooden Shoring / Специальное деревянное крепление],"",0,1)</f>
        <v/>
      </c>
      <c r="U154" s="9"/>
      <c r="V154" s="40" t="str" cm="1">
        <f t="array" ref="V154">_xlfn.XLOOKUP($A154,ACT[[№]:[№]],ACT[Total amount/ Общая стоимость KRW (10+11+12+13+14+15+16)],"",0,1)</f>
        <v/>
      </c>
      <c r="W154" s="40" t="str" cm="1">
        <f t="array" ref="W154">_xlfn.XLOOKUP($A154,ACT[[№]:[№]],ACT[Total amount/ Общая стоимость (17*exchange rate/ обменный курс)
 USD],"",0,1)</f>
        <v/>
      </c>
      <c r="X154" s="9" cm="1">
        <f t="array" ref="X1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4" s="12">
        <f>VLOOKUP(Шаблон_Формулы[[#This Row],[24]],Курс_840[[Дата]:[Курс]],2,0)</f>
        <v>11370.11</v>
      </c>
      <c r="Z154" s="42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Лист1</vt:lpstr>
      <vt:lpstr>ACT gm</vt:lpstr>
      <vt:lpstr>Appendix</vt:lpstr>
      <vt:lpstr>Путь</vt:lpstr>
      <vt:lpstr>Курс</vt:lpstr>
      <vt:lpstr>ACT</vt:lpstr>
      <vt:lpstr>Шаблон_Формулы</vt:lpstr>
      <vt:lpstr>Лист2</vt:lpstr>
      <vt:lpstr>Rate</vt:lpstr>
      <vt:lpstr>SRC</vt:lpstr>
      <vt:lpstr>'ACT gm'!Заголовки_для_печати</vt:lpstr>
      <vt:lpstr>Appendix!Заголовки_для_печати</vt:lpstr>
      <vt:lpstr>'ACT gm'!Область_печати</vt:lpstr>
      <vt:lpstr>Appendix!Область_печати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2023-10-23T12:36:33Z</dcterms:modified>
</cp:coreProperties>
</file>