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z.radjabmukhamedov\Desktop\"/>
    </mc:Choice>
  </mc:AlternateContent>
  <xr:revisionPtr revIDLastSave="0" documentId="13_ncr:1_{7387176B-476F-4FCA-A33A-A6FF8FF13051}" xr6:coauthVersionLast="47" xr6:coauthVersionMax="47" xr10:uidLastSave="{00000000-0000-0000-0000-000000000000}"/>
  <bookViews>
    <workbookView xWindow="-108" yWindow="-108" windowWidth="23256" windowHeight="12456" xr2:uid="{00000000-000D-0000-FFFF-FFFF00000000}"/>
  </bookViews>
  <sheets>
    <sheet name="Лист1" sheetId="8" r:id="rId1"/>
    <sheet name="Путь" sheetId="3" r:id="rId2"/>
    <sheet name="Centrum" sheetId="4" state="hidden" r:id="rId3"/>
    <sheet name="Курс" sheetId="7" r:id="rId4"/>
    <sheet name="Шаблон_Формулы" sheetId="5" state="hidden" r:id="rId5"/>
    <sheet name="Лист2" sheetId="2" state="hidden" r:id="rId6"/>
  </sheets>
  <definedNames>
    <definedName name="ExternalData_1" localSheetId="2" hidden="1">'Centrum'!$A$1:$V$24</definedName>
    <definedName name="ExternalData_1" localSheetId="3" hidden="1">Курс!$A$5:$D$6</definedName>
    <definedName name="ExternalData_1" localSheetId="0" hidden="1">Лист1!$A$2:$Z$6</definedName>
    <definedName name="Rate">Путь!$B$4</definedName>
    <definedName name="SRC">Путь!$B$2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 i="8" l="1"/>
  <c r="V4" i="8"/>
  <c r="U4" i="8"/>
  <c r="W6" i="8"/>
  <c r="Y6" i="8" s="1"/>
  <c r="W5" i="8"/>
  <c r="Y5" i="8" s="1"/>
  <c r="Y4" i="8" l="1"/>
  <c r="U6" i="5" a="1"/>
  <c r="U6" i="5" s="1"/>
  <c r="V6" i="5" s="1"/>
  <c r="U7" i="5" a="1"/>
  <c r="U7" i="5" s="1"/>
  <c r="V7" i="5" s="1"/>
  <c r="U8" i="5" a="1"/>
  <c r="U8" i="5" s="1"/>
  <c r="V8" i="5" s="1"/>
  <c r="U9" i="5" a="1"/>
  <c r="U9" i="5" s="1"/>
  <c r="V9" i="5" s="1"/>
  <c r="U10" i="5" a="1"/>
  <c r="U10" i="5" s="1"/>
  <c r="V10" i="5" s="1"/>
  <c r="U11" i="5" a="1"/>
  <c r="U11" i="5" s="1"/>
  <c r="V11" i="5" s="1"/>
  <c r="U12" i="5" a="1"/>
  <c r="U12" i="5" s="1"/>
  <c r="V12" i="5" s="1"/>
  <c r="U13" i="5" a="1"/>
  <c r="U13" i="5" s="1"/>
  <c r="V13" i="5" s="1"/>
  <c r="U14" i="5" a="1"/>
  <c r="U14" i="5" s="1"/>
  <c r="V14" i="5" s="1"/>
  <c r="U15" i="5" a="1"/>
  <c r="U15" i="5" s="1"/>
  <c r="V15" i="5" s="1"/>
  <c r="U16" i="5" a="1"/>
  <c r="U16" i="5" s="1"/>
  <c r="V16" i="5" s="1"/>
  <c r="U17" i="5" a="1"/>
  <c r="U17" i="5" s="1"/>
  <c r="V17" i="5" s="1"/>
  <c r="U18" i="5" a="1"/>
  <c r="U18" i="5" s="1"/>
  <c r="V18" i="5" s="1"/>
  <c r="U19" i="5" a="1"/>
  <c r="U19" i="5" s="1"/>
  <c r="V19" i="5" s="1"/>
  <c r="U20" i="5" a="1"/>
  <c r="U20" i="5" s="1"/>
  <c r="V20" i="5" s="1"/>
  <c r="U21" i="5" a="1"/>
  <c r="U21" i="5" s="1"/>
  <c r="V21" i="5" s="1"/>
  <c r="U22" i="5" a="1"/>
  <c r="U22" i="5" s="1"/>
  <c r="V22" i="5" s="1"/>
  <c r="U23" i="5" a="1"/>
  <c r="U23" i="5" s="1"/>
  <c r="V23" i="5" s="1"/>
  <c r="U24" i="5" a="1"/>
  <c r="U24" i="5" s="1"/>
  <c r="V24" i="5" s="1"/>
  <c r="U25" i="5" a="1"/>
  <c r="U25" i="5" s="1"/>
  <c r="V25" i="5" s="1"/>
  <c r="U26" i="5" a="1"/>
  <c r="U26" i="5" s="1"/>
  <c r="V26" i="5" s="1"/>
  <c r="U27" i="5" a="1"/>
  <c r="U27" i="5" s="1"/>
  <c r="V27" i="5" s="1"/>
  <c r="U28" i="5" a="1"/>
  <c r="U28" i="5" s="1"/>
  <c r="V28" i="5" s="1"/>
  <c r="U29" i="5" a="1"/>
  <c r="U29" i="5" s="1"/>
  <c r="V29" i="5" s="1"/>
  <c r="U30" i="5" a="1"/>
  <c r="U30" i="5" s="1"/>
  <c r="V30" i="5" s="1"/>
  <c r="U31" i="5" a="1"/>
  <c r="U31" i="5" s="1"/>
  <c r="V31" i="5" s="1"/>
  <c r="U32" i="5" a="1"/>
  <c r="U32" i="5" s="1"/>
  <c r="V32" i="5" s="1"/>
  <c r="U33" i="5" a="1"/>
  <c r="U33" i="5" s="1"/>
  <c r="V33" i="5" s="1"/>
  <c r="U34" i="5" a="1"/>
  <c r="U34" i="5" s="1"/>
  <c r="V34" i="5" s="1"/>
  <c r="U35" i="5" a="1"/>
  <c r="U35" i="5" s="1"/>
  <c r="V35" i="5" s="1"/>
  <c r="U36" i="5" a="1"/>
  <c r="U36" i="5" s="1"/>
  <c r="V36" i="5" s="1"/>
  <c r="U37" i="5" a="1"/>
  <c r="U37" i="5" s="1"/>
  <c r="V37" i="5" s="1"/>
  <c r="U38" i="5" a="1"/>
  <c r="U38" i="5" s="1"/>
  <c r="V38" i="5" s="1"/>
  <c r="U39" i="5" a="1"/>
  <c r="U39" i="5" s="1"/>
  <c r="V39" i="5" s="1"/>
  <c r="U40" i="5" a="1"/>
  <c r="U40" i="5" s="1"/>
  <c r="V40" i="5" s="1"/>
  <c r="U41" i="5" a="1"/>
  <c r="U41" i="5" s="1"/>
  <c r="V41" i="5" s="1"/>
  <c r="U42" i="5" a="1"/>
  <c r="U42" i="5" s="1"/>
  <c r="V42" i="5" s="1"/>
  <c r="U43" i="5" a="1"/>
  <c r="U43" i="5" s="1"/>
  <c r="V43" i="5" s="1"/>
  <c r="U44" i="5" a="1"/>
  <c r="U44" i="5" s="1"/>
  <c r="V44" i="5" s="1"/>
  <c r="U45" i="5" a="1"/>
  <c r="U45" i="5" s="1"/>
  <c r="V45" i="5" s="1"/>
  <c r="U46" i="5" a="1"/>
  <c r="U46" i="5" s="1"/>
  <c r="V46" i="5" s="1"/>
  <c r="U47" i="5" a="1"/>
  <c r="U47" i="5" s="1"/>
  <c r="V47" i="5" s="1"/>
  <c r="U48" i="5" a="1"/>
  <c r="U48" i="5" s="1"/>
  <c r="V48" i="5" s="1"/>
  <c r="U49" i="5" a="1"/>
  <c r="U49" i="5" s="1"/>
  <c r="V49" i="5" s="1"/>
  <c r="U50" i="5" a="1"/>
  <c r="U50" i="5" s="1"/>
  <c r="V50" i="5" s="1"/>
  <c r="U51" i="5" a="1"/>
  <c r="U51" i="5" s="1"/>
  <c r="V51" i="5" s="1"/>
  <c r="U52" i="5" a="1"/>
  <c r="U52" i="5" s="1"/>
  <c r="V52" i="5" s="1"/>
  <c r="U53" i="5" a="1"/>
  <c r="U53" i="5" s="1"/>
  <c r="V53" i="5" s="1"/>
  <c r="U54" i="5" a="1"/>
  <c r="U54" i="5" s="1"/>
  <c r="V54" i="5" s="1"/>
  <c r="U55" i="5" a="1"/>
  <c r="U55" i="5" s="1"/>
  <c r="V55" i="5" s="1"/>
  <c r="U56" i="5" a="1"/>
  <c r="U56" i="5" s="1"/>
  <c r="V56" i="5" s="1"/>
  <c r="U57" i="5" a="1"/>
  <c r="U57" i="5" s="1"/>
  <c r="V57" i="5" s="1"/>
  <c r="U58" i="5" a="1"/>
  <c r="U58" i="5" s="1"/>
  <c r="V58" i="5" s="1"/>
  <c r="U59" i="5" a="1"/>
  <c r="U59" i="5" s="1"/>
  <c r="V59" i="5" s="1"/>
  <c r="U60" i="5" a="1"/>
  <c r="U60" i="5" s="1"/>
  <c r="V60" i="5" s="1"/>
  <c r="U61" i="5" a="1"/>
  <c r="U61" i="5" s="1"/>
  <c r="V61" i="5" s="1"/>
  <c r="U62" i="5" a="1"/>
  <c r="U62" i="5" s="1"/>
  <c r="V62" i="5" s="1"/>
  <c r="U63" i="5" a="1"/>
  <c r="U63" i="5" s="1"/>
  <c r="V63" i="5" s="1"/>
  <c r="U64" i="5" a="1"/>
  <c r="U64" i="5" s="1"/>
  <c r="V64" i="5" s="1"/>
  <c r="U65" i="5" a="1"/>
  <c r="U65" i="5" s="1"/>
  <c r="V65" i="5" s="1"/>
  <c r="U66" i="5" a="1"/>
  <c r="U66" i="5" s="1"/>
  <c r="V66" i="5" s="1"/>
  <c r="U67" i="5" a="1"/>
  <c r="U67" i="5" s="1"/>
  <c r="V67" i="5" s="1"/>
  <c r="U68" i="5" a="1"/>
  <c r="U68" i="5" s="1"/>
  <c r="V68" i="5" s="1"/>
  <c r="U69" i="5" a="1"/>
  <c r="U69" i="5" s="1"/>
  <c r="V69" i="5" s="1"/>
  <c r="U70" i="5" a="1"/>
  <c r="U70" i="5" s="1"/>
  <c r="V70" i="5" s="1"/>
  <c r="U71" i="5" a="1"/>
  <c r="U71" i="5" s="1"/>
  <c r="V71" i="5" s="1"/>
  <c r="U72" i="5" a="1"/>
  <c r="U72" i="5" s="1"/>
  <c r="V72" i="5" s="1"/>
  <c r="U73" i="5" a="1"/>
  <c r="U73" i="5" s="1"/>
  <c r="V73" i="5" s="1"/>
  <c r="U74" i="5" a="1"/>
  <c r="U74" i="5" s="1"/>
  <c r="V74" i="5" s="1"/>
  <c r="U75" i="5" a="1"/>
  <c r="U75" i="5" s="1"/>
  <c r="V75" i="5" s="1"/>
  <c r="U76" i="5" a="1"/>
  <c r="U76" i="5" s="1"/>
  <c r="V76" i="5" s="1"/>
  <c r="U77" i="5" a="1"/>
  <c r="U77" i="5" s="1"/>
  <c r="V77" i="5" s="1"/>
  <c r="U78" i="5" a="1"/>
  <c r="U78" i="5" s="1"/>
  <c r="V78" i="5" s="1"/>
  <c r="U79" i="5" a="1"/>
  <c r="U79" i="5" s="1"/>
  <c r="V79" i="5" s="1"/>
  <c r="U80" i="5" a="1"/>
  <c r="U80" i="5" s="1"/>
  <c r="V80" i="5" s="1"/>
  <c r="U81" i="5" a="1"/>
  <c r="U81" i="5" s="1"/>
  <c r="V81" i="5" s="1"/>
  <c r="U82" i="5" a="1"/>
  <c r="U82" i="5" s="1"/>
  <c r="V82" i="5" s="1"/>
  <c r="U83" i="5" a="1"/>
  <c r="U83" i="5" s="1"/>
  <c r="V83" i="5" s="1"/>
  <c r="U84" i="5" a="1"/>
  <c r="U84" i="5" s="1"/>
  <c r="V84" i="5" s="1"/>
  <c r="U85" i="5" a="1"/>
  <c r="U85" i="5" s="1"/>
  <c r="V85" i="5" s="1"/>
  <c r="U86" i="5" a="1"/>
  <c r="U86" i="5" s="1"/>
  <c r="V86" i="5" s="1"/>
  <c r="U87" i="5" a="1"/>
  <c r="U87" i="5" s="1"/>
  <c r="V87" i="5" s="1"/>
  <c r="U88" i="5" a="1"/>
  <c r="U88" i="5" s="1"/>
  <c r="V88" i="5" s="1"/>
  <c r="U89" i="5" a="1"/>
  <c r="U89" i="5" s="1"/>
  <c r="V89" i="5" s="1"/>
  <c r="U90" i="5" a="1"/>
  <c r="U90" i="5" s="1"/>
  <c r="V90" i="5" s="1"/>
  <c r="U91" i="5" a="1"/>
  <c r="U91" i="5" s="1"/>
  <c r="V91" i="5" s="1"/>
  <c r="U92" i="5" a="1"/>
  <c r="U92" i="5" s="1"/>
  <c r="V92" i="5" s="1"/>
  <c r="U93" i="5" a="1"/>
  <c r="U93" i="5" s="1"/>
  <c r="V93" i="5" s="1"/>
  <c r="U94" i="5" a="1"/>
  <c r="U94" i="5" s="1"/>
  <c r="V94" i="5" s="1"/>
  <c r="U95" i="5" a="1"/>
  <c r="U95" i="5" s="1"/>
  <c r="V95" i="5" s="1"/>
  <c r="U96" i="5" a="1"/>
  <c r="U96" i="5" s="1"/>
  <c r="V96" i="5" s="1"/>
  <c r="U97" i="5" a="1"/>
  <c r="U97" i="5" s="1"/>
  <c r="V97" i="5" s="1"/>
  <c r="U98" i="5" a="1"/>
  <c r="U98" i="5" s="1"/>
  <c r="V98" i="5" s="1"/>
  <c r="U99" i="5" a="1"/>
  <c r="U99" i="5" s="1"/>
  <c r="V99" i="5" s="1"/>
  <c r="U100" i="5" a="1"/>
  <c r="U100" i="5" s="1"/>
  <c r="V100" i="5" s="1"/>
  <c r="U101" i="5" a="1"/>
  <c r="U101" i="5" s="1"/>
  <c r="V101" i="5" s="1"/>
  <c r="U102" i="5" a="1"/>
  <c r="U102" i="5" s="1"/>
  <c r="V102" i="5" s="1"/>
  <c r="U103" i="5" a="1"/>
  <c r="U103" i="5" s="1"/>
  <c r="V103" i="5" s="1"/>
  <c r="U104" i="5" a="1"/>
  <c r="U104" i="5" s="1"/>
  <c r="V104" i="5" s="1"/>
  <c r="U105" i="5" a="1"/>
  <c r="U105" i="5" s="1"/>
  <c r="V105" i="5" s="1"/>
  <c r="U106" i="5" a="1"/>
  <c r="U106" i="5" s="1"/>
  <c r="V106" i="5" s="1"/>
  <c r="U107" i="5" a="1"/>
  <c r="U107" i="5" s="1"/>
  <c r="V107" i="5" s="1"/>
  <c r="U108" i="5" a="1"/>
  <c r="U108" i="5" s="1"/>
  <c r="V108" i="5" s="1"/>
  <c r="U109" i="5" a="1"/>
  <c r="U109" i="5" s="1"/>
  <c r="V109" i="5" s="1"/>
  <c r="U110" i="5" a="1"/>
  <c r="U110" i="5" s="1"/>
  <c r="V110" i="5" s="1"/>
  <c r="U111" i="5" a="1"/>
  <c r="U111" i="5" s="1"/>
  <c r="V111" i="5" s="1"/>
  <c r="U112" i="5" a="1"/>
  <c r="U112" i="5" s="1"/>
  <c r="V112" i="5" s="1"/>
  <c r="U113" i="5" a="1"/>
  <c r="U113" i="5" s="1"/>
  <c r="V113" i="5" s="1"/>
  <c r="U114" i="5" a="1"/>
  <c r="U114" i="5" s="1"/>
  <c r="V114" i="5" s="1"/>
  <c r="U115" i="5" a="1"/>
  <c r="U115" i="5" s="1"/>
  <c r="V115" i="5" s="1"/>
  <c r="U116" i="5" a="1"/>
  <c r="U116" i="5" s="1"/>
  <c r="V116" i="5" s="1"/>
  <c r="U117" i="5" a="1"/>
  <c r="U117" i="5" s="1"/>
  <c r="V117" i="5" s="1"/>
  <c r="U118" i="5" a="1"/>
  <c r="U118" i="5" s="1"/>
  <c r="V118" i="5" s="1"/>
  <c r="U119" i="5" a="1"/>
  <c r="U119" i="5" s="1"/>
  <c r="V119" i="5" s="1"/>
  <c r="U120" i="5" a="1"/>
  <c r="U120" i="5" s="1"/>
  <c r="V120" i="5" s="1"/>
  <c r="U121" i="5" a="1"/>
  <c r="U121" i="5" s="1"/>
  <c r="V121" i="5" s="1"/>
  <c r="U122" i="5" a="1"/>
  <c r="U122" i="5" s="1"/>
  <c r="V122" i="5" s="1"/>
  <c r="U123" i="5" a="1"/>
  <c r="U123" i="5" s="1"/>
  <c r="V123" i="5" s="1"/>
  <c r="U124" i="5" a="1"/>
  <c r="U124" i="5" s="1"/>
  <c r="V124" i="5" s="1"/>
  <c r="U125" i="5" a="1"/>
  <c r="U125" i="5" s="1"/>
  <c r="V125" i="5" s="1"/>
  <c r="U126" i="5" a="1"/>
  <c r="U126" i="5" s="1"/>
  <c r="V126" i="5" s="1"/>
  <c r="U127" i="5" a="1"/>
  <c r="U127" i="5" s="1"/>
  <c r="V127" i="5" s="1"/>
  <c r="U128" i="5" a="1"/>
  <c r="U128" i="5" s="1"/>
  <c r="V128" i="5" s="1"/>
  <c r="U129" i="5" a="1"/>
  <c r="U129" i="5" s="1"/>
  <c r="V129" i="5" s="1"/>
  <c r="U130" i="5" a="1"/>
  <c r="U130" i="5" s="1"/>
  <c r="V130" i="5" s="1"/>
  <c r="U131" i="5" a="1"/>
  <c r="U131" i="5" s="1"/>
  <c r="V131" i="5" s="1"/>
  <c r="U132" i="5" a="1"/>
  <c r="U132" i="5" s="1"/>
  <c r="V132" i="5" s="1"/>
  <c r="U133" i="5" a="1"/>
  <c r="U133" i="5" s="1"/>
  <c r="V133" i="5" s="1"/>
  <c r="U134" i="5" a="1"/>
  <c r="U134" i="5" s="1"/>
  <c r="V134" i="5" s="1"/>
  <c r="U135" i="5" a="1"/>
  <c r="U135" i="5" s="1"/>
  <c r="V135" i="5" s="1"/>
  <c r="U136" i="5" a="1"/>
  <c r="U136" i="5" s="1"/>
  <c r="V136" i="5" s="1"/>
  <c r="U137" i="5" a="1"/>
  <c r="U137" i="5" s="1"/>
  <c r="V137" i="5" s="1"/>
  <c r="U138" i="5" a="1"/>
  <c r="U138" i="5" s="1"/>
  <c r="V138" i="5" s="1"/>
  <c r="U139" i="5" a="1"/>
  <c r="U139" i="5" s="1"/>
  <c r="V139" i="5" s="1"/>
  <c r="U140" i="5" a="1"/>
  <c r="U140" i="5" s="1"/>
  <c r="V140" i="5" s="1"/>
  <c r="U141" i="5" a="1"/>
  <c r="U141" i="5" s="1"/>
  <c r="V141" i="5" s="1"/>
  <c r="U142" i="5" a="1"/>
  <c r="U142" i="5" s="1"/>
  <c r="V142" i="5" s="1"/>
  <c r="U143" i="5" a="1"/>
  <c r="U143" i="5" s="1"/>
  <c r="V143" i="5" s="1"/>
  <c r="U144" i="5" a="1"/>
  <c r="U144" i="5" s="1"/>
  <c r="V144" i="5" s="1"/>
  <c r="U145" i="5" a="1"/>
  <c r="U145" i="5" s="1"/>
  <c r="V145" i="5" s="1"/>
  <c r="U146" i="5" a="1"/>
  <c r="U146" i="5" s="1"/>
  <c r="V146" i="5" s="1"/>
  <c r="U147" i="5" a="1"/>
  <c r="U147" i="5" s="1"/>
  <c r="V147" i="5" s="1"/>
  <c r="U148" i="5" a="1"/>
  <c r="U148" i="5" s="1"/>
  <c r="V148" i="5" s="1"/>
  <c r="U149" i="5" a="1"/>
  <c r="U149" i="5" s="1"/>
  <c r="V149" i="5" s="1"/>
  <c r="U150" i="5" a="1"/>
  <c r="U150" i="5" s="1"/>
  <c r="V150" i="5" s="1"/>
  <c r="U151" i="5" a="1"/>
  <c r="U151" i="5" s="1"/>
  <c r="V151" i="5" s="1"/>
  <c r="U152" i="5" a="1"/>
  <c r="U152" i="5" s="1"/>
  <c r="V152" i="5" s="1"/>
  <c r="U153" i="5" a="1"/>
  <c r="U153" i="5" s="1"/>
  <c r="V153" i="5" s="1"/>
  <c r="U154" i="5" a="1"/>
  <c r="U154" i="5" s="1"/>
  <c r="V154" i="5" s="1"/>
  <c r="U5" i="5" a="1"/>
  <c r="U5" i="5" s="1"/>
  <c r="V5" i="5" s="1"/>
  <c r="A4" i="7" l="1"/>
  <c r="B1" i="3" a="1"/>
  <c r="B1" i="3" s="1"/>
  <c r="B2" i="7" l="1"/>
  <c r="A2" i="7"/>
  <c r="C2" i="7" s="1"/>
  <c r="P154" i="5" l="1"/>
  <c r="O154" i="5"/>
  <c r="P153" i="5"/>
  <c r="O153" i="5"/>
  <c r="P152" i="5"/>
  <c r="O152" i="5"/>
  <c r="P151" i="5"/>
  <c r="O151" i="5"/>
  <c r="P150" i="5"/>
  <c r="O150" i="5"/>
  <c r="P149" i="5"/>
  <c r="O149" i="5"/>
  <c r="P148" i="5"/>
  <c r="O148" i="5"/>
  <c r="P147" i="5"/>
  <c r="O147" i="5"/>
  <c r="P146" i="5"/>
  <c r="O146" i="5"/>
  <c r="P145" i="5"/>
  <c r="O145" i="5"/>
  <c r="P144" i="5"/>
  <c r="O144" i="5"/>
  <c r="P143" i="5"/>
  <c r="O143" i="5"/>
  <c r="P142" i="5"/>
  <c r="O142" i="5"/>
  <c r="P141" i="5"/>
  <c r="O141" i="5"/>
  <c r="P140" i="5"/>
  <c r="O140" i="5"/>
  <c r="P139" i="5"/>
  <c r="O139" i="5"/>
  <c r="P138" i="5"/>
  <c r="O138" i="5"/>
  <c r="P137" i="5"/>
  <c r="O137" i="5"/>
  <c r="P136" i="5"/>
  <c r="O136" i="5"/>
  <c r="P135" i="5"/>
  <c r="O135" i="5"/>
  <c r="P134" i="5"/>
  <c r="O134" i="5"/>
  <c r="P133" i="5"/>
  <c r="O133" i="5"/>
  <c r="P132" i="5"/>
  <c r="O132" i="5"/>
  <c r="P131" i="5"/>
  <c r="O131" i="5"/>
  <c r="P130" i="5"/>
  <c r="O130" i="5"/>
  <c r="P129" i="5"/>
  <c r="O129" i="5"/>
  <c r="P128" i="5"/>
  <c r="O128" i="5"/>
  <c r="P127" i="5"/>
  <c r="O127" i="5"/>
  <c r="P126" i="5"/>
  <c r="O126" i="5"/>
  <c r="P125" i="5"/>
  <c r="O125" i="5"/>
  <c r="P124" i="5"/>
  <c r="O124" i="5"/>
  <c r="P123" i="5"/>
  <c r="O123" i="5"/>
  <c r="P122" i="5"/>
  <c r="O122" i="5"/>
  <c r="P121" i="5"/>
  <c r="O121" i="5"/>
  <c r="P120" i="5"/>
  <c r="O120" i="5"/>
  <c r="P119" i="5"/>
  <c r="O119" i="5"/>
  <c r="P118" i="5"/>
  <c r="O118" i="5"/>
  <c r="P117" i="5"/>
  <c r="O117" i="5"/>
  <c r="P116" i="5"/>
  <c r="O116" i="5"/>
  <c r="P115" i="5"/>
  <c r="O115" i="5"/>
  <c r="P114" i="5"/>
  <c r="O114" i="5"/>
  <c r="P113" i="5"/>
  <c r="O113" i="5"/>
  <c r="P112" i="5"/>
  <c r="O112" i="5"/>
  <c r="P111" i="5"/>
  <c r="O111" i="5"/>
  <c r="P110" i="5"/>
  <c r="O110" i="5"/>
  <c r="P109" i="5"/>
  <c r="O109" i="5"/>
  <c r="P108" i="5"/>
  <c r="O108" i="5"/>
  <c r="P107" i="5"/>
  <c r="O107" i="5"/>
  <c r="P106" i="5"/>
  <c r="O106" i="5"/>
  <c r="P105" i="5"/>
  <c r="O105" i="5"/>
  <c r="P104" i="5"/>
  <c r="O104" i="5"/>
  <c r="P103" i="5"/>
  <c r="O103" i="5"/>
  <c r="P102" i="5"/>
  <c r="O102" i="5"/>
  <c r="P101" i="5"/>
  <c r="O101" i="5"/>
  <c r="P100" i="5"/>
  <c r="O100" i="5"/>
  <c r="P99" i="5"/>
  <c r="O99" i="5"/>
  <c r="P98" i="5"/>
  <c r="O98" i="5"/>
  <c r="P97" i="5"/>
  <c r="O97" i="5"/>
  <c r="P96" i="5"/>
  <c r="O96" i="5"/>
  <c r="P95" i="5"/>
  <c r="O95" i="5"/>
  <c r="P94" i="5"/>
  <c r="O94" i="5"/>
  <c r="P93" i="5"/>
  <c r="O93" i="5"/>
  <c r="P92" i="5"/>
  <c r="O92" i="5"/>
  <c r="P91" i="5"/>
  <c r="O91" i="5"/>
  <c r="P90" i="5"/>
  <c r="O90" i="5"/>
  <c r="P89" i="5"/>
  <c r="O89" i="5"/>
  <c r="P88" i="5"/>
  <c r="O88" i="5"/>
  <c r="P87" i="5"/>
  <c r="O87" i="5"/>
  <c r="P86" i="5"/>
  <c r="O86" i="5"/>
  <c r="P85" i="5"/>
  <c r="O85" i="5"/>
  <c r="P84" i="5"/>
  <c r="O84" i="5"/>
  <c r="P83" i="5"/>
  <c r="O83" i="5"/>
  <c r="P82" i="5"/>
  <c r="O82" i="5"/>
  <c r="P81" i="5"/>
  <c r="O81" i="5"/>
  <c r="P80" i="5"/>
  <c r="O80" i="5"/>
  <c r="P79" i="5"/>
  <c r="O79" i="5"/>
  <c r="P78" i="5"/>
  <c r="O78" i="5"/>
  <c r="P77" i="5"/>
  <c r="O77" i="5"/>
  <c r="P76" i="5"/>
  <c r="O76" i="5"/>
  <c r="P75" i="5"/>
  <c r="O75" i="5"/>
  <c r="P74" i="5"/>
  <c r="O74" i="5"/>
  <c r="P73" i="5"/>
  <c r="O73" i="5"/>
  <c r="P72" i="5"/>
  <c r="O72" i="5"/>
  <c r="P71" i="5"/>
  <c r="O71" i="5"/>
  <c r="P70" i="5"/>
  <c r="O70" i="5"/>
  <c r="P69" i="5"/>
  <c r="O69" i="5"/>
  <c r="P68" i="5"/>
  <c r="O68" i="5"/>
  <c r="P67" i="5"/>
  <c r="O67" i="5"/>
  <c r="P66" i="5"/>
  <c r="O66" i="5"/>
  <c r="P65" i="5"/>
  <c r="O65" i="5"/>
  <c r="P64" i="5"/>
  <c r="O64" i="5"/>
  <c r="P63" i="5"/>
  <c r="O63" i="5"/>
  <c r="P62" i="5"/>
  <c r="O62" i="5"/>
  <c r="P61" i="5"/>
  <c r="O61" i="5"/>
  <c r="P60" i="5"/>
  <c r="O60" i="5"/>
  <c r="P59" i="5"/>
  <c r="O59" i="5"/>
  <c r="P58" i="5"/>
  <c r="O58" i="5"/>
  <c r="P57" i="5"/>
  <c r="O57" i="5"/>
  <c r="P56" i="5"/>
  <c r="O56" i="5"/>
  <c r="P55" i="5"/>
  <c r="O55" i="5"/>
  <c r="P54" i="5"/>
  <c r="O54" i="5"/>
  <c r="P53" i="5"/>
  <c r="O53" i="5"/>
  <c r="P52" i="5"/>
  <c r="O52" i="5"/>
  <c r="P51" i="5"/>
  <c r="O51" i="5"/>
  <c r="P50" i="5"/>
  <c r="O50" i="5"/>
  <c r="P49" i="5"/>
  <c r="O49" i="5"/>
  <c r="P48" i="5"/>
  <c r="O48" i="5"/>
  <c r="P47" i="5"/>
  <c r="O47" i="5"/>
  <c r="P46" i="5"/>
  <c r="O46" i="5"/>
  <c r="P45" i="5"/>
  <c r="O45" i="5"/>
  <c r="P44" i="5"/>
  <c r="O44" i="5"/>
  <c r="P43" i="5"/>
  <c r="O43" i="5"/>
  <c r="P42" i="5"/>
  <c r="O42" i="5"/>
  <c r="P41" i="5"/>
  <c r="O41" i="5"/>
  <c r="P40" i="5"/>
  <c r="O40" i="5"/>
  <c r="P39" i="5"/>
  <c r="O39" i="5"/>
  <c r="P38" i="5"/>
  <c r="O38" i="5"/>
  <c r="P37" i="5"/>
  <c r="O37" i="5"/>
  <c r="P36" i="5"/>
  <c r="O36" i="5"/>
  <c r="P35" i="5"/>
  <c r="O35" i="5"/>
  <c r="P34" i="5"/>
  <c r="O34" i="5"/>
  <c r="P33" i="5"/>
  <c r="O33" i="5"/>
  <c r="P32" i="5"/>
  <c r="O32" i="5"/>
  <c r="P31" i="5"/>
  <c r="O31" i="5"/>
  <c r="P30" i="5"/>
  <c r="O30" i="5"/>
  <c r="P29" i="5"/>
  <c r="O29" i="5"/>
  <c r="P28" i="5"/>
  <c r="O28" i="5"/>
  <c r="P27" i="5"/>
  <c r="O27" i="5"/>
  <c r="P26" i="5"/>
  <c r="O26" i="5"/>
  <c r="P25" i="5"/>
  <c r="O25" i="5"/>
  <c r="P24" i="5"/>
  <c r="O24" i="5"/>
  <c r="P23" i="5"/>
  <c r="O23" i="5"/>
  <c r="P22" i="5"/>
  <c r="O22" i="5"/>
  <c r="P21" i="5"/>
  <c r="O21" i="5"/>
  <c r="P20" i="5"/>
  <c r="O20" i="5"/>
  <c r="P19" i="5"/>
  <c r="O19" i="5"/>
  <c r="P18" i="5"/>
  <c r="O18" i="5"/>
  <c r="P17" i="5"/>
  <c r="O17" i="5"/>
  <c r="P16" i="5"/>
  <c r="O16" i="5"/>
  <c r="P15" i="5"/>
  <c r="O15" i="5"/>
  <c r="P14" i="5"/>
  <c r="O14" i="5"/>
  <c r="P13" i="5"/>
  <c r="O13" i="5"/>
  <c r="P12" i="5"/>
  <c r="O12" i="5"/>
  <c r="P11" i="5"/>
  <c r="O11" i="5"/>
  <c r="P10" i="5"/>
  <c r="O10" i="5"/>
  <c r="P9" i="5"/>
  <c r="O9" i="5"/>
  <c r="P8" i="5"/>
  <c r="O8" i="5"/>
  <c r="P7" i="5"/>
  <c r="O7" i="5"/>
  <c r="P6" i="5"/>
  <c r="O6" i="5"/>
  <c r="P5" i="5"/>
  <c r="O5" i="5"/>
  <c r="D1" i="8" l="1"/>
  <c r="L6" i="5" l="1"/>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5" i="5"/>
  <c r="B4" i="3"/>
  <c r="T4" i="5" l="1"/>
  <c r="B2" i="3"/>
  <c r="Z5" i="5" l="1"/>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R5" i="5"/>
  <c r="S5" i="5" s="1"/>
  <c r="R6" i="5"/>
  <c r="S6" i="5" s="1"/>
  <c r="R7" i="5"/>
  <c r="S7" i="5" s="1"/>
  <c r="R8" i="5"/>
  <c r="S8" i="5" s="1"/>
  <c r="R9" i="5"/>
  <c r="S9" i="5" s="1"/>
  <c r="R10" i="5"/>
  <c r="S10" i="5" s="1"/>
  <c r="R11" i="5"/>
  <c r="S11" i="5" s="1"/>
  <c r="R12" i="5"/>
  <c r="S12" i="5" s="1"/>
  <c r="R13" i="5"/>
  <c r="S13" i="5" s="1"/>
  <c r="R14" i="5"/>
  <c r="S14" i="5" s="1"/>
  <c r="R15" i="5"/>
  <c r="S15" i="5" s="1"/>
  <c r="R16" i="5"/>
  <c r="S16" i="5" s="1"/>
  <c r="R17" i="5"/>
  <c r="S17" i="5" s="1"/>
  <c r="R18" i="5"/>
  <c r="S18" i="5" s="1"/>
  <c r="R19" i="5"/>
  <c r="S19" i="5" s="1"/>
  <c r="R20" i="5"/>
  <c r="S20" i="5" s="1"/>
  <c r="R21" i="5"/>
  <c r="S21" i="5" s="1"/>
  <c r="R22" i="5"/>
  <c r="S22" i="5" s="1"/>
  <c r="R23" i="5"/>
  <c r="S23" i="5" s="1"/>
  <c r="R24" i="5"/>
  <c r="S24" i="5" s="1"/>
  <c r="R25" i="5"/>
  <c r="S25" i="5" s="1"/>
  <c r="R26" i="5"/>
  <c r="S26" i="5" s="1"/>
  <c r="R27" i="5"/>
  <c r="S27" i="5" s="1"/>
  <c r="R28" i="5"/>
  <c r="S28" i="5" s="1"/>
  <c r="R29" i="5"/>
  <c r="S29" i="5" s="1"/>
  <c r="R30" i="5"/>
  <c r="S30" i="5" s="1"/>
  <c r="R31" i="5"/>
  <c r="S31" i="5" s="1"/>
  <c r="R32" i="5"/>
  <c r="S32" i="5" s="1"/>
  <c r="R33" i="5"/>
  <c r="S33" i="5" s="1"/>
  <c r="R34" i="5"/>
  <c r="S34" i="5" s="1"/>
  <c r="R35" i="5"/>
  <c r="S35" i="5" s="1"/>
  <c r="R36" i="5"/>
  <c r="S36" i="5" s="1"/>
  <c r="R37" i="5"/>
  <c r="S37" i="5" s="1"/>
  <c r="R38" i="5"/>
  <c r="S38" i="5" s="1"/>
  <c r="R39" i="5"/>
  <c r="S39" i="5" s="1"/>
  <c r="R40" i="5"/>
  <c r="S40" i="5" s="1"/>
  <c r="R41" i="5"/>
  <c r="S41" i="5" s="1"/>
  <c r="R42" i="5"/>
  <c r="S42" i="5" s="1"/>
  <c r="R43" i="5"/>
  <c r="S43" i="5" s="1"/>
  <c r="R44" i="5"/>
  <c r="S44" i="5" s="1"/>
  <c r="R45" i="5"/>
  <c r="S45" i="5" s="1"/>
  <c r="R46" i="5"/>
  <c r="S46" i="5" s="1"/>
  <c r="R47" i="5"/>
  <c r="S47" i="5" s="1"/>
  <c r="R48" i="5"/>
  <c r="S48" i="5" s="1"/>
  <c r="R49" i="5"/>
  <c r="S49" i="5" s="1"/>
  <c r="R50" i="5"/>
  <c r="S50" i="5" s="1"/>
  <c r="R51" i="5"/>
  <c r="S51" i="5" s="1"/>
  <c r="R52" i="5"/>
  <c r="S52" i="5" s="1"/>
  <c r="R53" i="5"/>
  <c r="S53" i="5" s="1"/>
  <c r="R54" i="5"/>
  <c r="S54" i="5" s="1"/>
  <c r="R55" i="5"/>
  <c r="S55" i="5" s="1"/>
  <c r="R56" i="5"/>
  <c r="S56" i="5" s="1"/>
  <c r="R57" i="5"/>
  <c r="S57" i="5" s="1"/>
  <c r="R58" i="5"/>
  <c r="S58" i="5" s="1"/>
  <c r="R59" i="5"/>
  <c r="S59" i="5" s="1"/>
  <c r="R60" i="5"/>
  <c r="S60" i="5" s="1"/>
  <c r="R61" i="5"/>
  <c r="S61" i="5" s="1"/>
  <c r="R62" i="5"/>
  <c r="S62" i="5" s="1"/>
  <c r="R63" i="5"/>
  <c r="S63" i="5" s="1"/>
  <c r="R64" i="5"/>
  <c r="S64" i="5" s="1"/>
  <c r="R65" i="5"/>
  <c r="S65" i="5" s="1"/>
  <c r="R66" i="5"/>
  <c r="S66" i="5" s="1"/>
  <c r="R67" i="5"/>
  <c r="S67" i="5" s="1"/>
  <c r="R68" i="5"/>
  <c r="S68" i="5" s="1"/>
  <c r="R69" i="5"/>
  <c r="S69" i="5" s="1"/>
  <c r="R70" i="5"/>
  <c r="S70" i="5" s="1"/>
  <c r="R71" i="5"/>
  <c r="S71" i="5" s="1"/>
  <c r="R72" i="5"/>
  <c r="S72" i="5" s="1"/>
  <c r="R73" i="5"/>
  <c r="S73" i="5" s="1"/>
  <c r="R74" i="5"/>
  <c r="S74" i="5" s="1"/>
  <c r="R75" i="5"/>
  <c r="S75" i="5" s="1"/>
  <c r="R76" i="5"/>
  <c r="S76" i="5" s="1"/>
  <c r="R77" i="5"/>
  <c r="S77" i="5" s="1"/>
  <c r="R78" i="5"/>
  <c r="S78" i="5" s="1"/>
  <c r="R79" i="5"/>
  <c r="S79" i="5" s="1"/>
  <c r="R80" i="5"/>
  <c r="S80" i="5" s="1"/>
  <c r="R81" i="5"/>
  <c r="S81" i="5" s="1"/>
  <c r="R82" i="5"/>
  <c r="S82" i="5" s="1"/>
  <c r="R83" i="5"/>
  <c r="S83" i="5" s="1"/>
  <c r="R84" i="5"/>
  <c r="S84" i="5" s="1"/>
  <c r="R85" i="5"/>
  <c r="S85" i="5" s="1"/>
  <c r="R86" i="5"/>
  <c r="S86" i="5" s="1"/>
  <c r="R87" i="5"/>
  <c r="S87" i="5" s="1"/>
  <c r="R88" i="5"/>
  <c r="S88" i="5" s="1"/>
  <c r="R89" i="5"/>
  <c r="S89" i="5" s="1"/>
  <c r="R90" i="5"/>
  <c r="S90" i="5" s="1"/>
  <c r="R91" i="5"/>
  <c r="S91" i="5" s="1"/>
  <c r="R92" i="5"/>
  <c r="S92" i="5" s="1"/>
  <c r="R93" i="5"/>
  <c r="S93" i="5" s="1"/>
  <c r="R94" i="5"/>
  <c r="S94" i="5" s="1"/>
  <c r="R95" i="5"/>
  <c r="S95" i="5" s="1"/>
  <c r="R96" i="5"/>
  <c r="S96" i="5" s="1"/>
  <c r="R97" i="5"/>
  <c r="S97" i="5" s="1"/>
  <c r="R98" i="5"/>
  <c r="S98" i="5" s="1"/>
  <c r="R99" i="5"/>
  <c r="S99" i="5" s="1"/>
  <c r="R100" i="5"/>
  <c r="S100" i="5" s="1"/>
  <c r="R101" i="5"/>
  <c r="S101" i="5" s="1"/>
  <c r="R102" i="5"/>
  <c r="S102" i="5" s="1"/>
  <c r="R103" i="5"/>
  <c r="S103" i="5" s="1"/>
  <c r="R104" i="5"/>
  <c r="S104" i="5" s="1"/>
  <c r="R105" i="5"/>
  <c r="S105" i="5" s="1"/>
  <c r="R106" i="5"/>
  <c r="S106" i="5" s="1"/>
  <c r="R107" i="5"/>
  <c r="S107" i="5" s="1"/>
  <c r="R108" i="5"/>
  <c r="S108" i="5" s="1"/>
  <c r="R109" i="5"/>
  <c r="S109" i="5" s="1"/>
  <c r="R110" i="5"/>
  <c r="S110" i="5" s="1"/>
  <c r="R111" i="5"/>
  <c r="S111" i="5" s="1"/>
  <c r="R112" i="5"/>
  <c r="S112" i="5" s="1"/>
  <c r="R113" i="5"/>
  <c r="S113" i="5" s="1"/>
  <c r="R114" i="5"/>
  <c r="S114" i="5" s="1"/>
  <c r="R115" i="5"/>
  <c r="S115" i="5" s="1"/>
  <c r="R116" i="5"/>
  <c r="S116" i="5" s="1"/>
  <c r="R117" i="5"/>
  <c r="S117" i="5" s="1"/>
  <c r="R118" i="5"/>
  <c r="S118" i="5" s="1"/>
  <c r="R119" i="5"/>
  <c r="S119" i="5" s="1"/>
  <c r="R120" i="5"/>
  <c r="S120" i="5" s="1"/>
  <c r="R121" i="5"/>
  <c r="S121" i="5" s="1"/>
  <c r="R122" i="5"/>
  <c r="S122" i="5" s="1"/>
  <c r="R123" i="5"/>
  <c r="S123" i="5" s="1"/>
  <c r="R124" i="5"/>
  <c r="S124" i="5" s="1"/>
  <c r="R125" i="5"/>
  <c r="S125" i="5" s="1"/>
  <c r="R126" i="5"/>
  <c r="S126" i="5" s="1"/>
  <c r="R127" i="5"/>
  <c r="S127" i="5" s="1"/>
  <c r="R128" i="5"/>
  <c r="S128" i="5" s="1"/>
  <c r="R129" i="5"/>
  <c r="S129" i="5" s="1"/>
  <c r="R130" i="5"/>
  <c r="S130" i="5" s="1"/>
  <c r="R131" i="5"/>
  <c r="S131" i="5" s="1"/>
  <c r="R132" i="5"/>
  <c r="S132" i="5" s="1"/>
  <c r="R133" i="5"/>
  <c r="S133" i="5" s="1"/>
  <c r="R134" i="5"/>
  <c r="S134" i="5" s="1"/>
  <c r="R135" i="5"/>
  <c r="S135" i="5" s="1"/>
  <c r="R136" i="5"/>
  <c r="S136" i="5" s="1"/>
  <c r="R137" i="5"/>
  <c r="S137" i="5" s="1"/>
  <c r="R138" i="5"/>
  <c r="S138" i="5" s="1"/>
  <c r="R139" i="5"/>
  <c r="S139" i="5" s="1"/>
  <c r="R140" i="5"/>
  <c r="S140" i="5" s="1"/>
  <c r="R141" i="5"/>
  <c r="S141" i="5" s="1"/>
  <c r="R142" i="5"/>
  <c r="S142" i="5" s="1"/>
  <c r="R143" i="5"/>
  <c r="S143" i="5" s="1"/>
  <c r="R144" i="5"/>
  <c r="S144" i="5" s="1"/>
  <c r="R145" i="5"/>
  <c r="S145" i="5" s="1"/>
  <c r="R146" i="5"/>
  <c r="S146" i="5" s="1"/>
  <c r="R147" i="5"/>
  <c r="S147" i="5" s="1"/>
  <c r="R148" i="5"/>
  <c r="S148" i="5" s="1"/>
  <c r="R149" i="5"/>
  <c r="S149" i="5" s="1"/>
  <c r="R150" i="5"/>
  <c r="S150" i="5" s="1"/>
  <c r="R151" i="5"/>
  <c r="S151" i="5" s="1"/>
  <c r="R152" i="5"/>
  <c r="S152" i="5" s="1"/>
  <c r="R153" i="5"/>
  <c r="S153" i="5" s="1"/>
  <c r="R154" i="5"/>
  <c r="S154" i="5" s="1"/>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5"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5" i="5"/>
  <c r="G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5" i="5"/>
  <c r="W62" i="5" l="1"/>
  <c r="Y62" i="5" s="1"/>
  <c r="W38" i="5"/>
  <c r="Y38" i="5" s="1"/>
  <c r="W135" i="5"/>
  <c r="Y135" i="5" s="1"/>
  <c r="W123" i="5"/>
  <c r="Y123" i="5" s="1"/>
  <c r="W111" i="5"/>
  <c r="Y111" i="5" s="1"/>
  <c r="W35" i="5"/>
  <c r="Y35" i="5" s="1"/>
  <c r="W31" i="5"/>
  <c r="Y31" i="5" s="1"/>
  <c r="W19" i="5"/>
  <c r="Y19" i="5" s="1"/>
  <c r="W29" i="5"/>
  <c r="Y29" i="5" s="1"/>
  <c r="W17" i="5"/>
  <c r="Y17" i="5" s="1"/>
  <c r="W5" i="5"/>
  <c r="Y5" i="5" s="1"/>
  <c r="W16" i="5"/>
  <c r="Y16" i="5" s="1"/>
  <c r="W27" i="5"/>
  <c r="Y27" i="5" s="1"/>
  <c r="W15" i="5"/>
  <c r="Y15" i="5" s="1"/>
  <c r="W26" i="5"/>
  <c r="Y26" i="5" s="1"/>
  <c r="W25" i="5"/>
  <c r="Y25" i="5" s="1"/>
  <c r="W13" i="5"/>
  <c r="Y13" i="5" s="1"/>
  <c r="W36" i="5"/>
  <c r="Y36" i="5" s="1"/>
  <c r="W33" i="5"/>
  <c r="Y33" i="5" s="1"/>
  <c r="W21" i="5"/>
  <c r="Y21" i="5" s="1"/>
  <c r="W147" i="5"/>
  <c r="Y147" i="5" s="1"/>
  <c r="W99" i="5"/>
  <c r="Y99" i="5" s="1"/>
  <c r="W87" i="5"/>
  <c r="Y87" i="5" s="1"/>
  <c r="W75" i="5"/>
  <c r="Y75" i="5" s="1"/>
  <c r="W63" i="5"/>
  <c r="Y63" i="5" s="1"/>
  <c r="W51" i="5"/>
  <c r="Y51" i="5" s="1"/>
  <c r="W98" i="5"/>
  <c r="Y98" i="5" s="1"/>
  <c r="W86" i="5"/>
  <c r="Y86" i="5" s="1"/>
  <c r="W74" i="5"/>
  <c r="Y74" i="5" s="1"/>
  <c r="W50" i="5"/>
  <c r="Y50" i="5" s="1"/>
  <c r="W93" i="5"/>
  <c r="Y93" i="5" s="1"/>
  <c r="W81" i="5"/>
  <c r="Y81" i="5" s="1"/>
  <c r="W69" i="5"/>
  <c r="Y69" i="5" s="1"/>
  <c r="W57" i="5"/>
  <c r="Y57" i="5" s="1"/>
  <c r="W45" i="5"/>
  <c r="Y45" i="5" s="1"/>
  <c r="W9" i="5"/>
  <c r="Y9" i="5" s="1"/>
  <c r="W151" i="5"/>
  <c r="Y151" i="5" s="1"/>
  <c r="W139" i="5"/>
  <c r="Y139" i="5" s="1"/>
  <c r="W127" i="5"/>
  <c r="Y127" i="5" s="1"/>
  <c r="W115" i="5"/>
  <c r="Y115" i="5" s="1"/>
  <c r="W103" i="5"/>
  <c r="Y103" i="5" s="1"/>
  <c r="W91" i="5"/>
  <c r="Y91" i="5" s="1"/>
  <c r="W79" i="5"/>
  <c r="Y79" i="5" s="1"/>
  <c r="W67" i="5"/>
  <c r="Y67" i="5" s="1"/>
  <c r="W55" i="5"/>
  <c r="Y55" i="5" s="1"/>
  <c r="W43" i="5"/>
  <c r="Y43" i="5" s="1"/>
  <c r="W7" i="5"/>
  <c r="Y7" i="5" s="1"/>
  <c r="W152" i="5"/>
  <c r="Y152" i="5" s="1"/>
  <c r="W140" i="5"/>
  <c r="Y140" i="5" s="1"/>
  <c r="W128" i="5"/>
  <c r="Y128" i="5" s="1"/>
  <c r="W116" i="5"/>
  <c r="Y116" i="5" s="1"/>
  <c r="W104" i="5"/>
  <c r="Y104" i="5" s="1"/>
  <c r="W92" i="5"/>
  <c r="Y92" i="5" s="1"/>
  <c r="W80" i="5"/>
  <c r="Y80" i="5" s="1"/>
  <c r="W68" i="5"/>
  <c r="Y68" i="5" s="1"/>
  <c r="W56" i="5"/>
  <c r="Y56" i="5" s="1"/>
  <c r="W44" i="5"/>
  <c r="Y44" i="5" s="1"/>
  <c r="W20" i="5"/>
  <c r="Y20" i="5" s="1"/>
  <c r="W8" i="5"/>
  <c r="Y8" i="5" s="1"/>
  <c r="W143" i="5"/>
  <c r="Y143" i="5" s="1"/>
  <c r="W131" i="5"/>
  <c r="Y131" i="5" s="1"/>
  <c r="W119" i="5"/>
  <c r="Y119" i="5" s="1"/>
  <c r="W107" i="5"/>
  <c r="Y107" i="5" s="1"/>
  <c r="W95" i="5"/>
  <c r="Y95" i="5" s="1"/>
  <c r="W83" i="5"/>
  <c r="Y83" i="5" s="1"/>
  <c r="W71" i="5"/>
  <c r="Y71" i="5" s="1"/>
  <c r="W59" i="5"/>
  <c r="Y59" i="5" s="1"/>
  <c r="W47" i="5"/>
  <c r="Y47" i="5" s="1"/>
  <c r="W94" i="5"/>
  <c r="Y94" i="5" s="1"/>
  <c r="W82" i="5"/>
  <c r="Y82" i="5" s="1"/>
  <c r="W70" i="5"/>
  <c r="Y70" i="5" s="1"/>
  <c r="W58" i="5"/>
  <c r="Y58" i="5" s="1"/>
  <c r="W46" i="5"/>
  <c r="Y46" i="5" s="1"/>
  <c r="W144" i="5"/>
  <c r="Y144" i="5" s="1"/>
  <c r="W132" i="5"/>
  <c r="Y132" i="5" s="1"/>
  <c r="W120" i="5"/>
  <c r="Y120" i="5" s="1"/>
  <c r="W108" i="5"/>
  <c r="Y108" i="5" s="1"/>
  <c r="W96" i="5"/>
  <c r="Y96" i="5" s="1"/>
  <c r="W84" i="5"/>
  <c r="Y84" i="5" s="1"/>
  <c r="W72" i="5"/>
  <c r="Y72" i="5" s="1"/>
  <c r="W60" i="5"/>
  <c r="Y60" i="5" s="1"/>
  <c r="W48" i="5"/>
  <c r="Y48" i="5" s="1"/>
  <c r="W126" i="5"/>
  <c r="Y126" i="5" s="1"/>
  <c r="W114" i="5"/>
  <c r="Y114" i="5" s="1"/>
  <c r="W102" i="5"/>
  <c r="Y102" i="5" s="1"/>
  <c r="W90" i="5"/>
  <c r="Y90" i="5" s="1"/>
  <c r="W78" i="5"/>
  <c r="Y78" i="5" s="1"/>
  <c r="W66" i="5"/>
  <c r="Y66" i="5" s="1"/>
  <c r="W54" i="5"/>
  <c r="Y54" i="5" s="1"/>
  <c r="W42" i="5"/>
  <c r="Y42" i="5" s="1"/>
  <c r="W30" i="5"/>
  <c r="Y30" i="5" s="1"/>
  <c r="W18" i="5"/>
  <c r="Y18" i="5" s="1"/>
  <c r="W6" i="5"/>
  <c r="Y6" i="5" s="1"/>
  <c r="W145" i="5"/>
  <c r="Y145" i="5" s="1"/>
  <c r="W133" i="5"/>
  <c r="Y133" i="5" s="1"/>
  <c r="W121" i="5"/>
  <c r="Y121" i="5" s="1"/>
  <c r="W109" i="5"/>
  <c r="Y109" i="5" s="1"/>
  <c r="W97" i="5"/>
  <c r="Y97" i="5" s="1"/>
  <c r="W85" i="5"/>
  <c r="Y85" i="5" s="1"/>
  <c r="W73" i="5"/>
  <c r="Y73" i="5" s="1"/>
  <c r="W61" i="5"/>
  <c r="Y61" i="5" s="1"/>
  <c r="W49" i="5"/>
  <c r="Y49" i="5" s="1"/>
  <c r="W37" i="5"/>
  <c r="Y37" i="5" s="1"/>
  <c r="W146" i="5"/>
  <c r="Y146" i="5" s="1"/>
  <c r="W134" i="5"/>
  <c r="Y134" i="5" s="1"/>
  <c r="W122" i="5"/>
  <c r="Y122" i="5" s="1"/>
  <c r="W110" i="5"/>
  <c r="Y110" i="5" s="1"/>
  <c r="W154" i="5"/>
  <c r="Y154" i="5" s="1"/>
  <c r="W142" i="5"/>
  <c r="Y142" i="5" s="1"/>
  <c r="W130" i="5"/>
  <c r="Y130" i="5" s="1"/>
  <c r="W118" i="5"/>
  <c r="Y118" i="5" s="1"/>
  <c r="W106" i="5"/>
  <c r="Y106" i="5" s="1"/>
  <c r="W153" i="5"/>
  <c r="Y153" i="5" s="1"/>
  <c r="W141" i="5"/>
  <c r="Y141" i="5" s="1"/>
  <c r="W129" i="5"/>
  <c r="Y129" i="5" s="1"/>
  <c r="W117" i="5"/>
  <c r="Y117" i="5" s="1"/>
  <c r="W105" i="5"/>
  <c r="Y105" i="5" s="1"/>
  <c r="W149" i="5"/>
  <c r="Y149" i="5" s="1"/>
  <c r="W137" i="5"/>
  <c r="Y137" i="5" s="1"/>
  <c r="W125" i="5"/>
  <c r="Y125" i="5" s="1"/>
  <c r="W113" i="5"/>
  <c r="Y113" i="5" s="1"/>
  <c r="W101" i="5"/>
  <c r="Y101" i="5" s="1"/>
  <c r="W89" i="5"/>
  <c r="Y89" i="5" s="1"/>
  <c r="W77" i="5"/>
  <c r="Y77" i="5" s="1"/>
  <c r="W65" i="5"/>
  <c r="Y65" i="5" s="1"/>
  <c r="W53" i="5"/>
  <c r="Y53" i="5" s="1"/>
  <c r="W41" i="5"/>
  <c r="Y41" i="5" s="1"/>
  <c r="W150" i="5"/>
  <c r="Y150" i="5" s="1"/>
  <c r="W138" i="5"/>
  <c r="Y138" i="5" s="1"/>
  <c r="W148" i="5"/>
  <c r="Y148" i="5" s="1"/>
  <c r="W136" i="5"/>
  <c r="Y136" i="5" s="1"/>
  <c r="W124" i="5"/>
  <c r="Y124" i="5" s="1"/>
  <c r="W112" i="5"/>
  <c r="Y112" i="5" s="1"/>
  <c r="W100" i="5"/>
  <c r="Y100" i="5" s="1"/>
  <c r="W88" i="5"/>
  <c r="Y88" i="5" s="1"/>
  <c r="W76" i="5"/>
  <c r="Y76" i="5" s="1"/>
  <c r="W64" i="5"/>
  <c r="Y64" i="5" s="1"/>
  <c r="W52" i="5"/>
  <c r="Y52" i="5" s="1"/>
  <c r="W40" i="5"/>
  <c r="Y40" i="5" s="1"/>
  <c r="W28" i="5"/>
  <c r="Y28" i="5" s="1"/>
  <c r="W39" i="5" l="1"/>
  <c r="Y39" i="5" s="1"/>
  <c r="W14" i="5"/>
  <c r="Y14" i="5" s="1"/>
  <c r="W11" i="5"/>
  <c r="Y11" i="5" s="1"/>
  <c r="W10" i="5"/>
  <c r="Y10" i="5" s="1"/>
  <c r="W34" i="5"/>
  <c r="Y34" i="5" s="1"/>
  <c r="W12" i="5"/>
  <c r="Y12" i="5" s="1"/>
  <c r="W24" i="5"/>
  <c r="Y24" i="5" s="1"/>
  <c r="W22" i="5"/>
  <c r="Y22" i="5" s="1"/>
  <c r="W32" i="5"/>
  <c r="Y32" i="5" s="1"/>
  <c r="W23" i="5"/>
  <c r="Y23" i="5" s="1"/>
  <c r="Y4"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1A93B7-99F7-4957-B890-C4EF19F6597C}" keepAlive="1" name="Запрос — Centrum" description="Соединение с запросом &quot;Centrum&quot; в книге." type="5" refreshedVersion="7" background="1" saveData="1">
    <dbPr connection="Provider=Microsoft.Mashup.OleDb.1;Data Source=$Workbook$;Location=Centrum;Extended Properties=&quot;&quot;" command="SELECT * FROM [Centrum]"/>
  </connection>
  <connection id="2" xr16:uid="{4F186271-ABE5-4DDE-B27C-49E82B73D2D9}" keepAlive="1" name="Запрос — Курс_USD" description="Соединение с запросом &quot;Курс_USD&quot; в книге." type="5" refreshedVersion="7" background="1" saveData="1">
    <dbPr connection="Provider=Microsoft.Mashup.OleDb.1;Data Source=$Workbook$;Location=Курс_USD;Extended Properties=&quot;&quot;" command="SELECT * FROM [Курс_USD]"/>
  </connection>
  <connection id="3" xr16:uid="{1448BFAB-9704-47CA-984E-B800A0F7DDC2}" keepAlive="1" name="Запрос — ПериодОтбора" description="Соединение с запросом &quot;ПериодОтбора&quot; в книге." type="5" refreshedVersion="0" background="1">
    <dbPr connection="Provider=Microsoft.Mashup.OleDb.1;Data Source=$Workbook$;Location=ПериодОтбора;Extended Properties=&quot;&quot;" command="SELECT * FROM [ПериодОтбора]"/>
  </connection>
  <connection id="4" xr16:uid="{BD0ED277-EC62-44A9-B565-354FECBA19C1}" keepAlive="1" name="Запрос — Шаблон_Формулы" description="Соединение с запросом &quot;Шаблон_Формулы&quot; в книге." type="5" refreshedVersion="7" background="1" saveData="1">
    <dbPr connection="Provider=Microsoft.Mashup.OleDb.1;Data Source=$Workbook$;Location=Шаблон_Формулы;Extended Properties=&quot;&quot;" command="SELECT * FROM [Шаблон_Формулы]"/>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<sst xmlns="http://schemas.openxmlformats.org/spreadsheetml/2006/main" count="638" uniqueCount="200">
  <si>
    <t>Контейнерная перевозка</t>
  </si>
  <si>
    <t>#</t>
  </si>
  <si>
    <t>Carrier-Перевозчик</t>
  </si>
  <si>
    <t>Country-Страна</t>
  </si>
  <si>
    <t>Container num.-№ контейнера</t>
  </si>
  <si>
    <t>Supplier-Поставщик</t>
  </si>
  <si>
    <t>Shippers invoice no-Номер инвойса поставщика</t>
  </si>
  <si>
    <t>Supplier's invoice amount-Сумма инвойса поставщика</t>
  </si>
  <si>
    <t>Валюта</t>
  </si>
  <si>
    <t>CBM on the shipper - CBM по поставщику</t>
  </si>
  <si>
    <t>Gross weight of cont - Гросс.вес по конт.</t>
  </si>
  <si>
    <t>Route-Маршрут (TSR/TCR)</t>
  </si>
  <si>
    <t>Port of loading-Порт отгрузки Инкотермс 2010</t>
  </si>
  <si>
    <t>№ HBL date - № дата коносамента</t>
  </si>
  <si>
    <t>№ MBL date - № дата коносамента</t>
  </si>
  <si>
    <t>Date on board - Дата отгрузки/погрузки на судно</t>
  </si>
  <si>
    <t>Date of arrival to Sary-Agach-Дата прибытия на Сары-Агач</t>
  </si>
  <si>
    <t>Container type - Тип контейнера</t>
  </si>
  <si>
    <t>Tariff (ue) - Тариф (уе)</t>
  </si>
  <si>
    <t>The cost of transporting Vendor-ISV cargo-Стоимость транспортировки Vendor-NCV грузов</t>
  </si>
  <si>
    <t>The cost of transportation-Стоимость транспортировки  в уе</t>
  </si>
  <si>
    <t>Date of Central Bank rate-Дата -Курса ЦБ</t>
  </si>
  <si>
    <t>Central Bank rate-Курс ЦБ</t>
  </si>
  <si>
    <t>The cost of transportation in the sum equivalent-Стоимость транспортировки в сумовом эквиваленте</t>
  </si>
  <si>
    <t>Insurance-Страхование</t>
  </si>
  <si>
    <t>Transportation total amount-Общая стоимость перевозки сум</t>
  </si>
  <si>
    <t>Freight Invoice num-Номер акта выполненных работ перевозчика</t>
  </si>
  <si>
    <t>Summa</t>
  </si>
  <si>
    <t>UZS</t>
  </si>
  <si>
    <t>CNY</t>
  </si>
  <si>
    <t>O'zbekiston so'mi</t>
  </si>
  <si>
    <t>Xitoy yuani</t>
  </si>
  <si>
    <t>EUR</t>
  </si>
  <si>
    <t>Yevro</t>
  </si>
  <si>
    <t>JPY</t>
  </si>
  <si>
    <t>Yaponiya iyenasi</t>
  </si>
  <si>
    <t>KRW</t>
  </si>
  <si>
    <t>Koreya respublikasi voni</t>
  </si>
  <si>
    <t>RUB</t>
  </si>
  <si>
    <t>Rossiya rubli</t>
  </si>
  <si>
    <t>USD</t>
  </si>
  <si>
    <t>AQSh dollari</t>
  </si>
  <si>
    <t>CHF</t>
  </si>
  <si>
    <t>Shveytsariya franki</t>
  </si>
  <si>
    <t>CENTRUM AVIATION FZCO</t>
  </si>
  <si>
    <t>TSR</t>
  </si>
  <si>
    <t>40'HC</t>
  </si>
  <si>
    <t>Путь к файлу</t>
  </si>
  <si>
    <t>Carrier/ Перевозчик</t>
  </si>
  <si>
    <t>Country /  Страна</t>
  </si>
  <si>
    <t>LOT num. / Лот №</t>
  </si>
  <si>
    <t>Container num./ 
№ контейнера</t>
  </si>
  <si>
    <t>Supplier/
Поставщик</t>
  </si>
  <si>
    <t>Shippers invoice no/ 
Номер инвойса поставщика</t>
  </si>
  <si>
    <t>Model/
 Модель</t>
  </si>
  <si>
    <t>Route/ Маршрут (TSR/TCR)</t>
  </si>
  <si>
    <t>№ HBL date / 
№/ дата коносамента</t>
  </si>
  <si>
    <t>№ MBL / 
№/ коносамента</t>
  </si>
  <si>
    <t>Date on board / Дата погрузки на судно</t>
  </si>
  <si>
    <t>Date of arrival to Sary-Agach/ Дата прибытия на Сары-Агач</t>
  </si>
  <si>
    <t>CBM on the shipper/ 
CBM по поставщику</t>
  </si>
  <si>
    <t>Gross weight of cont// 
Гросс.вес по конт.</t>
  </si>
  <si>
    <t>Transportation cost per supplier/ 
Cтоимость перевозки по поставщикам</t>
  </si>
  <si>
    <t>Insurance / Страхование</t>
  </si>
  <si>
    <t>Transportation total amount / Общая стоимость перевозки</t>
  </si>
  <si>
    <t>Container type/ 
Тип контейнера</t>
  </si>
  <si>
    <t>Invoice value / Стоимость груза в к-ре по инвойсу</t>
  </si>
  <si>
    <t>Transport co invoice no/ 
Номер инвойса ТК</t>
  </si>
  <si>
    <t>Индекс</t>
  </si>
  <si>
    <t>Дата начала отбора курса</t>
  </si>
  <si>
    <t>Дата окончания отбора курса</t>
  </si>
  <si>
    <t>Дн нед</t>
  </si>
  <si>
    <t>Дата</t>
  </si>
  <si>
    <t>Максимальный курс</t>
  </si>
  <si>
    <t>Название акта</t>
  </si>
  <si>
    <t>Путь к акту</t>
  </si>
  <si>
    <t>Условия поставки</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</si>
  <si>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</si>
  <si>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</si>
  <si>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</si>
  <si>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</si>
  <si>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</si>
  <si>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</si>
  <si>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</si>
  <si>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</si>
  <si>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</si>
  <si>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</si>
  <si>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</si>
  <si>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</si>
  <si>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</si>
  <si>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</si>
  <si>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</si>
  <si>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</si>
  <si>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</si>
  <si>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</si>
  <si>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</si>
  <si>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</si>
  <si>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</si>
  <si>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</si>
  <si>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</si>
  <si>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</si>
  <si>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</si>
  <si>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</si>
  <si>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Путь к Справочнику курсов</t>
  </si>
  <si>
    <t>Наиболее ранняя дата прибытия</t>
  </si>
  <si>
    <t>Пн</t>
  </si>
  <si>
    <t>Курс</t>
  </si>
  <si>
    <t>МАКС</t>
  </si>
  <si>
    <r>
      <t xml:space="preserve">Дата курса без поиска максимального </t>
    </r>
    <r>
      <rPr>
        <sz val="10"/>
        <color theme="1"/>
        <rFont val="Calibri"/>
        <family val="2"/>
        <charset val="204"/>
        <scheme val="minor"/>
      </rPr>
      <t>(заполняется при необходимости)</t>
    </r>
  </si>
  <si>
    <t>.</t>
  </si>
  <si>
    <t>UZL-UZA-01 от 01.08.2022г</t>
  </si>
  <si>
    <t>CNT-CKCNRF081-1 ver.xlsx</t>
  </si>
  <si>
    <t>KR</t>
  </si>
  <si>
    <t>81</t>
  </si>
  <si>
    <t>ESPU8031368</t>
  </si>
  <si>
    <t>LINGLONG TIRE</t>
  </si>
  <si>
    <t>6020230570103</t>
  </si>
  <si>
    <t xml:space="preserve">QINGDAO </t>
  </si>
  <si>
    <t>KD PARTS</t>
  </si>
  <si>
    <t>AE230700008</t>
  </si>
  <si>
    <t>SNKO024230700386</t>
  </si>
  <si>
    <t>CNT-CKCNRF081-1</t>
  </si>
  <si>
    <t>CCLU6607797</t>
  </si>
  <si>
    <t>BAODING LIZHONG WHEEL</t>
  </si>
  <si>
    <t>20231367A</t>
  </si>
  <si>
    <t xml:space="preserve">DALIAN </t>
  </si>
  <si>
    <t>SJTJ23070070T</t>
  </si>
  <si>
    <t>PCSLXBL230723007 / SNKO010230802042</t>
  </si>
  <si>
    <t>CXDU1258773</t>
  </si>
  <si>
    <t>20231367B</t>
  </si>
  <si>
    <t>SKHU8309176</t>
  </si>
  <si>
    <t>20231367C</t>
  </si>
  <si>
    <t>TCLU5661758</t>
  </si>
  <si>
    <t>20231367D</t>
  </si>
  <si>
    <t>TCNU5251684</t>
  </si>
  <si>
    <t>20231367AE</t>
  </si>
  <si>
    <t>CCLU6906329</t>
  </si>
  <si>
    <t>CONTITECH FLUID TECHNOLOGY</t>
  </si>
  <si>
    <t>SJTJ2307057A</t>
  </si>
  <si>
    <t xml:space="preserve">CHANGCHUN </t>
  </si>
  <si>
    <t>SJTJ2307057AT</t>
  </si>
  <si>
    <t>PCSLDBF806230721 / SNKO010230802042</t>
  </si>
  <si>
    <t>CCLU7075024</t>
  </si>
  <si>
    <t>SJTJ2307057B</t>
  </si>
  <si>
    <t>SJTJ2307057BT</t>
  </si>
  <si>
    <t>HDMU6892020</t>
  </si>
  <si>
    <t xml:space="preserve">Fujiwa Machinery Industry (Kunshan) </t>
  </si>
  <si>
    <t>23070036</t>
  </si>
  <si>
    <t xml:space="preserve">SHANGHAI </t>
  </si>
  <si>
    <t>SJSH23070053</t>
  </si>
  <si>
    <t>SNKO020230702053</t>
  </si>
  <si>
    <t>FCGU1980303</t>
  </si>
  <si>
    <t>23070035</t>
  </si>
  <si>
    <t>GESU5863328</t>
  </si>
  <si>
    <t>ZHEJING WHANFENG AUTO WHEEL</t>
  </si>
  <si>
    <t>23GMOU7D</t>
  </si>
  <si>
    <t xml:space="preserve">NINGBO </t>
  </si>
  <si>
    <t>CXNB23070081</t>
  </si>
  <si>
    <t>SNKO03K230701165</t>
  </si>
  <si>
    <t>GESU5766272</t>
  </si>
  <si>
    <t>23GMOU7C</t>
  </si>
  <si>
    <t>TCNU7075856</t>
  </si>
  <si>
    <t>23GMOU7E</t>
  </si>
  <si>
    <t>GESU6489085</t>
  </si>
  <si>
    <t>23GMOU7F</t>
  </si>
  <si>
    <t>HDMU6867644</t>
  </si>
  <si>
    <t>SUZHOU SOVANOX ELECTRONICS</t>
  </si>
  <si>
    <t>UZ230701</t>
  </si>
  <si>
    <t>SJSH23070023</t>
  </si>
  <si>
    <t>SNKO020230701378</t>
  </si>
  <si>
    <t>HMMU6009725</t>
  </si>
  <si>
    <t>SKF DISTRIBUTION</t>
  </si>
  <si>
    <t>6064355</t>
  </si>
  <si>
    <t xml:space="preserve">SJSH23070024 </t>
  </si>
  <si>
    <t>SNKO020230701419</t>
  </si>
  <si>
    <t>TCNU8455845</t>
  </si>
  <si>
    <t>LEAR AUTOMOTIVE ELECTRONICS &amp; ELECT
Guiyang Wanjiang Aviation Electromechanical Co,.Ltd.
Anhui Zhongding Sealing Parts Co., Ltd
BOSCH AUTOMOTIVE PRODUCTS (SUZHOU)
ZHEJIANG CHANGJIANG AUTOMOTIVE ELECTRONIC CO.,LTD
NINGBO TUOPU AUTOMOBILE ELECTRONICS</t>
  </si>
  <si>
    <t>23060064
GP230626
2306WWZBKSS002
7138098789
CAEA23215
5TPGMK23172</t>
  </si>
  <si>
    <t>SOCEK2328LB001T</t>
  </si>
  <si>
    <t>SOCEK2328LB001</t>
  </si>
  <si>
    <t>FCIU8123167</t>
  </si>
  <si>
    <t xml:space="preserve">Changzhou Xingyu Automotive Lighting Systems Co., Ltd.
HANGZHOU GUANGAN AUTOMOBILE ELECTRI
SHANGHAI SAMLIP HUIZHONG AUTO COMPO
QINGDAO SUNSONG CO LTD
SHENYANG IYU AUTO PRODUCTS CO LTD
TE Connectivity H.K LTD </t>
  </si>
  <si>
    <t>UZ2307041
23062801A
20230707UZBE
U20230707
SYU230707
36171977</t>
  </si>
  <si>
    <t>FCIU8613333</t>
  </si>
  <si>
    <t>LS AUTOMOTIVE TECHNOLOGIES WUXI COR
Rongcheng Dong-Ah Automotive Parts Co.,Ltd.
NINGBO AUTO CABLE CONTROLS CO., LTD
BASF Polyurethane Specialties (China) Co. Ltd
Nantong Hailin Automobile Rubber &amp; Plastic Products Co., Ltd.
CASCO AUTOMOTIVE SUZHOU CO LTD
Tung Thih Electron(Kunshan) Co.,Ltd.
SHANGHAI BUMAH AUTOMOBILE DECORATIO
Veyance Qingdao Engineered Elastomers Co., Ltd
NINGBO JOYSON TECHNOLOGY CO LTD
HELLA SHANGHAI ELECTRONICS CO LTD</t>
  </si>
  <si>
    <t xml:space="preserve">GMUZ2314 
DAT230706GMU
GMEC3020
6641264065
6641264063
6641264064
6641264068
6641264066
6641264067
NTHL20230702
EP230811
TTEG230707-12
UZ230707
904848608
JQ307001
81417213 </t>
  </si>
  <si>
    <t>TCNU8636592</t>
  </si>
  <si>
    <t>23GMOU7G</t>
  </si>
  <si>
    <t>CXNB23080050</t>
  </si>
  <si>
    <t>SNKO03K230701167</t>
  </si>
  <si>
    <t>GESU5817791</t>
  </si>
  <si>
    <t>23GMOU7I</t>
  </si>
  <si>
    <t>GESU5538122</t>
  </si>
  <si>
    <t>23GMOU7K</t>
  </si>
  <si>
    <t>FCIU8098974</t>
  </si>
  <si>
    <t>23GMOU7H</t>
  </si>
  <si>
    <t>CENTRUM AVIATION FZCO
Доп-4</t>
  </si>
  <si>
    <t>QINGDAO
FOB P-D</t>
  </si>
  <si>
    <t>CHANGCHUN
FCA D-D</t>
  </si>
  <si>
    <t>CNT-CKCNRF081-2 CR111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</si>
</sst>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 _₽_-;\-* #,##0.00\ _₽_-;_-* &quot;-&quot;??\ _₽_-;_-@_-"/>
  </numFmts>
  <fonts count="21" x14ac:knownFonts="1">
    <font>
      <sz val="11"/>
      <color theme="1"/>
      <name val="Calibri"/>
      <family val="2"/>
      <charset val="204"/>
      <scheme val="minor"/>
    </font>
    <font>
      <sz val="11"/>
      <color theme="0"/>
      <name val="Calibri"/>
      <family val="2"/>
      <charset val="204"/>
      <scheme val="minor"/>
    </font>
    <font>
      <sz val="9"/>
      <color theme="0"/>
      <name val="Consolas"/>
      <family val="3"/>
      <charset val="204"/>
    </font>
    <font>
      <sz val="48"/>
      <color theme="0"/>
      <name val="Calibri"/>
      <family val="2"/>
      <charset val="204"/>
      <scheme val="minor"/>
    </font>
    <font>
      <sz val="36"/>
      <color theme="0"/>
      <name val="Calibri"/>
      <family val="2"/>
      <charset val="204"/>
      <scheme val="minor"/>
    </font>
    <font>
      <sz val="11"/>
      <color theme="1"/>
      <name val="Consolas"/>
      <family val="3"/>
      <charset val="204"/>
    </font>
    <font>
      <sz val="11"/>
      <color theme="1"/>
      <name val="Calibri"/>
      <family val="2"/>
      <charset val="204"/>
      <scheme val="minor"/>
    </font>
    <font>
      <b/>
      <sz val="11"/>
      <color theme="1"/>
      <name val="Consolas"/>
      <family val="3"/>
      <charset val="204"/>
    </font>
    <font>
      <sz val="10"/>
      <color theme="1"/>
      <name val="Calibri"/>
      <family val="2"/>
      <charset val="204"/>
      <scheme val="minor"/>
    </font>
    <font>
      <sz val="9"/>
      <color theme="1"/>
      <name val="Calibri"/>
      <family val="2"/>
      <charset val="204"/>
      <scheme val="minor"/>
    </font>
    <font>
      <sz val="12"/>
      <color theme="1"/>
      <name val="Calibri"/>
      <family val="2"/>
      <charset val="204"/>
      <scheme val="minor"/>
    </font>
    <font>
      <sz val="11"/>
      <color theme="1" tint="0.249977111117893"/>
      <name val="Calibri"/>
      <family val="2"/>
      <charset val="204"/>
      <scheme val="minor"/>
    </font>
    <font>
      <sz val="12"/>
      <color theme="1" tint="0.249977111117893"/>
      <name val="Calibri"/>
      <family val="2"/>
      <charset val="204"/>
      <scheme val="minor"/>
    </font>
    <font>
      <i/>
      <sz val="12"/>
      <color theme="1" tint="0.249977111117893"/>
      <name val="Calibri"/>
      <family val="2"/>
      <charset val="204"/>
      <scheme val="minor"/>
    </font>
    <font>
      <i/>
      <sz val="12"/>
      <color rgb="FFFF0000"/>
      <name val="Calibri"/>
      <family val="2"/>
      <charset val="204"/>
      <scheme val="minor"/>
    </font>
    <font>
      <b/>
      <sz val="12"/>
      <color theme="0"/>
      <name val="Calibri"/>
      <family val="2"/>
      <charset val="204"/>
      <scheme val="minor"/>
    </font>
    <font>
      <sz val="14"/>
      <color rgb="FFFF0000"/>
      <name val="Calibri"/>
      <family val="2"/>
      <charset val="204"/>
      <scheme val="minor"/>
    </font>
    <font>
      <i/>
      <sz val="11"/>
      <color theme="1" tint="0.249977111117893"/>
      <name val="Calibri"/>
      <family val="2"/>
      <charset val="204"/>
      <scheme val="minor"/>
    </font>
    <font>
      <sz val="16"/>
      <color theme="0"/>
      <name val="Calibri"/>
      <family val="2"/>
      <charset val="204"/>
      <scheme val="minor"/>
    </font>
    <font>
      <sz val="24"/>
      <color theme="0"/>
      <name val="Calibri"/>
      <family val="2"/>
      <charset val="204"/>
      <scheme val="minor"/>
    </font>
    <font>
      <sz val="8"/>
      <name val="Calibri"/>
      <family val="2"/>
      <charset val="204"/>
      <scheme val="minor"/>
    </font>
  </fonts>
  <fills count="5">
    <fill>
      <patternFill patternType="none"/>
    </fill>
    <fill>
      <patternFill patternType="gray125"/>
    </fill>
    <fill>
      <patternFill patternType="solid">
        <fgColor theme="8" tint="-0.249977111117893"/>
        <bgColor indexed="64"/>
      </patternFill>
    </fill>
    <fill>
      <patternFill patternType="solid">
        <fgColor theme="9" tint="0.79998168889431442"/>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73">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xf numFmtId="43" fontId="5" fillId="3" borderId="1" xfId="1" applyFont="1" applyFill="1" applyBorder="1" applyAlignment="1">
      <alignment horizontal="center" vertical="center" wrapText="1"/>
    </xf>
    <xf numFmtId="43" fontId="7" fillId="3" borderId="1" xfId="1" applyFont="1" applyFill="1" applyBorder="1" applyAlignment="1">
      <alignment horizontal="center" vertical="center" wrapText="1"/>
    </xf>
    <xf numFmtId="0" fontId="0" fillId="0" borderId="0" xfId="0" applyNumberFormat="1"/>
    <xf numFmtId="14" fontId="0" fillId="0" borderId="0" xfId="0" applyNumberFormat="1"/>
    <xf numFmtId="0" fontId="8" fillId="0" borderId="0" xfId="0" applyFont="1"/>
    <xf numFmtId="0" fontId="8" fillId="0" borderId="0" xfId="0" applyNumberFormat="1" applyFont="1"/>
    <xf numFmtId="0" fontId="9" fillId="0" borderId="0" xfId="0" applyFont="1"/>
    <xf numFmtId="14" fontId="9" fillId="0" borderId="0" xfId="0" applyNumberFormat="1" applyFont="1"/>
    <xf numFmtId="0" fontId="0" fillId="0" borderId="0" xfId="0" applyAlignment="1">
      <alignment horizontal="center"/>
    </xf>
    <xf numFmtId="0" fontId="9" fillId="0" borderId="0" xfId="0" applyFont="1" applyAlignment="1">
      <alignment horizontal="center"/>
    </xf>
    <xf numFmtId="43" fontId="9" fillId="0" borderId="0" xfId="1" applyFont="1"/>
    <xf numFmtId="4" fontId="9" fillId="0" borderId="0" xfId="0" applyNumberFormat="1" applyFont="1"/>
    <xf numFmtId="4" fontId="9" fillId="0" borderId="0" xfId="0" applyNumberFormat="1" applyFont="1" applyAlignment="1">
      <alignment horizontal="center"/>
    </xf>
    <xf numFmtId="0" fontId="8" fillId="0" borderId="0" xfId="0" applyFont="1" applyAlignment="1">
      <alignment wrapText="1"/>
    </xf>
    <xf numFmtId="164" fontId="8" fillId="0" borderId="0" xfId="0" applyNumberFormat="1" applyFont="1"/>
    <xf numFmtId="0" fontId="1" fillId="2" borderId="5" xfId="0" applyFont="1" applyFill="1" applyBorder="1" applyAlignment="1">
      <alignment horizontal="center" vertical="center"/>
    </xf>
    <xf numFmtId="4" fontId="5" fillId="3" borderId="1" xfId="0" applyNumberFormat="1" applyFont="1" applyFill="1" applyBorder="1" applyAlignment="1">
      <alignment horizontal="center" vertical="center" wrapText="1"/>
    </xf>
    <xf numFmtId="14" fontId="10" fillId="0" borderId="0" xfId="0" applyNumberFormat="1" applyFont="1"/>
    <xf numFmtId="0" fontId="0" fillId="0" borderId="0" xfId="0" applyAlignment="1">
      <alignment horizontal="center" vertical="center" wrapText="1"/>
    </xf>
    <xf numFmtId="0" fontId="0" fillId="0" borderId="0" xfId="0" applyNumberFormat="1" applyAlignment="1">
      <alignment horizontal="center"/>
    </xf>
    <xf numFmtId="0" fontId="0" fillId="0" borderId="0" xfId="0" applyAlignment="1">
      <alignment horizontal="center" vertical="center"/>
    </xf>
    <xf numFmtId="0" fontId="5" fillId="3" borderId="1" xfId="1" applyNumberFormat="1" applyFont="1" applyFill="1" applyBorder="1" applyAlignment="1">
      <alignment horizontal="center" vertical="center" wrapText="1"/>
    </xf>
    <xf numFmtId="0" fontId="1" fillId="2" borderId="7" xfId="0" applyFont="1" applyFill="1" applyBorder="1" applyAlignment="1">
      <alignment horizontal="center" vertical="center"/>
    </xf>
    <xf numFmtId="0" fontId="11" fillId="0" borderId="0" xfId="0" applyFont="1"/>
    <xf numFmtId="0" fontId="12" fillId="0" borderId="0" xfId="0" applyFont="1"/>
    <xf numFmtId="0" fontId="13" fillId="0" borderId="0" xfId="0" applyFont="1"/>
    <xf numFmtId="0" fontId="14" fillId="0" borderId="0" xfId="0" applyFont="1"/>
    <xf numFmtId="0" fontId="15" fillId="4" borderId="0" xfId="0" applyFont="1" applyFill="1"/>
    <xf numFmtId="0" fontId="16" fillId="0" borderId="0" xfId="0" applyFont="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9" fillId="0" borderId="0" xfId="0" applyFont="1" applyAlignment="1">
      <alignment wrapText="1"/>
    </xf>
    <xf numFmtId="43" fontId="9" fillId="0" borderId="0" xfId="1" applyFont="1" applyAlignment="1">
      <alignment wrapText="1"/>
    </xf>
    <xf numFmtId="4" fontId="9" fillId="0" borderId="0" xfId="0" applyNumberFormat="1" applyFont="1" applyAlignment="1">
      <alignment wrapText="1"/>
    </xf>
    <xf numFmtId="14" fontId="9" fillId="0" borderId="0" xfId="0" applyNumberFormat="1" applyFont="1" applyAlignment="1">
      <alignment wrapText="1"/>
    </xf>
    <xf numFmtId="0" fontId="9" fillId="0" borderId="0" xfId="0" applyNumberFormat="1" applyFont="1" applyAlignment="1">
      <alignment wrapText="1"/>
    </xf>
    <xf numFmtId="0" fontId="11" fillId="0" borderId="0" xfId="0" applyFont="1" applyAlignment="1">
      <alignment wrapText="1"/>
    </xf>
    <xf numFmtId="0" fontId="17" fillId="0" borderId="0" xfId="0" applyFont="1"/>
    <xf numFmtId="0" fontId="9" fillId="0" borderId="0" xfId="0" applyFont="1" applyAlignment="1">
      <alignment horizontal="center" wrapText="1"/>
    </xf>
    <xf numFmtId="0" fontId="9" fillId="0" borderId="0" xfId="0" applyNumberFormat="1" applyFont="1" applyAlignment="1">
      <alignment horizontal="center" wrapText="1"/>
    </xf>
    <xf numFmtId="4" fontId="9" fillId="0" borderId="0" xfId="0" applyNumberFormat="1" applyFont="1" applyAlignment="1">
      <alignment horizontal="center" wrapText="1"/>
    </xf>
    <xf numFmtId="14" fontId="8" fillId="0" borderId="0" xfId="0" applyNumberFormat="1" applyFont="1"/>
    <xf numFmtId="14" fontId="10" fillId="3" borderId="0" xfId="0" applyNumberFormat="1" applyFont="1" applyFill="1"/>
    <xf numFmtId="164" fontId="0" fillId="0" borderId="0" xfId="0" applyNumberFormat="1"/>
    <xf numFmtId="0" fontId="9" fillId="0" borderId="0" xfId="0" applyFont="1" applyAlignment="1">
      <alignment horizontal="center" vertical="center" wrapText="1"/>
    </xf>
    <xf numFmtId="0" fontId="9" fillId="0" borderId="0" xfId="0" applyNumberFormat="1" applyFont="1" applyAlignment="1">
      <alignment horizontal="center" vertical="center" wrapText="1"/>
    </xf>
    <xf numFmtId="4" fontId="9" fillId="0" borderId="0" xfId="0" applyNumberFormat="1" applyFont="1" applyAlignment="1">
      <alignment horizontal="center" vertical="center" wrapText="1"/>
    </xf>
    <xf numFmtId="16" fontId="0" fillId="0" borderId="0" xfId="0" applyNumberFormat="1"/>
    <xf numFmtId="0" fontId="9" fillId="0" borderId="0" xfId="0" applyNumberFormat="1" applyFont="1" applyAlignment="1">
      <alignment vertical="center" wrapText="1"/>
    </xf>
    <xf numFmtId="43" fontId="9" fillId="0" borderId="0" xfId="1" applyFont="1" applyAlignment="1">
      <alignment vertical="center" wrapText="1"/>
    </xf>
    <xf numFmtId="0" fontId="9" fillId="0" borderId="0" xfId="0" applyFont="1" applyAlignment="1">
      <alignment vertical="center" wrapText="1"/>
    </xf>
    <xf numFmtId="4" fontId="9" fillId="0" borderId="0" xfId="0" applyNumberFormat="1" applyFont="1" applyAlignment="1">
      <alignment vertical="center" wrapText="1"/>
    </xf>
    <xf numFmtId="14" fontId="9" fillId="0" borderId="0" xfId="0" applyNumberFormat="1" applyFont="1" applyAlignment="1">
      <alignment vertical="center" wrapText="1"/>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6" xfId="0" applyFont="1" applyFill="1" applyBorder="1" applyAlignment="1" applyProtection="1">
      <alignment horizontal="center" vertical="center"/>
      <protection locked="0"/>
    </xf>
    <xf numFmtId="14" fontId="18" fillId="2" borderId="1" xfId="0" applyNumberFormat="1" applyFont="1" applyFill="1" applyBorder="1" applyAlignment="1">
      <alignment horizontal="center" vertical="center" wrapText="1"/>
    </xf>
    <xf numFmtId="0" fontId="19" fillId="2" borderId="9" xfId="0" applyFont="1" applyFill="1" applyBorder="1" applyAlignment="1">
      <alignment horizontal="center" vertical="center"/>
    </xf>
    <xf numFmtId="0" fontId="19" fillId="2" borderId="8" xfId="0" applyFont="1" applyFill="1" applyBorder="1" applyAlignment="1">
      <alignment horizontal="center" vertical="center"/>
    </xf>
    <xf numFmtId="0" fontId="19" fillId="2" borderId="10"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pplyProtection="1">
      <alignment horizontal="center" vertical="center"/>
      <protection locked="0"/>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Обычный" xfId="0" builtinId="0"/>
    <cellStyle name="Финансовый" xfId="1" builtinId="3"/>
  </cellStyles>
  <dxfs count="92">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numFmt numFmtId="4" formatCode="#,##0.00"/>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9"/>
        <color theme="1"/>
        <name val="Calibri"/>
        <family val="2"/>
        <charset val="204"/>
        <scheme val="minor"/>
      </font>
    </dxf>
    <dxf>
      <border outline="0">
        <bottom style="thin">
          <color indexed="64"/>
        </bottom>
      </border>
    </dxf>
    <dxf>
      <font>
        <b val="0"/>
        <i val="0"/>
        <strike val="0"/>
        <condense val="0"/>
        <extend val="0"/>
        <outline val="0"/>
        <shadow val="0"/>
        <u val="none"/>
        <vertAlign val="baseline"/>
        <sz val="11"/>
        <color theme="0"/>
        <name val="Calibri"/>
        <family val="2"/>
        <charset val="204"/>
        <scheme val="minor"/>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_-* #,##0.00\ _₽_-;\-* #,##0.00\ _₽_-;_-* &quot;-&quot;??\ _₽_-;_-@_-"/>
    </dxf>
    <dxf>
      <numFmt numFmtId="19" formatCode="dd/mm/yyyy"/>
    </dxf>
    <dxf>
      <numFmt numFmtId="0" formatCode="General"/>
      <alignment horizontal="center" vertical="bottom" textRotation="0" wrapText="0" indent="0" justifyLastLine="0" shrinkToFit="0" readingOrder="0"/>
    </dxf>
    <dxf>
      <alignment horizontal="center" vertical="center" textRotation="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04"/>
        <scheme val="minor"/>
      </font>
      <numFmt numFmtId="19" formatCode="dd/mm/yyyy"/>
      <fill>
        <patternFill patternType="solid">
          <fgColor indexed="64"/>
          <bgColor theme="9" tint="0.79998168889431442"/>
        </patternFill>
      </fill>
    </dxf>
    <dxf>
      <font>
        <b val="0"/>
        <i val="0"/>
        <strike val="0"/>
        <condense val="0"/>
        <extend val="0"/>
        <outline val="0"/>
        <shadow val="0"/>
        <u val="none"/>
        <vertAlign val="baseline"/>
        <sz val="12"/>
        <color theme="1"/>
        <name val="Calibri"/>
        <family val="2"/>
        <charset val="204"/>
        <scheme val="minor"/>
      </font>
      <numFmt numFmtId="19" formatCode="dd/mm/yyyy"/>
    </dxf>
    <dxf>
      <font>
        <b val="0"/>
        <i val="0"/>
        <strike val="0"/>
        <condense val="0"/>
        <extend val="0"/>
        <outline val="0"/>
        <shadow val="0"/>
        <u val="none"/>
        <vertAlign val="baseline"/>
        <sz val="12"/>
        <color theme="1"/>
        <name val="Calibri"/>
        <family val="2"/>
        <charset val="204"/>
        <scheme val="minor"/>
      </font>
      <numFmt numFmtId="19" formatCode="dd/mm/yyyy"/>
    </dxf>
    <dxf>
      <alignment horizontal="center" vertical="center" textRotation="0" wrapText="1" indent="0" justifyLastLine="0" shrinkToFit="0" readingOrder="0"/>
    </dxf>
    <dxf>
      <font>
        <strike val="0"/>
        <outline val="0"/>
        <shadow val="0"/>
        <u val="none"/>
        <vertAlign val="baseline"/>
        <sz val="10"/>
        <color theme="1"/>
        <name val="Calibri"/>
        <family val="2"/>
        <charset val="204"/>
        <scheme val="minor"/>
      </font>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9" formatCode="dd/mm/yyyy"/>
    </dxf>
    <dxf>
      <font>
        <strike val="0"/>
        <outline val="0"/>
        <shadow val="0"/>
        <u val="none"/>
        <vertAlign val="baseline"/>
        <sz val="10"/>
        <color theme="1"/>
        <name val="Calibri"/>
        <family val="2"/>
        <charset val="204"/>
        <scheme val="minor"/>
      </font>
      <numFmt numFmtId="19" formatCode="dd/mm/yyyy"/>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dxf>
    <dxf>
      <font>
        <strike val="0"/>
        <outline val="0"/>
        <shadow val="0"/>
        <u val="none"/>
        <vertAlign val="baseline"/>
        <sz val="10"/>
        <color theme="1"/>
        <name val="Calibri"/>
        <family val="2"/>
        <charset val="204"/>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sz val="9"/>
      </font>
      <numFmt numFmtId="0" formatCode="General"/>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sz val="9"/>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4" formatCode="#,##0.00"/>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sz val="9"/>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horizontal="center"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b val="0"/>
        <i val="0"/>
        <strike val="0"/>
        <condense val="0"/>
        <extend val="0"/>
        <outline val="0"/>
        <shadow val="0"/>
        <u val="none"/>
        <vertAlign val="baseline"/>
        <sz val="11"/>
        <color theme="0"/>
        <name val="Calibri"/>
        <family val="2"/>
        <charset val="204"/>
        <scheme val="minor"/>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2F9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4" xr16:uid="{1C241846-7515-434D-9C63-36A44A07ECFB}" autoFormatId="16" applyNumberFormats="0" applyBorderFormats="0" applyFontFormats="0" applyPatternFormats="0" applyAlignmentFormats="0" applyWidthHeightFormats="0">
  <queryTableRefresh nextId="27">
    <queryTableFields count="26">
      <queryTableField id="1" name="1" tableColumnId="1"/>
      <queryTableField id="2" name="2" tableColumnId="2"/>
      <queryTableField id="3" name="3" tableColumnId="3"/>
      <queryTableField id="4" name="4" tableColumnId="4"/>
      <queryTableField id="5" name="5" tableColumnId="5"/>
      <queryTableField id="6" name="6" tableColumnId="6"/>
      <queryTableField id="7" name="7" tableColumnId="7"/>
      <queryTableField id="8" name="8" tableColumnId="8"/>
      <queryTableField id="9" name="9" tableColumnId="9"/>
      <queryTableField id="10" name="10" tableColumnId="10"/>
      <queryTableField id="11" name="11" tableColumnId="11"/>
      <queryTableField id="12" name="12" tableColumnId="12"/>
      <queryTableField id="13" name="13" tableColumnId="13"/>
      <queryTableField id="14" name="14" tableColumnId="14"/>
      <queryTableField id="15" name="15" tableColumnId="15"/>
      <queryTableField id="16" name="16" tableColumnId="16"/>
      <queryTableField id="17" name="17" tableColumnId="17"/>
      <queryTableField id="18" name="18" tableColumnId="18"/>
      <queryTableField id="19" name="19" tableColumnId="19"/>
      <queryTableField id="20" name="20" tableColumnId="20"/>
      <queryTableField id="21" name="21" tableColumnId="21"/>
      <queryTableField id="22" name="22" tableColumnId="22"/>
      <queryTableField id="23" name="23" tableColumnId="23"/>
      <queryTableField id="24" name="24" tableColumnId="24"/>
      <queryTableField id="25" name="25" tableColumnId="25"/>
      <queryTableField id="26" name="26"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1" xr16:uid="{89C29027-E8F5-487B-AA03-94DF141BF563}" autoFormatId="16" applyNumberFormats="0" applyBorderFormats="0" applyFontFormats="0" applyPatternFormats="0" applyAlignmentFormats="0" applyWidthHeightFormats="0">
  <queryTableRefresh nextId="50">
    <queryTableFields count="22">
      <queryTableField id="24" name="Carrier/ Перевозчик" tableColumnId="24"/>
      <queryTableField id="25" name="Country /  Страна" tableColumnId="25"/>
      <queryTableField id="26" name="LOT num. / Лот №" tableColumnId="26"/>
      <queryTableField id="27" name="Container num./ _x000a_№ контейнера" tableColumnId="27"/>
      <queryTableField id="28" name="Supplier/_x000a_Поставщик" tableColumnId="28"/>
      <queryTableField id="29" name="Shippers invoice no/ _x000a_Номер инвойса поставщика" tableColumnId="29"/>
      <queryTableField id="48" name="Условия поставки" tableColumnId="1"/>
      <queryTableField id="31" name="Model/_x000a_ Модель" tableColumnId="31"/>
      <queryTableField id="32" name="Route/ Маршрут (TSR/TCR)" tableColumnId="32"/>
      <queryTableField id="33" name="№ HBL date / _x000a_№/ дата коносамента" tableColumnId="33"/>
      <queryTableField id="34" name="№ MBL / _x000a_№/ коносамента" tableColumnId="34"/>
      <queryTableField id="35" name="Date on board / Дата погрузки на судно" tableColumnId="35"/>
      <queryTableField id="36" name="Date of arrival to Sary-Agach/ Дата прибытия на Сары-Агач" tableColumnId="36"/>
      <queryTableField id="37" name="CBM on the shipper/ _x000a_CBM по поставщику" tableColumnId="37"/>
      <queryTableField id="38" name="Gross weight of cont// _x000a_Гросс.вес по конт." tableColumnId="38"/>
      <queryTableField id="39" name="Transportation cost per supplier/ _x000a_Cтоимость перевозки по поставщикам" tableColumnId="39"/>
      <queryTableField id="40" name="Insurance / Страхование" tableColumnId="40"/>
      <queryTableField id="41" name="Transportation total amount / Общая стоимость перевозки" tableColumnId="41"/>
      <queryTableField id="42" name="Container type/ _x000a_Тип контейнера" tableColumnId="42"/>
      <queryTableField id="43" name="Invoice value / Стоимость груза в к-ре по инвойсу" tableColumnId="43"/>
      <queryTableField id="44" name="Transport co invoice no/ _x000a_Номер инвойса ТК" tableColumnId="44"/>
      <queryTableField id="46" name="Индекс" tableColumnId="4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2" xr16:uid="{FC3E0569-5835-477B-8DBD-BD0116D3DEB1}" autoFormatId="16" applyNumberFormats="0" applyBorderFormats="0" applyFontFormats="0" applyPatternFormats="0" applyAlignmentFormats="0" applyWidthHeightFormats="0">
  <queryTableRefresh nextId="8">
    <queryTableFields count="4">
      <queryTableField id="1" name="Дн нед" tableColumnId="1"/>
      <queryTableField id="2" name="Дата" tableColumnId="2"/>
      <queryTableField id="6" name="Курс" tableColumnId="3"/>
      <queryTableField id="7" name="Максимальный курс"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72B670-9EBD-4DDF-B3F2-81B41E46769E}" name="Шаблон_Формулы_2" displayName="Шаблон_Формулы_2" ref="A2:Z6" tableType="queryTable" totalsRowShown="0" headerRowDxfId="91" dataDxfId="90" tableBorderDxfId="89">
  <autoFilter ref="A2:Z6" xr:uid="{2172B670-9EBD-4DDF-B3F2-81B41E4676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A434EB3C-8376-48E8-B977-7F2BDEF4C531}" uniqueName="1" name="1" queryTableFieldId="1" dataDxfId="88"/>
    <tableColumn id="2" xr3:uid="{8A87712C-FC73-4678-B1A7-ED16A8E04E71}" uniqueName="2" name="2" queryTableFieldId="2" dataDxfId="87"/>
    <tableColumn id="3" xr3:uid="{D148B657-97B3-4E46-93B8-6B1F20441BFF}" uniqueName="3" name="3" queryTableFieldId="3" dataDxfId="86"/>
    <tableColumn id="4" xr3:uid="{41DC2B2B-DC98-4A52-BCD6-A4D95BBD953E}" uniqueName="4" name="4" queryTableFieldId="4" dataDxfId="85"/>
    <tableColumn id="5" xr3:uid="{1D866B85-DF46-4A1E-944F-986C019F9BC1}" uniqueName="5" name="5" queryTableFieldId="5" dataDxfId="84"/>
    <tableColumn id="6" xr3:uid="{3FB0D426-BB7F-4C2E-AE23-CCC777815CE8}" uniqueName="6" name="6" queryTableFieldId="6" dataDxfId="83"/>
    <tableColumn id="7" xr3:uid="{634833FD-8BCD-46C0-B3AC-ADF92E1F1DA3}" uniqueName="7" name="7" queryTableFieldId="7" dataDxfId="82" dataCellStyle="Финансовый"/>
    <tableColumn id="8" xr3:uid="{3A30ACC9-9C1F-4DDE-B6D4-274E27DD3664}" uniqueName="8" name="8" queryTableFieldId="8" dataDxfId="81"/>
    <tableColumn id="9" xr3:uid="{C72BEEDD-A656-42A9-BFBA-8C91A38CA41D}" uniqueName="9" name="9" queryTableFieldId="9" dataDxfId="80"/>
    <tableColumn id="10" xr3:uid="{FA489D1A-BD4C-4A40-840B-54A23E6FE1B6}" uniqueName="10" name="10" queryTableFieldId="10" dataDxfId="79"/>
    <tableColumn id="11" xr3:uid="{AF649117-E4FD-47F6-94D2-7E0D741B1108}" uniqueName="11" name="11" queryTableFieldId="11" dataDxfId="78"/>
    <tableColumn id="12" xr3:uid="{6E4EE260-E04D-4ADC-869F-B8FD8CF3742C}" uniqueName="12" name="12" queryTableFieldId="12" dataDxfId="77"/>
    <tableColumn id="13" xr3:uid="{23E2C403-EC82-4A11-B21E-3CDF9FF92735}" uniqueName="13" name="13" queryTableFieldId="13" dataDxfId="76"/>
    <tableColumn id="14" xr3:uid="{B90B6DA9-B0EC-4D7D-BF3D-9FA1954332A4}" uniqueName="14" name="14" queryTableFieldId="14" dataDxfId="75"/>
    <tableColumn id="15" xr3:uid="{A0754BD4-1808-4F1C-9BE0-CD5590CD3151}" uniqueName="15" name="15" queryTableFieldId="15" dataDxfId="74"/>
    <tableColumn id="16" xr3:uid="{6FF623EF-0A86-4754-A87A-F356B7ACBF2D}" uniqueName="16" name="16" queryTableFieldId="16" dataDxfId="73"/>
    <tableColumn id="17" xr3:uid="{9158F7F1-6BFE-4F93-94CE-81ABA288FDEA}" uniqueName="17" name="17" queryTableFieldId="17" dataDxfId="72"/>
    <tableColumn id="18" xr3:uid="{420AF06A-A8C7-4FCD-A2F3-090E8B2B7AC3}" uniqueName="18" name="18" queryTableFieldId="18" dataDxfId="71"/>
    <tableColumn id="19" xr3:uid="{4274A0A0-56D1-4E95-B283-1EDFBA256114}" uniqueName="19" name="19" queryTableFieldId="19" dataDxfId="70"/>
    <tableColumn id="20" xr3:uid="{B6F87092-021B-4BDE-BCDE-9F7C6B8F1E36}" uniqueName="20" name="20" queryTableFieldId="20" dataDxfId="69"/>
    <tableColumn id="21" xr3:uid="{70453219-26CE-401C-A798-3E6AC931E0FC}" uniqueName="21" name="21" queryTableFieldId="21" dataDxfId="68"/>
    <tableColumn id="22" xr3:uid="{3F4116D9-77AB-43A0-BEF2-5B20A0F3707E}" uniqueName="22" name="22" queryTableFieldId="22" dataDxfId="67"/>
    <tableColumn id="23" xr3:uid="{0B9465B3-5A11-4241-A0D8-736A6CF17BC3}" uniqueName="23" name="23" queryTableFieldId="23" dataDxfId="66"/>
    <tableColumn id="24" xr3:uid="{A92E1B7E-9131-4031-9E80-42D518598C99}" uniqueName="24" name="24" queryTableFieldId="24" dataDxfId="65"/>
    <tableColumn id="25" xr3:uid="{B6EC9D45-01EE-4BF8-A9AB-678B33FC1ACE}" uniqueName="25" name="25" queryTableFieldId="25" dataDxfId="64"/>
    <tableColumn id="26" xr3:uid="{FB1E0E35-5389-4522-9C98-B22D7ACA016A}" uniqueName="26" name="26" queryTableFieldId="26" dataDxfId="6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834A19-259B-40D5-9FFB-3CD1C5FF657E}" name="Centrum" displayName="Centrum" ref="A1:V24" tableType="queryTable" totalsRowShown="0" headerRowDxfId="62" dataDxfId="61">
  <autoFilter ref="A1:V24" xr:uid="{5B834A19-259B-40D5-9FFB-3CD1C5FF657E}"/>
  <tableColumns count="22">
    <tableColumn id="24" xr3:uid="{820CA1E5-3B6A-4975-83E6-6A57E1DC07B9}" uniqueName="24" name="Carrier/ Перевозчик" queryTableFieldId="24" dataDxfId="60"/>
    <tableColumn id="25" xr3:uid="{A08D0DF8-8304-46D8-A023-E0DC7A43A85E}" uniqueName="25" name="Country /  Страна" queryTableFieldId="25" dataDxfId="59"/>
    <tableColumn id="26" xr3:uid="{211543C6-8B39-4D7F-A065-2D4127184827}" uniqueName="26" name="LOT num. / Лот №" queryTableFieldId="26" dataDxfId="58"/>
    <tableColumn id="27" xr3:uid="{3CFDF01C-2110-4904-9F67-CA5BDD532C71}" uniqueName="27" name="Container num./ _x000a_№ контейнера" queryTableFieldId="27" dataDxfId="57"/>
    <tableColumn id="28" xr3:uid="{6D9C3AEC-8568-4945-9822-7326121AE2BE}" uniqueName="28" name="Supplier/_x000a_Поставщик" queryTableFieldId="28" dataDxfId="56"/>
    <tableColumn id="29" xr3:uid="{4C6F67F4-DE26-4669-A8AD-1C444D0323B4}" uniqueName="29" name="Shippers invoice no/ _x000a_Номер инвойса поставщика" queryTableFieldId="29" dataDxfId="55"/>
    <tableColumn id="1" xr3:uid="{422CE8A7-A089-483F-AD03-86A758335FDC}" uniqueName="1" name="Условия поставки" queryTableFieldId="48" dataDxfId="54"/>
    <tableColumn id="31" xr3:uid="{7D01696C-7E2D-4CB4-93BC-1CD1F6A5B2BD}" uniqueName="31" name="Model/_x000a_ Модель" queryTableFieldId="31" dataDxfId="53"/>
    <tableColumn id="32" xr3:uid="{96FE3713-6532-45F6-AB25-30CC2379DC9B}" uniqueName="32" name="Route/ Маршрут (TSR/TCR)" queryTableFieldId="32" dataDxfId="52"/>
    <tableColumn id="33" xr3:uid="{D27E6612-234B-457E-87E0-A4909D52DF73}" uniqueName="33" name="№ HBL date / _x000a_№/ дата коносамента" queryTableFieldId="33" dataDxfId="51"/>
    <tableColumn id="34" xr3:uid="{E6413C8D-B31F-4A38-91EC-FAB9663C3845}" uniqueName="34" name="№ MBL / _x000a_№/ коносамента" queryTableFieldId="34" dataDxfId="50"/>
    <tableColumn id="35" xr3:uid="{4E2F2BFA-5BE9-49B5-AA5B-167709C74547}" uniqueName="35" name="Date on board / Дата погрузки на судно" queryTableFieldId="35" dataDxfId="49"/>
    <tableColumn id="36" xr3:uid="{495FCEE0-A29B-4621-A4D9-05FEC789415B}" uniqueName="36" name="Date of arrival to Sary-Agach/ Дата прибытия на Сары-Агач" queryTableFieldId="36" dataDxfId="48"/>
    <tableColumn id="37" xr3:uid="{5642708B-58F2-4DB9-96AD-804F21B7F6DB}" uniqueName="37" name="CBM on the shipper/ _x000a_CBM по поставщику" queryTableFieldId="37" dataDxfId="47"/>
    <tableColumn id="38" xr3:uid="{8DD201C6-1972-4F2A-B9D4-C04D62190AD3}" uniqueName="38" name="Gross weight of cont// _x000a_Гросс.вес по конт." queryTableFieldId="38" dataDxfId="46"/>
    <tableColumn id="39" xr3:uid="{6618D9C5-1683-489C-A3DA-CEB8404A1C93}" uniqueName="39" name="Transportation cost per supplier/ _x000a_Cтоимость перевозки по поставщикам" queryTableFieldId="39" dataDxfId="45"/>
    <tableColumn id="40" xr3:uid="{BF908EB4-A3E6-4CDE-9952-4CCB87246947}" uniqueName="40" name="Insurance / Страхование" queryTableFieldId="40" dataDxfId="44"/>
    <tableColumn id="41" xr3:uid="{05308627-F3E0-431D-A910-B0CBF115DD85}" uniqueName="41" name="Transportation total amount / Общая стоимость перевозки" queryTableFieldId="41" dataDxfId="43"/>
    <tableColumn id="42" xr3:uid="{C82B05DB-D11B-4987-95C0-26F1B6EEE9B7}" uniqueName="42" name="Container type/ _x000a_Тип контейнера" queryTableFieldId="42" dataDxfId="42"/>
    <tableColumn id="43" xr3:uid="{752EB5F1-EB0F-45D4-8A66-A36F2C22A22E}" uniqueName="43" name="Invoice value / Стоимость груза в к-ре по инвойсу" queryTableFieldId="43" dataDxfId="41"/>
    <tableColumn id="44" xr3:uid="{5039A037-2417-4C14-B5F7-4C1E7C3843AA}" uniqueName="44" name="Transport co invoice no/ _x000a_Номер инвойса ТК" queryTableFieldId="44" dataDxfId="40"/>
    <tableColumn id="46" xr3:uid="{CAA3EF7B-0725-49C7-A940-D76704F37FF5}" uniqueName="46" name="Индекс" queryTableFieldId="46" dataDxfId="3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D0774A-AC69-4A35-9618-786477F8109E}" name="ПериодОтбора" displayName="ПериодОтбора" ref="A1:E2" totalsRowShown="0" headerRowDxfId="38">
  <autoFilter ref="A1:E2" xr:uid="{50D0774A-AC69-4A35-9618-786477F8109E}"/>
  <tableColumns count="5">
    <tableColumn id="1" xr3:uid="{B97A6CA7-7104-48AE-8A92-0127F4D4689D}" name="Наиболее ранняя дата прибытия" dataDxfId="37">
      <calculatedColumnFormula>MIN(Centrum[Date of arrival to Sary-Agach/ Дата прибытия на Сары-Агач])</calculatedColumnFormula>
    </tableColumn>
    <tableColumn id="2" xr3:uid="{F026247C-CDDC-49E3-B57D-9992A2C6C00C}" name="Дата начала отбора курса">
      <calculatedColumnFormula>MAX(Centrum[Date of arrival to Sary-Agach/ Дата прибытия на Сары-Агач])</calculatedColumnFormula>
    </tableColumn>
    <tableColumn id="3" xr3:uid="{8CA749DD-2B73-47BC-B4CF-4E7DE8BC12CC}" name="Дата окончания отбора курса" dataDxfId="36">
      <calculatedColumnFormula>IF(WORKDAY(A2,15)&gt;=TODAY(),TODAY(),WORKDAY(A2,15))</calculatedColumnFormula>
    </tableColumn>
    <tableColumn id="5" xr3:uid="{ECAFD6EF-47EB-4A57-B93E-B5E6B347C1EE}" name="Дата курса без поиска максимального (заполняется при необходимости)" dataDxfId="35"/>
    <tableColumn id="4" xr3:uid="{25A2372F-BFA9-4494-8DA3-AFE46A6AA6DD}" name="Валюта" dataDxfId="34"/>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137B49-3125-432F-A630-6DD50D11EBE0}" name="Курс_USD" displayName="Курс_USD" ref="A5:D6" tableType="queryTable" totalsRowShown="0" headerRowDxfId="33">
  <autoFilter ref="A5:D6" xr:uid="{6A137B49-3125-432F-A630-6DD50D11EBE0}"/>
  <tableColumns count="4">
    <tableColumn id="1" xr3:uid="{EC288063-33AD-415F-970A-12D8A501ABB6}" uniqueName="1" name="Дн нед" queryTableFieldId="1" dataDxfId="32"/>
    <tableColumn id="2" xr3:uid="{100266FB-FD9A-45B7-AE2D-3D4D7A8DD2E2}" uniqueName="2" name="Дата" queryTableFieldId="2" dataDxfId="31"/>
    <tableColumn id="3" xr3:uid="{A7A9BA93-4495-4953-8461-1FF7B1785C0E}" uniqueName="3" name="Курс" queryTableFieldId="6" dataDxfId="30"/>
    <tableColumn id="4" xr3:uid="{2F9F5CFB-53D7-4F86-8909-8A4D36C5A28B}" uniqueName="4" name="Максимальный курс" queryTableFieldId="7"/>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B1D09C-DEA4-4C6B-9A0D-3FD322FFB58E}" name="Шаблон_Формулы" displayName="Шаблон_Формулы" ref="A2:Z154" totalsRowShown="0" headerRowDxfId="29" dataDxfId="27" headerRowBorderDxfId="28" tableBorderDxfId="26">
  <autoFilter ref="A2:Z154" xr:uid="{12B1D09C-DEA4-4C6B-9A0D-3FD322FFB58E}"/>
  <tableColumns count="26">
    <tableColumn id="1" xr3:uid="{EECC832E-C76E-4694-A5A3-64DC16DFA877}" name="1" dataDxfId="25"/>
    <tableColumn id="2" xr3:uid="{80163841-85DF-45AF-B7E7-9E8BAC067856}" name="2" dataDxfId="24">
      <calculatedColumnFormula>_xlfn.XLOOKUP($A3,Centrum[Индекс],Centrum[Carrier/ Перевозчик],"",0,1)</calculatedColumnFormula>
    </tableColumn>
    <tableColumn id="3" xr3:uid="{CA85C000-838A-439D-9211-E21F6CC17707}" name="3" dataDxfId="23">
      <calculatedColumnFormula>_xlfn.XLOOKUP($A3,Centrum[Индекс],Centrum[Country /  Страна],"",0,1)</calculatedColumnFormula>
    </tableColumn>
    <tableColumn id="4" xr3:uid="{7431317B-AE29-4CFE-AC62-FA82612ACE82}" name="4" dataDxfId="22">
      <calculatedColumnFormula>_xlfn.XLOOKUP($A3,Centrum[Индекс],Centrum[Container num./ 
№ контейнера],"",0,1)</calculatedColumnFormula>
    </tableColumn>
    <tableColumn id="5" xr3:uid="{3EF1956F-4D3B-46B0-9F66-B38A17048A4F}" name="5" dataDxfId="21">
      <calculatedColumnFormula>_xlfn.XLOOKUP($A3,Centrum[Индекс],Centrum[Supplier/
Поставщик],"",0,1)</calculatedColumnFormula>
    </tableColumn>
    <tableColumn id="6" xr3:uid="{4432DDD8-C665-4F6B-950E-1927A7F7118D}" name="6" dataDxfId="20">
      <calculatedColumnFormula>_xlfn.XLOOKUP($A3,Centrum[Индекс],Centrum[Shippers invoice no/ 
Номер инвойса поставщика],"",1)</calculatedColumnFormula>
    </tableColumn>
    <tableColumn id="7" xr3:uid="{1CA7C4FD-641C-450D-8DD1-22F160E6F34B}" name="7" dataDxfId="19" dataCellStyle="Финансовый">
      <calculatedColumnFormula>_xlfn.XLOOKUP($A3,Centrum[Индекс],Centrum[Invoice value / Стоимость груза в к-ре по инвойсу],"",0,1)</calculatedColumnFormula>
    </tableColumn>
    <tableColumn id="8" xr3:uid="{FB63AE05-E41D-4842-892A-D7562D79385B}" name="8" dataDxfId="18"/>
    <tableColumn id="9" xr3:uid="{370A2487-A477-458B-A444-1301F9EA66A1}" name="9" dataDxfId="17">
      <calculatedColumnFormula>_xlfn.XLOOKUP($A3,Centrum[Индекс],Centrum[CBM on the shipper/ 
CBM по поставщику],"",0,1)</calculatedColumnFormula>
    </tableColumn>
    <tableColumn id="10" xr3:uid="{038E84C5-C7A9-45FB-A8DB-708203D4A03D}" name="10" dataDxfId="16">
      <calculatedColumnFormula>_xlfn.XLOOKUP($A3,Centrum[Индекс],Centrum[Gross weight of cont// 
Гросс.вес по конт.],"",0,1)</calculatedColumnFormula>
    </tableColumn>
    <tableColumn id="11" xr3:uid="{05F76E4A-38AE-46E2-8F02-34F67092A4B1}" name="11" dataDxfId="15">
      <calculatedColumnFormula>_xlfn.XLOOKUP($A3,Centrum[Индекс],Centrum[Route/ Маршрут (TSR/TCR)],"",0,1)</calculatedColumnFormula>
    </tableColumn>
    <tableColumn id="12" xr3:uid="{6EB1FA54-9C9E-4ED9-9339-A4C8D734A09D}" name="12" dataDxfId="14">
      <calculatedColumnFormula>_xlfn.XLOOKUP($A3,Centrum[Индекс],Centrum[Условия поставки],"",0,1)</calculatedColumnFormula>
    </tableColumn>
    <tableColumn id="13" xr3:uid="{9FA20739-C1E5-4B59-862B-C413F4AA858F}" name="13" dataDxfId="13">
      <calculatedColumnFormula>_xlfn.XLOOKUP($A3,Centrum[Индекс],Centrum[№ HBL date / 
№/ дата коносамента],"",0,1)</calculatedColumnFormula>
    </tableColumn>
    <tableColumn id="14" xr3:uid="{63FEFC4A-B1D9-4BB8-921C-7581032AAC45}" name="14" dataDxfId="12">
      <calculatedColumnFormula>_xlfn.XLOOKUP($A3,Centrum[Индекс],Centrum[№ MBL / 
№/ коносамента],"",0,1)</calculatedColumnFormula>
    </tableColumn>
    <tableColumn id="15" xr3:uid="{BD36124D-AAE6-4A53-9CB3-E7D2F4231470}" name="15" dataDxfId="11">
      <calculatedColumnFormula>_xlfn.XLOOKUP($A3,Centrum[Индекс],Centrum[Date on board / Дата погрузки на судно],"",0,1)</calculatedColumnFormula>
    </tableColumn>
    <tableColumn id="16" xr3:uid="{36264D1D-FCD0-4BF2-8E96-ED5355F2E054}" name="16" dataDxfId="10">
      <calculatedColumnFormula>_xlfn.XLOOKUP($A3,Centrum[Индекс],Centrum[Date of arrival to Sary-Agach/ Дата прибытия на Сары-Агач],"",0,1)</calculatedColumnFormula>
    </tableColumn>
    <tableColumn id="17" xr3:uid="{05E049CF-B3D9-4A72-AE3B-724164A608DA}" name="17" dataDxfId="9">
      <calculatedColumnFormula>_xlfn.XLOOKUP($A3,Centrum[Индекс],Centrum[Container type/ 
Тип контейнера],"",0,1)</calculatedColumnFormula>
    </tableColumn>
    <tableColumn id="18" xr3:uid="{9935278D-7A2D-4049-A0CC-C0643FEA6C21}" name="18" dataDxfId="8">
      <calculatedColumnFormula>_xlfn.XLOOKUP($A3,Centrum[Индекс],Centrum[Transportation cost per supplier/ 
Cтоимость перевозки по поставщикам],0,0,1)</calculatedColumnFormula>
    </tableColumn>
    <tableColumn id="19" xr3:uid="{5844F963-A9CB-426F-98B8-FDB41E611CD6}" name="19" dataDxfId="7">
      <calculatedColumnFormula>Шаблон_Формулы!$T3-Шаблон_Формулы!$R3</calculatedColumnFormula>
    </tableColumn>
    <tableColumn id="20" xr3:uid="{E887A808-FF17-4878-B535-FBD80D39880E}" name="20" dataDxfId="6">
      <calculatedColumnFormula>_xlfn.XLOOKUP($A3,Centrum[Индекс],Centrum[Transportation total amount / Общая стоимость перевозки],0,0,1)</calculatedColumnFormula>
    </tableColumn>
    <tableColumn id="21" xr3:uid="{78C244F9-7E9E-47FD-A78C-A5D4C2D79272}" name="21" dataDxfId="5">
      <calculatedColumnFormula>_xlfn.XLOOKUP("МАКС",#REF!,Курс_USD[Дата],,0,1)</calculatedColumnFormula>
    </tableColumn>
    <tableColumn id="22" xr3:uid="{5CFDFB8E-AC8A-4DC4-A9D3-48ACF7A0E0EB}" name="22" dataDxfId="4">
      <calculatedColumnFormula>_xlfn.XLOOKUP("МАКС",#REF!,#REF!,,0,1)</calculatedColumnFormula>
    </tableColumn>
    <tableColumn id="23" xr3:uid="{4A9FB422-E372-4E96-BB5F-BD72EFD53781}" name="23" dataDxfId="3">
      <calculatedColumnFormula>Шаблон_Формулы!$T3*Шаблон_Формулы!$V3</calculatedColumnFormula>
    </tableColumn>
    <tableColumn id="24" xr3:uid="{B4293233-93AA-4248-BF42-1CAFF7BDA958}" name="24" dataDxfId="2"/>
    <tableColumn id="25" xr3:uid="{F8AC5341-935E-486E-8BF5-585E1EFE217E}" name="25" dataDxfId="1">
      <calculatedColumnFormula>Шаблон_Формулы!$W3+Шаблон_Формулы!$X3</calculatedColumnFormula>
    </tableColumn>
    <tableColumn id="26" xr3:uid="{6C80E714-6993-4343-A4B1-A83F3EDBB997}" name="26" dataDxfId="0">
      <calculatedColumnFormula>_xlfn.XLOOKUP($A3,Centrum[Индекс],Centrum[Transport co invoice no/ 
Номер инвойса ТК],"",0,1)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50D05-AABC-40A7-A0B8-F378B6D6A099}">
  <sheetPr>
    <tabColor rgb="FF2F93A7"/>
  </sheetPr>
  <dimension ref="A1:Z97"/>
  <sheetViews>
    <sheetView tabSelected="1" topLeftCell="L1" zoomScale="70" zoomScaleNormal="70" workbookViewId="0">
      <selection activeCell="Q12" sqref="Q12"/>
    </sheetView>
  </sheetViews>
  <sheetFormatPr defaultRowHeight="14.4" x14ac:dyDescent="0.3"/>
  <cols>
    <col min="1" max="1" width="6.6640625" bestFit="1" customWidth="1"/>
    <col min="2" max="2" width="16.109375" customWidth="1"/>
    <col min="3" max="3" width="7.33203125" bestFit="1" customWidth="1"/>
    <col min="4" max="4" width="15.33203125" bestFit="1" customWidth="1"/>
    <col min="5" max="5" width="13.44140625" customWidth="1"/>
    <col min="6" max="6" width="19" customWidth="1"/>
    <col min="7" max="7" width="19.33203125" bestFit="1" customWidth="1"/>
    <col min="8" max="8" width="6.88671875" bestFit="1" customWidth="1"/>
    <col min="9" max="9" width="17.44140625" bestFit="1" customWidth="1"/>
    <col min="10" max="10" width="17" bestFit="1" customWidth="1"/>
    <col min="11" max="11" width="13.44140625" bestFit="1" customWidth="1"/>
    <col min="12" max="12" width="20.44140625" bestFit="1" customWidth="1"/>
    <col min="13" max="13" width="17.5546875" bestFit="1" customWidth="1"/>
    <col min="14" max="14" width="17.88671875" bestFit="1" customWidth="1"/>
    <col min="15" max="15" width="17.6640625" bestFit="1" customWidth="1"/>
    <col min="16" max="16" width="20.109375" bestFit="1" customWidth="1"/>
    <col min="17" max="17" width="16.44140625" bestFit="1" customWidth="1"/>
    <col min="18" max="18" width="15" bestFit="1" customWidth="1"/>
    <col min="19" max="19" width="17.44140625" bestFit="1" customWidth="1"/>
    <col min="20" max="20" width="18.44140625" bestFit="1" customWidth="1"/>
    <col min="21" max="21" width="17.33203125" bestFit="1" customWidth="1"/>
    <col min="22" max="22" width="15.109375" bestFit="1" customWidth="1"/>
    <col min="23" max="23" width="21.44140625" bestFit="1" customWidth="1"/>
    <col min="24" max="24" width="10.88671875" bestFit="1" customWidth="1"/>
    <col min="25" max="25" width="23.5546875" customWidth="1"/>
    <col min="26" max="26" width="17" bestFit="1" customWidth="1"/>
  </cols>
  <sheetData>
    <row r="1" spans="1:26" ht="61.2" x14ac:dyDescent="0.3">
      <c r="A1" s="62">
        <v>488</v>
      </c>
      <c r="B1" s="62"/>
      <c r="C1" s="62"/>
      <c r="D1" s="63" t="str">
        <f>Z5</f>
        <v>CNT-CKCNRF081-2 CR111</v>
      </c>
      <c r="E1" s="63"/>
      <c r="F1" s="63"/>
      <c r="G1" s="63"/>
      <c r="H1" s="64">
        <v>45229</v>
      </c>
      <c r="I1" s="64"/>
      <c r="J1" s="65" t="s">
        <v>110</v>
      </c>
      <c r="K1" s="66"/>
      <c r="L1" s="66"/>
      <c r="M1" s="67"/>
      <c r="N1" s="59" t="s">
        <v>0</v>
      </c>
      <c r="O1" s="60"/>
      <c r="P1" s="60"/>
      <c r="Q1" s="60"/>
      <c r="R1" s="60"/>
      <c r="S1" s="60"/>
      <c r="T1" s="60"/>
      <c r="U1" s="60"/>
      <c r="V1" s="60"/>
      <c r="W1" s="60"/>
      <c r="X1" s="60"/>
      <c r="Y1" s="60"/>
      <c r="Z1" s="61"/>
    </row>
    <row r="2" spans="1:26" x14ac:dyDescent="0.3">
      <c r="A2" s="27" t="s">
        <v>77</v>
      </c>
      <c r="B2" s="27" t="s">
        <v>78</v>
      </c>
      <c r="C2" s="27" t="s">
        <v>79</v>
      </c>
      <c r="D2" s="27" t="s">
        <v>80</v>
      </c>
      <c r="E2" s="27" t="s">
        <v>81</v>
      </c>
      <c r="F2" s="27" t="s">
        <v>82</v>
      </c>
      <c r="G2" s="27" t="s">
        <v>83</v>
      </c>
      <c r="H2" s="27" t="s">
        <v>84</v>
      </c>
      <c r="I2" s="27" t="s">
        <v>85</v>
      </c>
      <c r="J2" s="27" t="s">
        <v>86</v>
      </c>
      <c r="K2" s="27" t="s">
        <v>87</v>
      </c>
      <c r="L2" s="27" t="s">
        <v>88</v>
      </c>
      <c r="M2" s="27" t="s">
        <v>89</v>
      </c>
      <c r="N2" s="27" t="s">
        <v>90</v>
      </c>
      <c r="O2" s="27" t="s">
        <v>91</v>
      </c>
      <c r="P2" s="27" t="s">
        <v>92</v>
      </c>
      <c r="Q2" s="27" t="s">
        <v>93</v>
      </c>
      <c r="R2" s="27" t="s">
        <v>94</v>
      </c>
      <c r="S2" s="27" t="s">
        <v>95</v>
      </c>
      <c r="T2" s="27" t="s">
        <v>96</v>
      </c>
      <c r="U2" s="27" t="s">
        <v>97</v>
      </c>
      <c r="V2" s="27" t="s">
        <v>98</v>
      </c>
      <c r="W2" s="27" t="s">
        <v>99</v>
      </c>
      <c r="X2" s="27" t="s">
        <v>100</v>
      </c>
      <c r="Y2" s="27" t="s">
        <v>101</v>
      </c>
      <c r="Z2" s="27" t="s">
        <v>102</v>
      </c>
    </row>
    <row r="3" spans="1:26" s="36" customFormat="1" ht="60.6" x14ac:dyDescent="0.3">
      <c r="A3" s="44" t="s">
        <v>1</v>
      </c>
      <c r="B3" s="41" t="s">
        <v>2</v>
      </c>
      <c r="C3" s="41" t="s">
        <v>3</v>
      </c>
      <c r="D3" s="41" t="s">
        <v>4</v>
      </c>
      <c r="E3" s="41" t="s">
        <v>5</v>
      </c>
      <c r="F3" s="41" t="s">
        <v>6</v>
      </c>
      <c r="G3" s="38" t="s">
        <v>7</v>
      </c>
      <c r="H3" s="45" t="s">
        <v>8</v>
      </c>
      <c r="I3" s="37" t="s">
        <v>9</v>
      </c>
      <c r="J3" s="39" t="s">
        <v>10</v>
      </c>
      <c r="K3" s="46" t="s">
        <v>11</v>
      </c>
      <c r="L3" s="41" t="s">
        <v>12</v>
      </c>
      <c r="M3" s="41" t="s">
        <v>13</v>
      </c>
      <c r="N3" s="41" t="s">
        <v>14</v>
      </c>
      <c r="O3" s="40" t="s">
        <v>15</v>
      </c>
      <c r="P3" s="40" t="s">
        <v>16</v>
      </c>
      <c r="Q3" s="45" t="s">
        <v>17</v>
      </c>
      <c r="R3" s="39" t="s">
        <v>18</v>
      </c>
      <c r="S3" s="39" t="s">
        <v>19</v>
      </c>
      <c r="T3" s="39" t="s">
        <v>20</v>
      </c>
      <c r="U3" s="40" t="s">
        <v>21</v>
      </c>
      <c r="V3" s="39" t="s">
        <v>22</v>
      </c>
      <c r="W3" s="39" t="s">
        <v>23</v>
      </c>
      <c r="X3" s="41" t="s">
        <v>24</v>
      </c>
      <c r="Y3" s="39" t="s">
        <v>25</v>
      </c>
      <c r="Z3" s="44" t="s">
        <v>26</v>
      </c>
    </row>
    <row r="4" spans="1:26" x14ac:dyDescent="0.3">
      <c r="A4" s="44" t="s">
        <v>27</v>
      </c>
      <c r="B4" s="41"/>
      <c r="C4" s="41"/>
      <c r="D4" s="41"/>
      <c r="E4" s="41"/>
      <c r="F4" s="41"/>
      <c r="G4" s="38"/>
      <c r="H4" s="45"/>
      <c r="I4" s="37"/>
      <c r="J4" s="39"/>
      <c r="K4" s="46"/>
      <c r="L4" s="41"/>
      <c r="M4" s="41"/>
      <c r="N4" s="41"/>
      <c r="O4" s="40"/>
      <c r="P4" s="40"/>
      <c r="Q4" s="45"/>
      <c r="R4" s="39"/>
      <c r="S4" s="39"/>
      <c r="T4" s="39">
        <f>SUM(T5:T6)</f>
        <v>26350</v>
      </c>
      <c r="U4" s="40">
        <f>U5</f>
        <v>45229</v>
      </c>
      <c r="V4" s="39">
        <f>V5</f>
        <v>12228.05</v>
      </c>
      <c r="W4" s="39"/>
      <c r="X4" s="41"/>
      <c r="Y4" s="39">
        <f>SUM(Y5:Y6)</f>
        <v>322209117.5</v>
      </c>
      <c r="Z4" s="44"/>
    </row>
    <row r="5" spans="1:26" ht="36" x14ac:dyDescent="0.3">
      <c r="A5" s="50">
        <v>1</v>
      </c>
      <c r="B5" s="54" t="s">
        <v>196</v>
      </c>
      <c r="C5" s="54" t="s">
        <v>112</v>
      </c>
      <c r="D5" s="54" t="s">
        <v>114</v>
      </c>
      <c r="E5" s="54" t="s">
        <v>115</v>
      </c>
      <c r="F5" s="54" t="s">
        <v>116</v>
      </c>
      <c r="G5" s="55">
        <v>35417.599999999999</v>
      </c>
      <c r="H5" s="51" t="s">
        <v>40</v>
      </c>
      <c r="I5" s="56">
        <v>70</v>
      </c>
      <c r="J5" s="57">
        <v>10227.200000000001</v>
      </c>
      <c r="K5" s="52" t="s">
        <v>45</v>
      </c>
      <c r="L5" s="51" t="s">
        <v>197</v>
      </c>
      <c r="M5" s="54" t="s">
        <v>119</v>
      </c>
      <c r="N5" s="54" t="s">
        <v>120</v>
      </c>
      <c r="O5" s="58">
        <v>45132</v>
      </c>
      <c r="P5" s="58">
        <v>45229</v>
      </c>
      <c r="Q5" s="51" t="s">
        <v>46</v>
      </c>
      <c r="R5" s="57">
        <v>11900</v>
      </c>
      <c r="S5" s="57">
        <v>0</v>
      </c>
      <c r="T5" s="57">
        <v>11900</v>
      </c>
      <c r="U5" s="58">
        <v>45229</v>
      </c>
      <c r="V5" s="57">
        <v>12228.05</v>
      </c>
      <c r="W5" s="57">
        <f>Шаблон_Формулы_2[[#This Row],[20]]*Шаблон_Формулы_2[[#This Row],[22]]</f>
        <v>145513795</v>
      </c>
      <c r="X5" s="54"/>
      <c r="Y5" s="57">
        <f>Шаблон_Формулы_2[[#This Row],[23]]+Шаблон_Формулы_2[[#This Row],[24]]</f>
        <v>145513795</v>
      </c>
      <c r="Z5" s="50" t="s">
        <v>199</v>
      </c>
    </row>
    <row r="6" spans="1:26" s="4" customFormat="1" ht="36" x14ac:dyDescent="0.3">
      <c r="A6" s="50">
        <v>2</v>
      </c>
      <c r="B6" s="54" t="s">
        <v>196</v>
      </c>
      <c r="C6" s="54" t="s">
        <v>112</v>
      </c>
      <c r="D6" s="54" t="s">
        <v>142</v>
      </c>
      <c r="E6" s="54" t="s">
        <v>137</v>
      </c>
      <c r="F6" s="54" t="s">
        <v>143</v>
      </c>
      <c r="G6" s="55">
        <v>75786.240000000005</v>
      </c>
      <c r="H6" s="51" t="s">
        <v>40</v>
      </c>
      <c r="I6" s="56">
        <v>64.73</v>
      </c>
      <c r="J6" s="57">
        <v>2563</v>
      </c>
      <c r="K6" s="52" t="s">
        <v>45</v>
      </c>
      <c r="L6" s="51" t="s">
        <v>198</v>
      </c>
      <c r="M6" s="54" t="s">
        <v>144</v>
      </c>
      <c r="N6" s="54" t="s">
        <v>141</v>
      </c>
      <c r="O6" s="58">
        <v>45131</v>
      </c>
      <c r="P6" s="58">
        <v>45229</v>
      </c>
      <c r="Q6" s="51" t="s">
        <v>46</v>
      </c>
      <c r="R6" s="57">
        <v>14450</v>
      </c>
      <c r="S6" s="57">
        <v>0</v>
      </c>
      <c r="T6" s="57">
        <v>14450</v>
      </c>
      <c r="U6" s="58">
        <v>45229</v>
      </c>
      <c r="V6" s="57">
        <v>12228.05</v>
      </c>
      <c r="W6" s="57">
        <f>Шаблон_Формулы_2[[#This Row],[20]]*Шаблон_Формулы_2[[#This Row],[22]]</f>
        <v>176695322.5</v>
      </c>
      <c r="X6" s="54"/>
      <c r="Y6" s="57">
        <f>Шаблон_Формулы_2[[#This Row],[23]]+Шаблон_Формулы_2[[#This Row],[24]]</f>
        <v>176695322.5</v>
      </c>
      <c r="Z6" s="50" t="s">
        <v>199</v>
      </c>
    </row>
    <row r="7" spans="1:26" s="4" customFormat="1" x14ac:dyDescent="0.3">
      <c r="A7"/>
      <c r="B7"/>
      <c r="C7"/>
      <c r="D7"/>
      <c r="E7"/>
      <c r="F7"/>
      <c r="G7"/>
      <c r="H7"/>
      <c r="I7"/>
      <c r="J7"/>
      <c r="K7"/>
      <c r="L7"/>
      <c r="M7"/>
      <c r="N7"/>
      <c r="O7"/>
      <c r="P7"/>
      <c r="Q7"/>
      <c r="R7"/>
      <c r="S7"/>
      <c r="T7"/>
      <c r="U7"/>
      <c r="V7"/>
      <c r="W7"/>
      <c r="X7"/>
      <c r="Y7"/>
      <c r="Z7"/>
    </row>
    <row r="8" spans="1:26" s="4" customFormat="1" x14ac:dyDescent="0.3">
      <c r="A8"/>
      <c r="B8"/>
      <c r="C8"/>
      <c r="D8"/>
      <c r="E8"/>
      <c r="F8"/>
      <c r="G8"/>
      <c r="H8"/>
      <c r="I8"/>
      <c r="J8"/>
      <c r="K8"/>
      <c r="L8"/>
      <c r="M8"/>
      <c r="N8"/>
      <c r="O8"/>
      <c r="P8"/>
      <c r="Q8"/>
      <c r="R8"/>
      <c r="S8"/>
      <c r="T8"/>
      <c r="U8"/>
      <c r="V8"/>
      <c r="W8"/>
      <c r="X8"/>
      <c r="Y8"/>
      <c r="Z8"/>
    </row>
    <row r="9" spans="1:26" s="4" customFormat="1" x14ac:dyDescent="0.3">
      <c r="A9"/>
      <c r="B9"/>
      <c r="C9"/>
      <c r="D9"/>
      <c r="E9"/>
      <c r="F9"/>
      <c r="G9"/>
      <c r="H9"/>
      <c r="I9"/>
      <c r="J9"/>
      <c r="K9"/>
      <c r="L9"/>
      <c r="M9"/>
      <c r="N9"/>
      <c r="O9"/>
      <c r="P9"/>
      <c r="Q9"/>
      <c r="R9"/>
      <c r="S9"/>
      <c r="T9"/>
      <c r="U9"/>
      <c r="V9"/>
      <c r="W9"/>
      <c r="X9"/>
      <c r="Y9"/>
      <c r="Z9"/>
    </row>
    <row r="10" spans="1:26" s="4" customFormat="1" x14ac:dyDescent="0.3">
      <c r="A10"/>
      <c r="B10"/>
      <c r="C10"/>
      <c r="D10"/>
      <c r="E10"/>
      <c r="F10"/>
      <c r="G10"/>
      <c r="H10"/>
      <c r="I10"/>
      <c r="J10"/>
      <c r="K10"/>
      <c r="L10"/>
      <c r="M10"/>
      <c r="N10"/>
      <c r="O10"/>
      <c r="P10"/>
      <c r="Q10"/>
      <c r="R10"/>
      <c r="S10"/>
      <c r="T10"/>
      <c r="U10"/>
      <c r="V10"/>
      <c r="W10"/>
      <c r="X10"/>
      <c r="Y10"/>
      <c r="Z10"/>
    </row>
    <row r="11" spans="1:26" s="4" customFormat="1" x14ac:dyDescent="0.3">
      <c r="A11"/>
      <c r="B11"/>
      <c r="C11"/>
      <c r="D11"/>
      <c r="E11"/>
      <c r="F11"/>
      <c r="G11"/>
      <c r="H11"/>
      <c r="I11"/>
      <c r="J11"/>
      <c r="K11"/>
      <c r="L11"/>
      <c r="M11"/>
      <c r="N11"/>
      <c r="O11"/>
      <c r="P11"/>
      <c r="Q11"/>
      <c r="R11"/>
      <c r="S11"/>
      <c r="T11"/>
      <c r="U11"/>
      <c r="V11"/>
      <c r="W11"/>
      <c r="X11"/>
      <c r="Y11"/>
      <c r="Z11"/>
    </row>
    <row r="12" spans="1:26" s="4" customFormat="1" x14ac:dyDescent="0.3">
      <c r="A12"/>
      <c r="B12"/>
      <c r="C12"/>
      <c r="D12"/>
      <c r="E12"/>
      <c r="F12"/>
      <c r="G12"/>
      <c r="H12"/>
      <c r="I12"/>
      <c r="J12"/>
      <c r="K12"/>
      <c r="L12"/>
      <c r="M12"/>
      <c r="N12"/>
      <c r="O12"/>
      <c r="P12"/>
      <c r="Q12"/>
      <c r="R12"/>
      <c r="S12"/>
      <c r="T12"/>
      <c r="U12"/>
      <c r="V12"/>
      <c r="W12"/>
      <c r="X12"/>
      <c r="Y12"/>
      <c r="Z12"/>
    </row>
    <row r="13" spans="1:26" s="4" customFormat="1" x14ac:dyDescent="0.3">
      <c r="A13"/>
      <c r="B13"/>
      <c r="C13"/>
      <c r="D13"/>
      <c r="E13"/>
      <c r="F13"/>
      <c r="G13"/>
      <c r="H13"/>
      <c r="I13"/>
      <c r="J13"/>
      <c r="K13"/>
      <c r="L13"/>
      <c r="M13"/>
      <c r="N13"/>
      <c r="O13"/>
      <c r="P13"/>
      <c r="Q13"/>
      <c r="R13"/>
      <c r="S13"/>
      <c r="T13"/>
      <c r="U13"/>
      <c r="V13"/>
      <c r="W13"/>
      <c r="X13"/>
      <c r="Y13"/>
      <c r="Z13"/>
    </row>
    <row r="14" spans="1:26" s="4" customFormat="1" x14ac:dyDescent="0.3">
      <c r="A14"/>
      <c r="B14"/>
      <c r="C14"/>
      <c r="D14"/>
      <c r="E14"/>
      <c r="F14"/>
      <c r="G14"/>
      <c r="H14"/>
      <c r="I14"/>
      <c r="J14"/>
      <c r="K14"/>
      <c r="L14"/>
      <c r="M14"/>
      <c r="N14"/>
      <c r="O14"/>
      <c r="P14"/>
      <c r="Q14"/>
      <c r="R14"/>
      <c r="S14"/>
      <c r="T14"/>
      <c r="U14"/>
      <c r="V14"/>
      <c r="W14"/>
      <c r="X14"/>
      <c r="Y14"/>
      <c r="Z14"/>
    </row>
    <row r="15" spans="1:26" s="4" customFormat="1" x14ac:dyDescent="0.3">
      <c r="A15"/>
      <c r="B15"/>
      <c r="C15"/>
      <c r="D15"/>
      <c r="E15"/>
      <c r="F15"/>
      <c r="G15"/>
      <c r="H15"/>
      <c r="I15"/>
      <c r="J15"/>
      <c r="K15"/>
      <c r="L15"/>
      <c r="M15"/>
      <c r="N15"/>
      <c r="O15"/>
      <c r="P15"/>
      <c r="Q15"/>
      <c r="R15"/>
      <c r="S15"/>
      <c r="T15"/>
      <c r="U15"/>
      <c r="V15"/>
      <c r="W15"/>
      <c r="X15"/>
      <c r="Y15"/>
      <c r="Z15"/>
    </row>
    <row r="16" spans="1:26" s="4" customFormat="1" x14ac:dyDescent="0.3">
      <c r="A16"/>
      <c r="B16"/>
      <c r="C16"/>
      <c r="D16"/>
      <c r="E16"/>
      <c r="F16"/>
      <c r="G16"/>
      <c r="H16"/>
      <c r="I16"/>
      <c r="J16"/>
      <c r="K16"/>
      <c r="L16"/>
      <c r="M16"/>
      <c r="N16"/>
      <c r="O16"/>
      <c r="P16"/>
      <c r="Q16"/>
      <c r="R16"/>
      <c r="S16"/>
      <c r="T16"/>
      <c r="U16"/>
      <c r="V16"/>
      <c r="W16"/>
      <c r="X16"/>
      <c r="Y16"/>
      <c r="Z16"/>
    </row>
    <row r="17" spans="1:26" s="4" customFormat="1" x14ac:dyDescent="0.3">
      <c r="A17"/>
      <c r="B17"/>
      <c r="C17"/>
      <c r="D17"/>
      <c r="E17"/>
      <c r="F17"/>
      <c r="G17"/>
      <c r="H17"/>
      <c r="I17"/>
      <c r="J17"/>
      <c r="K17"/>
      <c r="L17"/>
      <c r="M17"/>
      <c r="N17"/>
      <c r="O17"/>
      <c r="P17"/>
      <c r="Q17"/>
      <c r="R17"/>
      <c r="S17"/>
      <c r="T17"/>
      <c r="U17"/>
      <c r="V17"/>
      <c r="W17"/>
      <c r="X17"/>
      <c r="Y17"/>
      <c r="Z17"/>
    </row>
    <row r="18" spans="1:26" s="4" customFormat="1" x14ac:dyDescent="0.3">
      <c r="A18"/>
      <c r="B18"/>
      <c r="C18"/>
      <c r="D18"/>
      <c r="E18"/>
      <c r="F18"/>
      <c r="G18"/>
      <c r="H18"/>
      <c r="I18"/>
      <c r="J18"/>
      <c r="K18"/>
      <c r="L18"/>
      <c r="M18"/>
      <c r="N18"/>
      <c r="O18"/>
      <c r="P18"/>
      <c r="Q18"/>
      <c r="R18"/>
      <c r="S18"/>
      <c r="T18"/>
      <c r="U18"/>
      <c r="V18"/>
      <c r="W18"/>
      <c r="X18"/>
      <c r="Y18"/>
      <c r="Z18"/>
    </row>
    <row r="19" spans="1:26" s="4" customFormat="1" x14ac:dyDescent="0.3">
      <c r="A19"/>
      <c r="B19"/>
      <c r="C19"/>
      <c r="D19"/>
      <c r="E19"/>
      <c r="F19"/>
      <c r="G19"/>
      <c r="H19"/>
      <c r="I19"/>
      <c r="J19"/>
      <c r="K19"/>
      <c r="L19"/>
      <c r="M19"/>
      <c r="N19"/>
      <c r="O19"/>
      <c r="P19"/>
      <c r="Q19"/>
      <c r="R19"/>
      <c r="S19"/>
      <c r="T19"/>
      <c r="U19"/>
      <c r="V19"/>
      <c r="W19"/>
      <c r="X19"/>
      <c r="Y19"/>
      <c r="Z19"/>
    </row>
    <row r="20" spans="1:26" s="4" customFormat="1" x14ac:dyDescent="0.3">
      <c r="A20"/>
      <c r="B20"/>
      <c r="C20"/>
      <c r="D20"/>
      <c r="E20"/>
      <c r="F20"/>
      <c r="G20"/>
      <c r="H20"/>
      <c r="I20"/>
      <c r="J20"/>
      <c r="K20"/>
      <c r="L20"/>
      <c r="M20"/>
      <c r="N20"/>
      <c r="O20"/>
      <c r="P20"/>
      <c r="Q20"/>
      <c r="R20"/>
      <c r="S20"/>
      <c r="T20"/>
      <c r="U20"/>
      <c r="V20"/>
      <c r="W20"/>
      <c r="X20"/>
      <c r="Y20"/>
      <c r="Z20"/>
    </row>
    <row r="21" spans="1:26" s="4" customFormat="1" x14ac:dyDescent="0.3">
      <c r="A21"/>
      <c r="B21"/>
      <c r="C21"/>
      <c r="D21"/>
      <c r="E21"/>
      <c r="F21"/>
      <c r="G21"/>
      <c r="H21"/>
      <c r="I21"/>
      <c r="J21"/>
      <c r="K21"/>
      <c r="L21"/>
      <c r="M21"/>
      <c r="N21"/>
      <c r="O21"/>
      <c r="P21"/>
      <c r="Q21"/>
      <c r="R21"/>
      <c r="S21"/>
      <c r="T21"/>
      <c r="U21"/>
      <c r="V21"/>
      <c r="W21"/>
      <c r="X21"/>
      <c r="Y21"/>
      <c r="Z21"/>
    </row>
    <row r="22" spans="1:26" s="4" customFormat="1" x14ac:dyDescent="0.3">
      <c r="A22"/>
      <c r="B22"/>
      <c r="C22"/>
      <c r="D22"/>
      <c r="E22"/>
      <c r="F22"/>
      <c r="G22"/>
      <c r="H22"/>
      <c r="I22"/>
      <c r="J22"/>
      <c r="K22"/>
      <c r="L22"/>
      <c r="M22"/>
      <c r="N22"/>
      <c r="O22"/>
      <c r="P22"/>
      <c r="Q22"/>
      <c r="R22"/>
      <c r="S22"/>
      <c r="T22"/>
      <c r="U22"/>
      <c r="V22"/>
      <c r="W22"/>
      <c r="X22"/>
      <c r="Y22"/>
      <c r="Z22"/>
    </row>
    <row r="23" spans="1:26" s="4" customFormat="1" x14ac:dyDescent="0.3">
      <c r="A23"/>
      <c r="B23"/>
      <c r="C23"/>
      <c r="D23"/>
      <c r="E23"/>
      <c r="F23"/>
      <c r="G23"/>
      <c r="H23"/>
      <c r="I23"/>
      <c r="J23"/>
      <c r="K23"/>
      <c r="L23"/>
      <c r="M23"/>
      <c r="N23"/>
      <c r="O23"/>
      <c r="P23"/>
      <c r="Q23"/>
      <c r="R23"/>
      <c r="S23"/>
      <c r="T23"/>
      <c r="U23"/>
      <c r="V23"/>
      <c r="W23"/>
      <c r="X23"/>
      <c r="Y23"/>
      <c r="Z23"/>
    </row>
    <row r="24" spans="1:26" s="4" customFormat="1" x14ac:dyDescent="0.3">
      <c r="A24"/>
      <c r="B24"/>
      <c r="C24"/>
      <c r="D24"/>
      <c r="E24"/>
      <c r="F24"/>
      <c r="G24"/>
      <c r="H24"/>
      <c r="I24"/>
      <c r="J24"/>
      <c r="K24"/>
      <c r="L24"/>
      <c r="M24"/>
      <c r="N24"/>
      <c r="O24"/>
      <c r="P24"/>
      <c r="Q24"/>
      <c r="R24"/>
      <c r="S24"/>
      <c r="T24"/>
      <c r="U24"/>
      <c r="V24"/>
      <c r="W24"/>
      <c r="X24"/>
      <c r="Y24"/>
      <c r="Z24"/>
    </row>
    <row r="25" spans="1:26" s="4" customFormat="1" x14ac:dyDescent="0.3">
      <c r="A25"/>
      <c r="B25"/>
      <c r="C25"/>
      <c r="D25"/>
      <c r="E25"/>
      <c r="F25"/>
      <c r="G25"/>
      <c r="H25"/>
      <c r="I25"/>
      <c r="J25"/>
      <c r="K25"/>
      <c r="L25"/>
      <c r="M25"/>
      <c r="N25"/>
      <c r="O25"/>
      <c r="P25"/>
      <c r="Q25"/>
      <c r="R25"/>
      <c r="S25"/>
      <c r="T25"/>
      <c r="U25"/>
      <c r="V25"/>
      <c r="W25"/>
      <c r="X25"/>
      <c r="Y25"/>
      <c r="Z25"/>
    </row>
    <row r="26" spans="1:26" s="4" customFormat="1" x14ac:dyDescent="0.3">
      <c r="A26"/>
      <c r="B26"/>
      <c r="C26"/>
      <c r="D26"/>
      <c r="E26"/>
      <c r="F26"/>
      <c r="G26"/>
      <c r="H26"/>
      <c r="I26"/>
      <c r="J26"/>
      <c r="K26"/>
      <c r="L26"/>
      <c r="M26"/>
      <c r="N26"/>
      <c r="O26"/>
      <c r="P26"/>
      <c r="Q26"/>
      <c r="R26"/>
      <c r="S26"/>
      <c r="T26"/>
      <c r="U26"/>
      <c r="V26"/>
      <c r="W26"/>
      <c r="X26"/>
      <c r="Y26"/>
      <c r="Z26"/>
    </row>
    <row r="27" spans="1:26" s="4" customFormat="1" x14ac:dyDescent="0.3">
      <c r="A27"/>
      <c r="B27"/>
      <c r="C27"/>
      <c r="D27"/>
      <c r="E27"/>
      <c r="F27"/>
      <c r="G27"/>
      <c r="H27"/>
      <c r="I27"/>
      <c r="J27"/>
      <c r="K27"/>
      <c r="L27"/>
      <c r="M27"/>
      <c r="N27"/>
      <c r="O27"/>
      <c r="P27"/>
      <c r="Q27"/>
      <c r="R27"/>
      <c r="S27"/>
      <c r="T27"/>
      <c r="U27"/>
      <c r="V27"/>
      <c r="W27"/>
      <c r="X27"/>
      <c r="Y27"/>
      <c r="Z27"/>
    </row>
    <row r="28" spans="1:26" s="4" customFormat="1" x14ac:dyDescent="0.3">
      <c r="A28"/>
      <c r="B28"/>
      <c r="C28"/>
      <c r="D28"/>
      <c r="E28"/>
      <c r="F28"/>
      <c r="G28"/>
      <c r="H28"/>
      <c r="I28"/>
      <c r="J28"/>
      <c r="K28"/>
      <c r="L28"/>
      <c r="M28"/>
      <c r="N28"/>
      <c r="O28"/>
      <c r="P28"/>
      <c r="Q28"/>
      <c r="R28"/>
      <c r="S28"/>
      <c r="T28"/>
      <c r="U28"/>
      <c r="V28"/>
      <c r="W28"/>
      <c r="X28"/>
      <c r="Y28"/>
      <c r="Z28"/>
    </row>
    <row r="29" spans="1:26" s="4" customFormat="1" x14ac:dyDescent="0.3">
      <c r="A29"/>
      <c r="B29"/>
      <c r="C29"/>
      <c r="D29"/>
      <c r="E29"/>
      <c r="F29"/>
      <c r="G29"/>
      <c r="H29"/>
      <c r="I29"/>
      <c r="J29"/>
      <c r="K29"/>
      <c r="L29"/>
      <c r="M29"/>
      <c r="N29"/>
      <c r="O29"/>
      <c r="P29"/>
      <c r="Q29"/>
      <c r="R29"/>
      <c r="S29"/>
      <c r="T29"/>
      <c r="U29"/>
      <c r="V29"/>
      <c r="W29"/>
      <c r="X29"/>
      <c r="Y29"/>
      <c r="Z29"/>
    </row>
    <row r="30" spans="1:26" s="4" customFormat="1" x14ac:dyDescent="0.3">
      <c r="A30"/>
      <c r="B30"/>
      <c r="C30"/>
      <c r="D30"/>
      <c r="E30"/>
      <c r="F30"/>
      <c r="G30"/>
      <c r="H30"/>
      <c r="I30"/>
      <c r="J30"/>
      <c r="K30"/>
      <c r="L30"/>
      <c r="M30"/>
      <c r="N30"/>
      <c r="O30"/>
      <c r="P30"/>
      <c r="Q30"/>
      <c r="R30"/>
      <c r="S30"/>
      <c r="T30"/>
      <c r="U30"/>
      <c r="V30"/>
      <c r="W30"/>
      <c r="X30"/>
      <c r="Y30"/>
      <c r="Z30"/>
    </row>
    <row r="31" spans="1:26" s="4" customFormat="1" x14ac:dyDescent="0.3">
      <c r="A31"/>
      <c r="B31"/>
      <c r="C31"/>
      <c r="D31"/>
      <c r="E31"/>
      <c r="F31"/>
      <c r="G31"/>
      <c r="H31"/>
      <c r="I31"/>
      <c r="J31"/>
      <c r="K31"/>
      <c r="L31"/>
      <c r="M31"/>
      <c r="N31"/>
      <c r="O31"/>
      <c r="P31"/>
      <c r="Q31"/>
      <c r="R31"/>
      <c r="S31"/>
      <c r="T31"/>
      <c r="U31"/>
      <c r="V31"/>
      <c r="W31"/>
      <c r="X31"/>
      <c r="Y31"/>
      <c r="Z31"/>
    </row>
    <row r="32" spans="1:26" s="4" customFormat="1" x14ac:dyDescent="0.3">
      <c r="A32"/>
      <c r="B32"/>
      <c r="C32"/>
      <c r="D32"/>
      <c r="E32"/>
      <c r="F32"/>
      <c r="G32"/>
      <c r="H32"/>
      <c r="I32"/>
      <c r="J32"/>
      <c r="K32"/>
      <c r="L32"/>
      <c r="M32"/>
      <c r="N32"/>
      <c r="O32"/>
      <c r="P32"/>
      <c r="Q32"/>
      <c r="R32"/>
      <c r="S32"/>
      <c r="T32"/>
      <c r="U32"/>
      <c r="V32"/>
      <c r="W32"/>
      <c r="X32"/>
      <c r="Y32"/>
      <c r="Z32"/>
    </row>
    <row r="33" spans="1:26" s="4" customFormat="1" x14ac:dyDescent="0.3">
      <c r="A33"/>
      <c r="B33"/>
      <c r="C33"/>
      <c r="D33"/>
      <c r="E33"/>
      <c r="F33"/>
      <c r="G33"/>
      <c r="H33"/>
      <c r="I33"/>
      <c r="J33"/>
      <c r="K33"/>
      <c r="L33"/>
      <c r="M33"/>
      <c r="N33"/>
      <c r="O33"/>
      <c r="P33"/>
      <c r="Q33"/>
      <c r="R33"/>
      <c r="S33"/>
      <c r="T33"/>
      <c r="U33"/>
      <c r="V33"/>
      <c r="W33"/>
      <c r="X33"/>
      <c r="Y33"/>
      <c r="Z33"/>
    </row>
    <row r="34" spans="1:26" s="4" customFormat="1" x14ac:dyDescent="0.3">
      <c r="A34"/>
      <c r="B34"/>
      <c r="C34"/>
      <c r="D34"/>
      <c r="E34"/>
      <c r="F34"/>
      <c r="G34"/>
      <c r="H34"/>
      <c r="I34"/>
      <c r="J34"/>
      <c r="K34"/>
      <c r="L34"/>
      <c r="M34"/>
      <c r="N34"/>
      <c r="O34"/>
      <c r="P34"/>
      <c r="Q34"/>
      <c r="R34"/>
      <c r="S34"/>
      <c r="T34"/>
      <c r="U34"/>
      <c r="V34"/>
      <c r="W34"/>
      <c r="X34"/>
      <c r="Y34"/>
      <c r="Z34"/>
    </row>
    <row r="35" spans="1:26" s="4" customFormat="1" x14ac:dyDescent="0.3">
      <c r="A35"/>
      <c r="B35"/>
      <c r="C35"/>
      <c r="D35"/>
      <c r="E35"/>
      <c r="F35"/>
      <c r="G35"/>
      <c r="H35"/>
      <c r="I35"/>
      <c r="J35"/>
      <c r="K35"/>
      <c r="L35"/>
      <c r="M35"/>
      <c r="N35"/>
      <c r="O35"/>
      <c r="P35"/>
      <c r="Q35"/>
      <c r="R35"/>
      <c r="S35"/>
      <c r="T35"/>
      <c r="U35"/>
      <c r="V35"/>
      <c r="W35"/>
      <c r="X35"/>
      <c r="Y35"/>
      <c r="Z35"/>
    </row>
    <row r="36" spans="1:26" s="4" customFormat="1" x14ac:dyDescent="0.3">
      <c r="A36"/>
      <c r="B36"/>
      <c r="C36"/>
      <c r="D36"/>
      <c r="E36"/>
      <c r="F36"/>
      <c r="G36"/>
      <c r="H36"/>
      <c r="I36"/>
      <c r="J36"/>
      <c r="K36"/>
      <c r="L36"/>
      <c r="M36"/>
      <c r="N36"/>
      <c r="O36"/>
      <c r="P36"/>
      <c r="Q36"/>
      <c r="R36"/>
      <c r="S36"/>
      <c r="T36"/>
      <c r="U36"/>
      <c r="V36"/>
      <c r="W36"/>
      <c r="X36"/>
      <c r="Y36"/>
      <c r="Z36"/>
    </row>
    <row r="37" spans="1:26" s="4" customFormat="1" x14ac:dyDescent="0.3">
      <c r="A37"/>
      <c r="B37"/>
      <c r="C37"/>
      <c r="D37"/>
      <c r="E37"/>
      <c r="F37"/>
      <c r="G37"/>
      <c r="H37"/>
      <c r="I37"/>
      <c r="J37"/>
      <c r="K37"/>
      <c r="L37"/>
      <c r="M37"/>
      <c r="N37"/>
      <c r="O37"/>
      <c r="P37"/>
      <c r="Q37"/>
      <c r="R37"/>
      <c r="S37"/>
      <c r="T37"/>
      <c r="U37"/>
      <c r="V37"/>
      <c r="W37"/>
      <c r="X37"/>
      <c r="Y37"/>
      <c r="Z37"/>
    </row>
    <row r="38" spans="1:26" s="4" customFormat="1" x14ac:dyDescent="0.3">
      <c r="A38"/>
      <c r="B38"/>
      <c r="C38"/>
      <c r="D38"/>
      <c r="E38"/>
      <c r="F38"/>
      <c r="G38"/>
      <c r="H38"/>
      <c r="I38"/>
      <c r="J38"/>
      <c r="K38"/>
      <c r="L38"/>
      <c r="M38"/>
      <c r="N38"/>
      <c r="O38"/>
      <c r="P38"/>
      <c r="Q38"/>
      <c r="R38"/>
      <c r="S38"/>
      <c r="T38"/>
      <c r="U38"/>
      <c r="V38"/>
      <c r="W38"/>
      <c r="X38"/>
      <c r="Y38"/>
      <c r="Z38"/>
    </row>
    <row r="39" spans="1:26" s="4" customFormat="1" x14ac:dyDescent="0.3">
      <c r="A39"/>
      <c r="B39"/>
      <c r="C39"/>
      <c r="D39"/>
      <c r="E39"/>
      <c r="F39"/>
      <c r="G39"/>
      <c r="H39"/>
      <c r="I39"/>
      <c r="J39"/>
      <c r="K39"/>
      <c r="L39"/>
      <c r="M39"/>
      <c r="N39"/>
      <c r="O39"/>
      <c r="P39"/>
      <c r="Q39"/>
      <c r="R39"/>
      <c r="S39"/>
      <c r="T39"/>
      <c r="U39"/>
      <c r="V39"/>
      <c r="W39"/>
      <c r="X39"/>
      <c r="Y39"/>
      <c r="Z39"/>
    </row>
    <row r="40" spans="1:26" s="4" customFormat="1" x14ac:dyDescent="0.3">
      <c r="A40"/>
      <c r="B40"/>
      <c r="C40"/>
      <c r="D40"/>
      <c r="E40"/>
      <c r="F40"/>
      <c r="G40"/>
      <c r="H40"/>
      <c r="I40"/>
      <c r="J40"/>
      <c r="K40"/>
      <c r="L40"/>
      <c r="M40"/>
      <c r="N40"/>
      <c r="O40"/>
      <c r="P40"/>
      <c r="Q40"/>
      <c r="R40"/>
      <c r="S40"/>
      <c r="T40"/>
      <c r="U40"/>
      <c r="V40"/>
      <c r="W40"/>
      <c r="X40"/>
      <c r="Y40"/>
      <c r="Z40"/>
    </row>
    <row r="41" spans="1:26" s="4" customFormat="1" x14ac:dyDescent="0.3">
      <c r="A41"/>
      <c r="B41"/>
      <c r="C41"/>
      <c r="D41"/>
      <c r="E41"/>
      <c r="F41"/>
      <c r="G41"/>
      <c r="H41"/>
      <c r="I41"/>
      <c r="J41"/>
      <c r="K41"/>
      <c r="L41"/>
      <c r="M41"/>
      <c r="N41"/>
      <c r="O41"/>
      <c r="P41"/>
      <c r="Q41"/>
      <c r="R41"/>
      <c r="S41"/>
      <c r="T41"/>
      <c r="U41"/>
      <c r="V41"/>
      <c r="W41"/>
      <c r="X41"/>
      <c r="Y41"/>
      <c r="Z41"/>
    </row>
    <row r="42" spans="1:26" s="4" customFormat="1" x14ac:dyDescent="0.3">
      <c r="A42"/>
      <c r="B42"/>
      <c r="C42"/>
      <c r="D42"/>
      <c r="E42"/>
      <c r="F42"/>
      <c r="G42"/>
      <c r="H42"/>
      <c r="I42"/>
      <c r="J42"/>
      <c r="K42"/>
      <c r="L42"/>
      <c r="M42"/>
      <c r="N42"/>
      <c r="O42"/>
      <c r="P42"/>
      <c r="Q42"/>
      <c r="R42"/>
      <c r="S42"/>
      <c r="T42"/>
      <c r="U42"/>
      <c r="V42"/>
      <c r="W42"/>
      <c r="X42"/>
      <c r="Y42"/>
      <c r="Z42"/>
    </row>
    <row r="43" spans="1:26" s="4" customFormat="1" x14ac:dyDescent="0.3">
      <c r="A43"/>
      <c r="B43"/>
      <c r="C43"/>
      <c r="D43"/>
      <c r="E43"/>
      <c r="F43"/>
      <c r="G43"/>
      <c r="H43"/>
      <c r="I43"/>
      <c r="J43"/>
      <c r="K43"/>
      <c r="L43"/>
      <c r="M43"/>
      <c r="N43"/>
      <c r="O43"/>
      <c r="P43"/>
      <c r="Q43"/>
      <c r="R43"/>
      <c r="S43"/>
      <c r="T43"/>
      <c r="U43"/>
      <c r="V43"/>
      <c r="W43"/>
      <c r="X43"/>
      <c r="Y43"/>
      <c r="Z43"/>
    </row>
    <row r="44" spans="1:26" s="4" customFormat="1" x14ac:dyDescent="0.3">
      <c r="A44"/>
      <c r="B44"/>
      <c r="C44"/>
      <c r="D44"/>
      <c r="E44"/>
      <c r="F44"/>
      <c r="G44"/>
      <c r="H44"/>
      <c r="I44"/>
      <c r="J44"/>
      <c r="K44"/>
      <c r="L44"/>
      <c r="M44"/>
      <c r="N44"/>
      <c r="O44"/>
      <c r="P44"/>
      <c r="Q44"/>
      <c r="R44"/>
      <c r="S44"/>
      <c r="T44"/>
      <c r="U44"/>
      <c r="V44"/>
      <c r="W44"/>
      <c r="X44"/>
      <c r="Y44"/>
      <c r="Z44"/>
    </row>
    <row r="45" spans="1:26" s="4" customFormat="1" x14ac:dyDescent="0.3">
      <c r="A45"/>
      <c r="B45"/>
      <c r="C45"/>
      <c r="D45"/>
      <c r="E45"/>
      <c r="F45"/>
      <c r="G45"/>
      <c r="H45"/>
      <c r="I45"/>
      <c r="J45"/>
      <c r="K45"/>
      <c r="L45"/>
      <c r="M45"/>
      <c r="N45"/>
      <c r="O45"/>
      <c r="P45"/>
      <c r="Q45"/>
      <c r="R45"/>
      <c r="S45"/>
      <c r="T45"/>
      <c r="U45"/>
      <c r="V45"/>
      <c r="W45"/>
      <c r="X45"/>
      <c r="Y45"/>
      <c r="Z45"/>
    </row>
    <row r="46" spans="1:26" s="4" customFormat="1" x14ac:dyDescent="0.3">
      <c r="A46"/>
      <c r="B46"/>
      <c r="C46"/>
      <c r="D46"/>
      <c r="E46"/>
      <c r="F46"/>
      <c r="G46"/>
      <c r="H46"/>
      <c r="I46"/>
      <c r="J46"/>
      <c r="K46"/>
      <c r="L46"/>
      <c r="M46"/>
      <c r="N46"/>
      <c r="O46"/>
      <c r="P46"/>
      <c r="Q46"/>
      <c r="R46"/>
      <c r="S46"/>
      <c r="T46"/>
      <c r="U46"/>
      <c r="V46"/>
      <c r="W46"/>
      <c r="X46"/>
      <c r="Y46"/>
      <c r="Z46"/>
    </row>
    <row r="47" spans="1:26" s="4" customFormat="1" x14ac:dyDescent="0.3">
      <c r="A47"/>
      <c r="B47"/>
      <c r="C47"/>
      <c r="D47"/>
      <c r="E47"/>
      <c r="F47"/>
      <c r="G47"/>
      <c r="H47"/>
      <c r="I47"/>
      <c r="J47"/>
      <c r="K47"/>
      <c r="L47"/>
      <c r="M47"/>
      <c r="N47"/>
      <c r="O47"/>
      <c r="P47"/>
      <c r="Q47"/>
      <c r="R47"/>
      <c r="S47"/>
      <c r="T47"/>
      <c r="U47"/>
      <c r="V47"/>
      <c r="W47"/>
      <c r="X47"/>
      <c r="Y47"/>
      <c r="Z47"/>
    </row>
    <row r="48" spans="1:26" s="4" customFormat="1" x14ac:dyDescent="0.3">
      <c r="A48"/>
      <c r="B48"/>
      <c r="C48"/>
      <c r="D48"/>
      <c r="E48"/>
      <c r="F48"/>
      <c r="G48"/>
      <c r="H48"/>
      <c r="I48"/>
      <c r="J48"/>
      <c r="K48"/>
      <c r="L48"/>
      <c r="M48"/>
      <c r="N48"/>
      <c r="O48"/>
      <c r="P48"/>
      <c r="Q48"/>
      <c r="R48"/>
      <c r="S48"/>
      <c r="T48"/>
      <c r="U48"/>
      <c r="V48"/>
      <c r="W48"/>
      <c r="X48"/>
      <c r="Y48"/>
      <c r="Z48"/>
    </row>
    <row r="49" spans="1:26" s="4" customFormat="1" x14ac:dyDescent="0.3">
      <c r="A49"/>
      <c r="B49"/>
      <c r="C49"/>
      <c r="D49"/>
      <c r="E49"/>
      <c r="F49"/>
      <c r="G49"/>
      <c r="H49"/>
      <c r="I49"/>
      <c r="J49"/>
      <c r="K49"/>
      <c r="L49"/>
      <c r="M49"/>
      <c r="N49"/>
      <c r="O49"/>
      <c r="P49"/>
      <c r="Q49"/>
      <c r="R49"/>
      <c r="S49"/>
      <c r="T49"/>
      <c r="U49"/>
      <c r="V49"/>
      <c r="W49"/>
      <c r="X49"/>
      <c r="Y49"/>
      <c r="Z49"/>
    </row>
    <row r="88" spans="1:26" s="4" customFormat="1" x14ac:dyDescent="0.3">
      <c r="A88"/>
      <c r="B88"/>
      <c r="C88"/>
      <c r="D88"/>
      <c r="E88"/>
      <c r="F88"/>
      <c r="G88"/>
      <c r="H88"/>
      <c r="I88"/>
      <c r="J88"/>
      <c r="K88"/>
      <c r="L88"/>
      <c r="M88"/>
      <c r="N88"/>
      <c r="O88"/>
      <c r="P88"/>
      <c r="Q88"/>
      <c r="R88"/>
      <c r="S88"/>
      <c r="T88"/>
      <c r="U88"/>
      <c r="V88"/>
      <c r="W88"/>
      <c r="X88"/>
      <c r="Y88"/>
      <c r="Z88"/>
    </row>
    <row r="89" spans="1:26" s="4" customFormat="1" x14ac:dyDescent="0.3">
      <c r="A89"/>
      <c r="B89"/>
      <c r="C89"/>
      <c r="D89"/>
      <c r="E89"/>
      <c r="F89"/>
      <c r="G89"/>
      <c r="H89"/>
      <c r="I89"/>
      <c r="J89"/>
      <c r="K89"/>
      <c r="L89"/>
      <c r="M89"/>
      <c r="N89"/>
      <c r="O89"/>
      <c r="P89"/>
      <c r="Q89"/>
      <c r="R89"/>
      <c r="S89"/>
      <c r="T89"/>
      <c r="U89"/>
      <c r="V89"/>
      <c r="W89"/>
      <c r="X89"/>
      <c r="Y89"/>
      <c r="Z89"/>
    </row>
    <row r="90" spans="1:26" s="4" customFormat="1" x14ac:dyDescent="0.3">
      <c r="A90"/>
      <c r="B90"/>
      <c r="C90"/>
      <c r="D90"/>
      <c r="E90"/>
      <c r="F90"/>
      <c r="G90"/>
      <c r="H90"/>
      <c r="I90"/>
      <c r="J90"/>
      <c r="K90"/>
      <c r="L90"/>
      <c r="M90"/>
      <c r="N90"/>
      <c r="O90"/>
      <c r="P90"/>
      <c r="Q90"/>
      <c r="R90"/>
      <c r="S90"/>
      <c r="T90"/>
      <c r="U90"/>
      <c r="V90"/>
      <c r="W90"/>
      <c r="X90"/>
      <c r="Y90"/>
      <c r="Z90"/>
    </row>
    <row r="91" spans="1:26" s="4" customFormat="1" x14ac:dyDescent="0.3">
      <c r="A91"/>
      <c r="B91"/>
      <c r="C91"/>
      <c r="D91"/>
      <c r="E91"/>
      <c r="F91"/>
      <c r="G91"/>
      <c r="H91"/>
      <c r="I91"/>
      <c r="J91"/>
      <c r="K91"/>
      <c r="L91"/>
      <c r="M91"/>
      <c r="N91"/>
      <c r="O91"/>
      <c r="P91"/>
      <c r="Q91"/>
      <c r="R91"/>
      <c r="S91"/>
      <c r="T91"/>
      <c r="U91"/>
      <c r="V91"/>
      <c r="W91"/>
      <c r="X91"/>
      <c r="Y91"/>
      <c r="Z91"/>
    </row>
    <row r="92" spans="1:26" s="4" customFormat="1" x14ac:dyDescent="0.3">
      <c r="A92"/>
      <c r="B92"/>
      <c r="C92"/>
      <c r="D92"/>
      <c r="E92"/>
      <c r="F92"/>
      <c r="G92"/>
      <c r="H92"/>
      <c r="I92"/>
      <c r="J92"/>
      <c r="K92"/>
      <c r="L92"/>
      <c r="M92"/>
      <c r="N92"/>
      <c r="O92"/>
      <c r="P92"/>
      <c r="Q92"/>
      <c r="R92"/>
      <c r="S92"/>
      <c r="T92"/>
      <c r="U92"/>
      <c r="V92"/>
      <c r="W92"/>
      <c r="X92"/>
      <c r="Y92"/>
      <c r="Z92"/>
    </row>
    <row r="93" spans="1:26" s="4" customFormat="1" x14ac:dyDescent="0.3">
      <c r="A93"/>
      <c r="B93"/>
      <c r="C93"/>
      <c r="D93"/>
      <c r="E93"/>
      <c r="F93"/>
      <c r="G93"/>
      <c r="H93"/>
      <c r="I93"/>
      <c r="J93"/>
      <c r="K93"/>
      <c r="L93"/>
      <c r="M93"/>
      <c r="N93"/>
      <c r="O93"/>
      <c r="P93"/>
      <c r="Q93"/>
      <c r="R93"/>
      <c r="S93"/>
      <c r="T93"/>
      <c r="U93"/>
      <c r="V93"/>
      <c r="W93"/>
      <c r="X93"/>
      <c r="Y93"/>
      <c r="Z93"/>
    </row>
    <row r="94" spans="1:26" s="4" customFormat="1" x14ac:dyDescent="0.3">
      <c r="A94"/>
      <c r="B94"/>
      <c r="C94"/>
      <c r="D94"/>
      <c r="E94"/>
      <c r="F94"/>
      <c r="G94"/>
      <c r="H94"/>
      <c r="I94"/>
      <c r="J94"/>
      <c r="K94"/>
      <c r="L94"/>
      <c r="M94"/>
      <c r="N94"/>
      <c r="O94"/>
      <c r="P94"/>
      <c r="Q94"/>
      <c r="R94"/>
      <c r="S94"/>
      <c r="T94"/>
      <c r="U94"/>
      <c r="V94"/>
      <c r="W94"/>
      <c r="X94"/>
      <c r="Y94"/>
      <c r="Z94"/>
    </row>
    <row r="95" spans="1:26" s="4" customFormat="1" x14ac:dyDescent="0.3">
      <c r="A95"/>
      <c r="B95"/>
      <c r="C95"/>
      <c r="D95"/>
      <c r="E95"/>
      <c r="F95"/>
      <c r="G95"/>
      <c r="H95"/>
      <c r="I95"/>
      <c r="J95"/>
      <c r="K95"/>
      <c r="L95"/>
      <c r="M95"/>
      <c r="N95"/>
      <c r="O95"/>
      <c r="P95"/>
      <c r="Q95"/>
      <c r="R95"/>
      <c r="S95"/>
      <c r="T95"/>
      <c r="U95"/>
      <c r="V95"/>
      <c r="W95"/>
      <c r="X95"/>
      <c r="Y95"/>
      <c r="Z95"/>
    </row>
    <row r="96" spans="1:26" s="4" customFormat="1" x14ac:dyDescent="0.3">
      <c r="A96"/>
      <c r="B96"/>
      <c r="C96"/>
      <c r="D96"/>
      <c r="E96"/>
      <c r="F96"/>
      <c r="G96"/>
      <c r="H96"/>
      <c r="I96"/>
      <c r="J96"/>
      <c r="K96"/>
      <c r="L96"/>
      <c r="M96"/>
      <c r="N96"/>
      <c r="O96"/>
      <c r="P96"/>
      <c r="Q96"/>
      <c r="R96"/>
      <c r="S96"/>
      <c r="T96"/>
      <c r="U96"/>
      <c r="V96"/>
      <c r="W96"/>
      <c r="X96"/>
      <c r="Y96"/>
      <c r="Z96"/>
    </row>
    <row r="97" spans="1:26" s="4" customFormat="1" x14ac:dyDescent="0.3">
      <c r="A97"/>
      <c r="B97"/>
      <c r="C97"/>
      <c r="D97"/>
      <c r="E97"/>
      <c r="F97"/>
      <c r="G97"/>
      <c r="H97"/>
      <c r="I97"/>
      <c r="J97"/>
      <c r="K97"/>
      <c r="L97"/>
      <c r="M97"/>
      <c r="N97"/>
      <c r="O97"/>
      <c r="P97"/>
      <c r="Q97"/>
      <c r="R97"/>
      <c r="S97"/>
      <c r="T97"/>
      <c r="U97"/>
      <c r="V97"/>
      <c r="W97"/>
      <c r="X97"/>
      <c r="Y97"/>
      <c r="Z97"/>
    </row>
  </sheetData>
  <mergeCells count="5">
    <mergeCell ref="N1:Z1"/>
    <mergeCell ref="A1:C1"/>
    <mergeCell ref="D1:G1"/>
    <mergeCell ref="H1:I1"/>
    <mergeCell ref="J1:M1"/>
  </mergeCells>
  <phoneticPr fontId="20"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4"/>
  <sheetViews>
    <sheetView workbookViewId="0">
      <selection activeCell="B4" sqref="B4"/>
    </sheetView>
  </sheetViews>
  <sheetFormatPr defaultColWidth="8.88671875" defaultRowHeight="14.4" x14ac:dyDescent="0.3"/>
  <cols>
    <col min="1" max="1" width="21.6640625" style="28" customWidth="1"/>
    <col min="2" max="2" width="23.6640625" style="28" customWidth="1"/>
    <col min="3" max="16384" width="8.88671875" style="28"/>
  </cols>
  <sheetData>
    <row r="1" spans="1:2" ht="24" customHeight="1" x14ac:dyDescent="0.3">
      <c r="A1" s="29" t="s">
        <v>47</v>
      </c>
      <c r="B1" s="30" t="str" cm="1">
        <f t="array" aca="1" ref="B1" ca="1">CELL("имяфайла")</f>
        <v>C:\Users\z.radjabmukhamedov\Desktop\[CNT-CKCNRF081 -2 GM.xlsx]Лист1</v>
      </c>
    </row>
    <row r="2" spans="1:2" ht="24" customHeight="1" x14ac:dyDescent="0.3">
      <c r="A2" s="29" t="s">
        <v>75</v>
      </c>
      <c r="B2" s="31" t="str">
        <f ca="1">LEFT(B1,SEARCH("[",B1,1)-1)&amp;B3</f>
        <v>C:\Users\z.radjabmukhamedov\Desktop\CNT-CKCNRF081-1 ver.xlsx</v>
      </c>
    </row>
    <row r="3" spans="1:2" ht="24" customHeight="1" x14ac:dyDescent="0.3">
      <c r="A3" s="29" t="s">
        <v>74</v>
      </c>
      <c r="B3" s="32" t="s">
        <v>111</v>
      </c>
    </row>
    <row r="4" spans="1:2" ht="31.95" customHeight="1" x14ac:dyDescent="0.3">
      <c r="A4" s="42" t="s">
        <v>103</v>
      </c>
      <c r="B4" s="43" t="str">
        <f ca="1">LEFT(B1,SEARCH("[",B1,1)-1)&amp;"Справочник курсов.xlsx"</f>
        <v>C:\Users\z.radjabmukhamedov\Desktop\Справочник курсов.xlsx</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1FB1-BD18-4203-A2A2-B0C6E18D3C0E}">
  <sheetPr>
    <tabColor theme="0" tint="-0.249977111117893"/>
  </sheetPr>
  <dimension ref="A1:V24"/>
  <sheetViews>
    <sheetView topLeftCell="F1" workbookViewId="0">
      <selection activeCell="K11" sqref="K11"/>
    </sheetView>
  </sheetViews>
  <sheetFormatPr defaultColWidth="8.88671875" defaultRowHeight="13.8" x14ac:dyDescent="0.3"/>
  <cols>
    <col min="1" max="1" width="20.5546875" style="9" bestFit="1" customWidth="1"/>
    <col min="2" max="5" width="19" style="9" bestFit="1" customWidth="1"/>
    <col min="6" max="6" width="27" style="9" bestFit="1" customWidth="1"/>
    <col min="7" max="9" width="19" style="9" bestFit="1" customWidth="1"/>
    <col min="10" max="10" width="22.33203125" style="9" bestFit="1" customWidth="1"/>
    <col min="11" max="11" width="21.6640625" style="9" bestFit="1" customWidth="1"/>
    <col min="12" max="12" width="21" style="9" bestFit="1" customWidth="1"/>
    <col min="13" max="13" width="31.33203125" style="9" bestFit="1" customWidth="1"/>
    <col min="14" max="14" width="27.33203125" style="9" bestFit="1" customWidth="1"/>
    <col min="15" max="15" width="22.109375" style="9" bestFit="1" customWidth="1"/>
    <col min="16" max="16" width="35.88671875" style="9" bestFit="1" customWidth="1"/>
    <col min="17" max="17" width="35.44140625" style="9" bestFit="1" customWidth="1"/>
    <col min="18" max="18" width="27.88671875" style="9" bestFit="1" customWidth="1"/>
    <col min="19" max="19" width="27.33203125" style="9" bestFit="1" customWidth="1"/>
    <col min="20" max="20" width="25" style="9" bestFit="1" customWidth="1"/>
    <col min="21" max="21" width="24.44140625" style="9" bestFit="1" customWidth="1"/>
    <col min="22" max="22" width="22.6640625" style="9" bestFit="1" customWidth="1"/>
    <col min="23" max="23" width="18.6640625" style="9" bestFit="1" customWidth="1"/>
    <col min="24" max="24" width="9.6640625" style="9" bestFit="1" customWidth="1"/>
    <col min="25" max="25" width="15.109375" style="9" bestFit="1" customWidth="1"/>
    <col min="26" max="26" width="27.44140625" style="9" bestFit="1" customWidth="1"/>
    <col min="27" max="27" width="80.88671875" style="9" bestFit="1" customWidth="1"/>
    <col min="28" max="48" width="19.33203125" style="9" customWidth="1"/>
    <col min="49" max="16384" width="8.88671875" style="9"/>
  </cols>
  <sheetData>
    <row r="1" spans="1:22" s="18" customFormat="1" ht="40.200000000000003" customHeight="1" x14ac:dyDescent="0.3">
      <c r="A1" s="18" t="s">
        <v>48</v>
      </c>
      <c r="B1" s="18" t="s">
        <v>49</v>
      </c>
      <c r="C1" s="18" t="s">
        <v>50</v>
      </c>
      <c r="D1" s="18" t="s">
        <v>51</v>
      </c>
      <c r="E1" s="18" t="s">
        <v>52</v>
      </c>
      <c r="F1" s="18" t="s">
        <v>53</v>
      </c>
      <c r="G1" s="18" t="s">
        <v>76</v>
      </c>
      <c r="H1" s="18" t="s">
        <v>54</v>
      </c>
      <c r="I1" s="18" t="s">
        <v>55</v>
      </c>
      <c r="J1" s="18" t="s">
        <v>56</v>
      </c>
      <c r="K1" s="18" t="s">
        <v>57</v>
      </c>
      <c r="L1" s="18" t="s">
        <v>58</v>
      </c>
      <c r="M1" s="18" t="s">
        <v>59</v>
      </c>
      <c r="N1" s="18" t="s">
        <v>60</v>
      </c>
      <c r="O1" s="18" t="s">
        <v>61</v>
      </c>
      <c r="P1" s="18" t="s">
        <v>62</v>
      </c>
      <c r="Q1" s="18" t="s">
        <v>63</v>
      </c>
      <c r="R1" s="18" t="s">
        <v>64</v>
      </c>
      <c r="S1" s="18" t="s">
        <v>65</v>
      </c>
      <c r="T1" s="18" t="s">
        <v>66</v>
      </c>
      <c r="U1" s="18" t="s">
        <v>67</v>
      </c>
      <c r="V1" s="18" t="s">
        <v>68</v>
      </c>
    </row>
    <row r="2" spans="1:22" ht="14.4" x14ac:dyDescent="0.3">
      <c r="A2" s="10" t="s">
        <v>44</v>
      </c>
      <c r="B2" s="10" t="s">
        <v>112</v>
      </c>
      <c r="C2" s="10" t="s">
        <v>113</v>
      </c>
      <c r="D2" s="10" t="s">
        <v>114</v>
      </c>
      <c r="E2" s="10" t="s">
        <v>115</v>
      </c>
      <c r="F2" s="10" t="s">
        <v>116</v>
      </c>
      <c r="G2" s="7" t="s">
        <v>117</v>
      </c>
      <c r="H2" s="10" t="s">
        <v>118</v>
      </c>
      <c r="I2" s="10" t="s">
        <v>45</v>
      </c>
      <c r="J2" s="10" t="s">
        <v>119</v>
      </c>
      <c r="K2" s="10" t="s">
        <v>120</v>
      </c>
      <c r="L2" s="47">
        <v>45132</v>
      </c>
      <c r="M2" s="47">
        <v>45229</v>
      </c>
      <c r="N2" s="19">
        <v>70</v>
      </c>
      <c r="O2" s="19">
        <v>10227.200000000001</v>
      </c>
      <c r="P2" s="19">
        <v>11900</v>
      </c>
      <c r="Q2" s="19">
        <v>0</v>
      </c>
      <c r="R2" s="19">
        <v>11900</v>
      </c>
      <c r="S2" s="10" t="s">
        <v>46</v>
      </c>
      <c r="T2" s="19">
        <v>35417.599999999999</v>
      </c>
      <c r="U2" s="10" t="s">
        <v>121</v>
      </c>
      <c r="V2" s="9">
        <v>1</v>
      </c>
    </row>
    <row r="3" spans="1:22" ht="14.4" x14ac:dyDescent="0.3">
      <c r="A3" s="10" t="s">
        <v>44</v>
      </c>
      <c r="B3" s="10" t="s">
        <v>112</v>
      </c>
      <c r="C3" s="10" t="s">
        <v>113</v>
      </c>
      <c r="D3" s="10" t="s">
        <v>122</v>
      </c>
      <c r="E3" s="10" t="s">
        <v>123</v>
      </c>
      <c r="F3" s="10" t="s">
        <v>124</v>
      </c>
      <c r="G3" s="7" t="s">
        <v>125</v>
      </c>
      <c r="H3" s="10" t="s">
        <v>118</v>
      </c>
      <c r="I3" s="10" t="s">
        <v>45</v>
      </c>
      <c r="J3" s="10" t="s">
        <v>126</v>
      </c>
      <c r="K3" s="10" t="s">
        <v>127</v>
      </c>
      <c r="L3" s="47">
        <v>45130</v>
      </c>
      <c r="M3" s="47">
        <v>45217</v>
      </c>
      <c r="N3" s="19">
        <v>65</v>
      </c>
      <c r="O3" s="19">
        <v>11802</v>
      </c>
      <c r="P3" s="19">
        <v>11900</v>
      </c>
      <c r="Q3" s="19">
        <v>0</v>
      </c>
      <c r="R3" s="19">
        <v>11900</v>
      </c>
      <c r="S3" s="10" t="s">
        <v>46</v>
      </c>
      <c r="T3" s="19">
        <v>292141.71000000002</v>
      </c>
      <c r="U3" s="10" t="s">
        <v>121</v>
      </c>
      <c r="V3" s="9">
        <v>2</v>
      </c>
    </row>
    <row r="4" spans="1:22" ht="14.4" x14ac:dyDescent="0.3">
      <c r="A4" s="10" t="s">
        <v>44</v>
      </c>
      <c r="B4" s="10" t="s">
        <v>112</v>
      </c>
      <c r="C4" s="10" t="s">
        <v>113</v>
      </c>
      <c r="D4" s="10" t="s">
        <v>128</v>
      </c>
      <c r="E4" s="10" t="s">
        <v>123</v>
      </c>
      <c r="F4" s="10" t="s">
        <v>129</v>
      </c>
      <c r="G4" s="7" t="s">
        <v>125</v>
      </c>
      <c r="H4" s="10" t="s">
        <v>118</v>
      </c>
      <c r="I4" s="10" t="s">
        <v>45</v>
      </c>
      <c r="J4" s="10" t="s">
        <v>126</v>
      </c>
      <c r="K4" s="10" t="s">
        <v>127</v>
      </c>
      <c r="L4" s="47">
        <v>45130</v>
      </c>
      <c r="M4" s="47">
        <v>45217</v>
      </c>
      <c r="N4" s="19">
        <v>65</v>
      </c>
      <c r="O4" s="19">
        <v>11844</v>
      </c>
      <c r="P4" s="19">
        <v>11900</v>
      </c>
      <c r="Q4" s="19">
        <v>0</v>
      </c>
      <c r="R4" s="19">
        <v>11900</v>
      </c>
      <c r="S4" s="10" t="s">
        <v>46</v>
      </c>
      <c r="T4" s="19">
        <v>292141.71000000002</v>
      </c>
      <c r="U4" s="10" t="s">
        <v>121</v>
      </c>
      <c r="V4" s="9">
        <v>3</v>
      </c>
    </row>
    <row r="5" spans="1:22" ht="14.4" x14ac:dyDescent="0.3">
      <c r="A5" s="10" t="s">
        <v>44</v>
      </c>
      <c r="B5" s="10" t="s">
        <v>112</v>
      </c>
      <c r="C5" s="10" t="s">
        <v>113</v>
      </c>
      <c r="D5" s="10" t="s">
        <v>130</v>
      </c>
      <c r="E5" s="10" t="s">
        <v>123</v>
      </c>
      <c r="F5" s="10" t="s">
        <v>131</v>
      </c>
      <c r="G5" s="7" t="s">
        <v>125</v>
      </c>
      <c r="H5" s="10" t="s">
        <v>118</v>
      </c>
      <c r="I5" s="10" t="s">
        <v>45</v>
      </c>
      <c r="J5" s="10" t="s">
        <v>126</v>
      </c>
      <c r="K5" s="10" t="s">
        <v>127</v>
      </c>
      <c r="L5" s="47">
        <v>45130</v>
      </c>
      <c r="M5" s="47">
        <v>45217</v>
      </c>
      <c r="N5" s="19">
        <v>65</v>
      </c>
      <c r="O5" s="19">
        <v>11802</v>
      </c>
      <c r="P5" s="19">
        <v>11900</v>
      </c>
      <c r="Q5" s="19">
        <v>0</v>
      </c>
      <c r="R5" s="19">
        <v>11900</v>
      </c>
      <c r="S5" s="10" t="s">
        <v>46</v>
      </c>
      <c r="T5" s="19">
        <v>313141.71000000002</v>
      </c>
      <c r="U5" s="10" t="s">
        <v>121</v>
      </c>
      <c r="V5" s="9">
        <v>4</v>
      </c>
    </row>
    <row r="6" spans="1:22" ht="14.4" x14ac:dyDescent="0.3">
      <c r="A6" s="10" t="s">
        <v>44</v>
      </c>
      <c r="B6" s="10" t="s">
        <v>112</v>
      </c>
      <c r="C6" s="10" t="s">
        <v>113</v>
      </c>
      <c r="D6" s="10" t="s">
        <v>132</v>
      </c>
      <c r="E6" s="10" t="s">
        <v>123</v>
      </c>
      <c r="F6" s="10" t="s">
        <v>133</v>
      </c>
      <c r="G6" s="7" t="s">
        <v>125</v>
      </c>
      <c r="H6" s="10" t="s">
        <v>118</v>
      </c>
      <c r="I6" s="10" t="s">
        <v>45</v>
      </c>
      <c r="J6" s="10" t="s">
        <v>126</v>
      </c>
      <c r="K6" s="10" t="s">
        <v>127</v>
      </c>
      <c r="L6" s="47">
        <v>45130</v>
      </c>
      <c r="M6" s="47">
        <v>45217</v>
      </c>
      <c r="N6" s="19">
        <v>65</v>
      </c>
      <c r="O6" s="19">
        <v>11844</v>
      </c>
      <c r="P6" s="19">
        <v>11900</v>
      </c>
      <c r="Q6" s="19">
        <v>0</v>
      </c>
      <c r="R6" s="19">
        <v>11900</v>
      </c>
      <c r="S6" s="10" t="s">
        <v>46</v>
      </c>
      <c r="T6" s="19">
        <v>313141.71000000002</v>
      </c>
      <c r="U6" s="10" t="s">
        <v>121</v>
      </c>
      <c r="V6" s="9">
        <v>5</v>
      </c>
    </row>
    <row r="7" spans="1:22" ht="14.4" x14ac:dyDescent="0.3">
      <c r="A7" s="10" t="s">
        <v>44</v>
      </c>
      <c r="B7" s="10" t="s">
        <v>112</v>
      </c>
      <c r="C7" s="10" t="s">
        <v>113</v>
      </c>
      <c r="D7" s="10" t="s">
        <v>134</v>
      </c>
      <c r="E7" s="10" t="s">
        <v>123</v>
      </c>
      <c r="F7" s="10" t="s">
        <v>135</v>
      </c>
      <c r="G7" s="7" t="s">
        <v>125</v>
      </c>
      <c r="H7" s="10" t="s">
        <v>118</v>
      </c>
      <c r="I7" s="10" t="s">
        <v>45</v>
      </c>
      <c r="J7" s="10" t="s">
        <v>126</v>
      </c>
      <c r="K7" s="10" t="s">
        <v>127</v>
      </c>
      <c r="L7" s="47">
        <v>45130</v>
      </c>
      <c r="M7" s="47">
        <v>45217</v>
      </c>
      <c r="N7" s="19">
        <v>65</v>
      </c>
      <c r="O7" s="19">
        <v>11844</v>
      </c>
      <c r="P7" s="19">
        <v>11900</v>
      </c>
      <c r="Q7" s="19">
        <v>0</v>
      </c>
      <c r="R7" s="19">
        <v>11900</v>
      </c>
      <c r="S7" s="10" t="s">
        <v>46</v>
      </c>
      <c r="T7" s="19">
        <v>313141.71000000002</v>
      </c>
      <c r="U7" s="10" t="s">
        <v>121</v>
      </c>
      <c r="V7" s="9">
        <v>6</v>
      </c>
    </row>
    <row r="8" spans="1:22" ht="14.4" x14ac:dyDescent="0.3">
      <c r="A8" s="10" t="s">
        <v>44</v>
      </c>
      <c r="B8" s="10" t="s">
        <v>112</v>
      </c>
      <c r="C8" s="10" t="s">
        <v>113</v>
      </c>
      <c r="D8" s="10" t="s">
        <v>136</v>
      </c>
      <c r="E8" s="10" t="s">
        <v>137</v>
      </c>
      <c r="F8" s="10" t="s">
        <v>138</v>
      </c>
      <c r="G8" s="7" t="s">
        <v>139</v>
      </c>
      <c r="H8" s="10" t="s">
        <v>118</v>
      </c>
      <c r="I8" s="10" t="s">
        <v>45</v>
      </c>
      <c r="J8" s="10" t="s">
        <v>140</v>
      </c>
      <c r="K8" s="10" t="s">
        <v>141</v>
      </c>
      <c r="L8" s="47">
        <v>45131</v>
      </c>
      <c r="M8" s="47">
        <v>45217</v>
      </c>
      <c r="N8" s="19">
        <v>64.55</v>
      </c>
      <c r="O8" s="19">
        <v>5257.2</v>
      </c>
      <c r="P8" s="19">
        <v>14450</v>
      </c>
      <c r="Q8" s="19">
        <v>0</v>
      </c>
      <c r="R8" s="19">
        <v>14450</v>
      </c>
      <c r="S8" s="10" t="s">
        <v>46</v>
      </c>
      <c r="T8" s="19">
        <v>68559.039999999994</v>
      </c>
      <c r="U8" s="10" t="s">
        <v>121</v>
      </c>
      <c r="V8" s="9">
        <v>7</v>
      </c>
    </row>
    <row r="9" spans="1:22" ht="14.4" x14ac:dyDescent="0.3">
      <c r="A9" s="10" t="s">
        <v>44</v>
      </c>
      <c r="B9" s="10" t="s">
        <v>112</v>
      </c>
      <c r="C9" s="10" t="s">
        <v>113</v>
      </c>
      <c r="D9" s="10" t="s">
        <v>142</v>
      </c>
      <c r="E9" s="10" t="s">
        <v>137</v>
      </c>
      <c r="F9" s="10" t="s">
        <v>143</v>
      </c>
      <c r="G9" s="7" t="s">
        <v>139</v>
      </c>
      <c r="H9" s="10" t="s">
        <v>118</v>
      </c>
      <c r="I9" s="10" t="s">
        <v>45</v>
      </c>
      <c r="J9" s="10" t="s">
        <v>144</v>
      </c>
      <c r="K9" s="10" t="s">
        <v>141</v>
      </c>
      <c r="L9" s="47">
        <v>45131</v>
      </c>
      <c r="M9" s="47">
        <v>45229</v>
      </c>
      <c r="N9" s="19">
        <v>64.73</v>
      </c>
      <c r="O9" s="19">
        <v>2563</v>
      </c>
      <c r="P9" s="19">
        <v>14450</v>
      </c>
      <c r="Q9" s="19">
        <v>0</v>
      </c>
      <c r="R9" s="19">
        <v>14450</v>
      </c>
      <c r="S9" s="10" t="s">
        <v>46</v>
      </c>
      <c r="T9" s="19">
        <v>75786.240000000005</v>
      </c>
      <c r="U9" s="10" t="s">
        <v>121</v>
      </c>
      <c r="V9" s="9">
        <v>8</v>
      </c>
    </row>
    <row r="10" spans="1:22" ht="14.4" x14ac:dyDescent="0.3">
      <c r="A10" s="10" t="s">
        <v>44</v>
      </c>
      <c r="B10" s="10" t="s">
        <v>112</v>
      </c>
      <c r="C10" s="10" t="s">
        <v>113</v>
      </c>
      <c r="D10" s="10" t="s">
        <v>145</v>
      </c>
      <c r="E10" s="10" t="s">
        <v>146</v>
      </c>
      <c r="F10" s="10" t="s">
        <v>147</v>
      </c>
      <c r="G10" s="7" t="s">
        <v>148</v>
      </c>
      <c r="H10" s="10" t="s">
        <v>118</v>
      </c>
      <c r="I10" s="10" t="s">
        <v>45</v>
      </c>
      <c r="J10" s="10" t="s">
        <v>149</v>
      </c>
      <c r="K10" s="10" t="s">
        <v>150</v>
      </c>
      <c r="L10" s="47">
        <v>45120</v>
      </c>
      <c r="M10" s="47">
        <v>45206</v>
      </c>
      <c r="N10" s="19">
        <v>32.22</v>
      </c>
      <c r="O10" s="19">
        <v>26296</v>
      </c>
      <c r="P10" s="19">
        <v>12500</v>
      </c>
      <c r="Q10" s="19">
        <v>0</v>
      </c>
      <c r="R10" s="19">
        <v>12500</v>
      </c>
      <c r="S10" s="10" t="s">
        <v>46</v>
      </c>
      <c r="T10" s="19">
        <v>453690.24</v>
      </c>
      <c r="U10" s="10" t="s">
        <v>121</v>
      </c>
      <c r="V10" s="9">
        <v>9</v>
      </c>
    </row>
    <row r="11" spans="1:22" ht="14.4" x14ac:dyDescent="0.3">
      <c r="A11" s="10" t="s">
        <v>44</v>
      </c>
      <c r="B11" s="10" t="s">
        <v>112</v>
      </c>
      <c r="C11" s="10" t="s">
        <v>113</v>
      </c>
      <c r="D11" s="10" t="s">
        <v>151</v>
      </c>
      <c r="E11" s="10" t="s">
        <v>146</v>
      </c>
      <c r="F11" s="10" t="s">
        <v>152</v>
      </c>
      <c r="G11" s="7" t="s">
        <v>148</v>
      </c>
      <c r="H11" s="10" t="s">
        <v>118</v>
      </c>
      <c r="I11" s="10" t="s">
        <v>45</v>
      </c>
      <c r="J11" s="10" t="s">
        <v>149</v>
      </c>
      <c r="K11" s="10" t="s">
        <v>150</v>
      </c>
      <c r="L11" s="47">
        <v>45120</v>
      </c>
      <c r="M11" s="47">
        <v>45214</v>
      </c>
      <c r="N11" s="19">
        <v>32.22</v>
      </c>
      <c r="O11" s="19">
        <v>24878.720000000001</v>
      </c>
      <c r="P11" s="19">
        <v>12500</v>
      </c>
      <c r="Q11" s="19">
        <v>0</v>
      </c>
      <c r="R11" s="19">
        <v>12500</v>
      </c>
      <c r="S11" s="10" t="s">
        <v>46</v>
      </c>
      <c r="T11" s="19">
        <v>425269.44</v>
      </c>
      <c r="U11" s="10" t="s">
        <v>121</v>
      </c>
      <c r="V11" s="9">
        <v>10</v>
      </c>
    </row>
    <row r="12" spans="1:22" ht="14.4" x14ac:dyDescent="0.3">
      <c r="A12" s="10" t="s">
        <v>44</v>
      </c>
      <c r="B12" s="10" t="s">
        <v>112</v>
      </c>
      <c r="C12" s="10" t="s">
        <v>113</v>
      </c>
      <c r="D12" s="10" t="s">
        <v>153</v>
      </c>
      <c r="E12" s="10" t="s">
        <v>154</v>
      </c>
      <c r="F12" s="10" t="s">
        <v>155</v>
      </c>
      <c r="G12" s="7" t="s">
        <v>156</v>
      </c>
      <c r="H12" s="10" t="s">
        <v>118</v>
      </c>
      <c r="I12" s="10" t="s">
        <v>45</v>
      </c>
      <c r="J12" s="10" t="s">
        <v>157</v>
      </c>
      <c r="K12" s="10" t="s">
        <v>158</v>
      </c>
      <c r="L12" s="47">
        <v>45135</v>
      </c>
      <c r="M12" s="47">
        <v>45217</v>
      </c>
      <c r="N12" s="19">
        <v>59</v>
      </c>
      <c r="O12" s="19">
        <v>13461</v>
      </c>
      <c r="P12" s="19">
        <v>12650</v>
      </c>
      <c r="Q12" s="19">
        <v>0</v>
      </c>
      <c r="R12" s="19">
        <v>12650</v>
      </c>
      <c r="S12" s="10" t="s">
        <v>46</v>
      </c>
      <c r="T12" s="19">
        <v>328771.17</v>
      </c>
      <c r="U12" s="10" t="s">
        <v>121</v>
      </c>
      <c r="V12" s="9">
        <v>11</v>
      </c>
    </row>
    <row r="13" spans="1:22" ht="14.4" x14ac:dyDescent="0.3">
      <c r="A13" s="10" t="s">
        <v>44</v>
      </c>
      <c r="B13" s="10" t="s">
        <v>112</v>
      </c>
      <c r="C13" s="10" t="s">
        <v>113</v>
      </c>
      <c r="D13" s="10" t="s">
        <v>159</v>
      </c>
      <c r="E13" s="10" t="s">
        <v>154</v>
      </c>
      <c r="F13" s="10" t="s">
        <v>160</v>
      </c>
      <c r="G13" s="7" t="s">
        <v>156</v>
      </c>
      <c r="H13" s="10" t="s">
        <v>118</v>
      </c>
      <c r="I13" s="10" t="s">
        <v>45</v>
      </c>
      <c r="J13" s="10" t="s">
        <v>157</v>
      </c>
      <c r="K13" s="10" t="s">
        <v>158</v>
      </c>
      <c r="L13" s="47">
        <v>45135</v>
      </c>
      <c r="M13" s="47">
        <v>45217</v>
      </c>
      <c r="N13" s="19">
        <v>59</v>
      </c>
      <c r="O13" s="19">
        <v>13020</v>
      </c>
      <c r="P13" s="19">
        <v>12650</v>
      </c>
      <c r="Q13" s="19">
        <v>0</v>
      </c>
      <c r="R13" s="19">
        <v>12650</v>
      </c>
      <c r="S13" s="10" t="s">
        <v>46</v>
      </c>
      <c r="T13" s="19">
        <v>316573.99</v>
      </c>
      <c r="U13" s="10" t="s">
        <v>121</v>
      </c>
      <c r="V13" s="9">
        <v>12</v>
      </c>
    </row>
    <row r="14" spans="1:22" ht="14.4" x14ac:dyDescent="0.3">
      <c r="A14" s="10" t="s">
        <v>44</v>
      </c>
      <c r="B14" s="10" t="s">
        <v>112</v>
      </c>
      <c r="C14" s="10" t="s">
        <v>113</v>
      </c>
      <c r="D14" s="10" t="s">
        <v>161</v>
      </c>
      <c r="E14" s="10" t="s">
        <v>154</v>
      </c>
      <c r="F14" s="10" t="s">
        <v>162</v>
      </c>
      <c r="G14" s="7" t="s">
        <v>156</v>
      </c>
      <c r="H14" s="10" t="s">
        <v>118</v>
      </c>
      <c r="I14" s="10" t="s">
        <v>45</v>
      </c>
      <c r="J14" s="10" t="s">
        <v>157</v>
      </c>
      <c r="K14" s="10" t="s">
        <v>158</v>
      </c>
      <c r="L14" s="47">
        <v>45135</v>
      </c>
      <c r="M14" s="47">
        <v>45217</v>
      </c>
      <c r="N14" s="19">
        <v>59</v>
      </c>
      <c r="O14" s="19">
        <v>13461</v>
      </c>
      <c r="P14" s="19">
        <v>12650</v>
      </c>
      <c r="Q14" s="19">
        <v>0</v>
      </c>
      <c r="R14" s="19">
        <v>12650</v>
      </c>
      <c r="S14" s="10" t="s">
        <v>46</v>
      </c>
      <c r="T14" s="19">
        <v>328771.17</v>
      </c>
      <c r="U14" s="10" t="s">
        <v>121</v>
      </c>
      <c r="V14" s="9">
        <v>13</v>
      </c>
    </row>
    <row r="15" spans="1:22" ht="14.4" x14ac:dyDescent="0.3">
      <c r="A15" s="10" t="s">
        <v>44</v>
      </c>
      <c r="B15" s="10" t="s">
        <v>112</v>
      </c>
      <c r="C15" s="10" t="s">
        <v>113</v>
      </c>
      <c r="D15" s="10" t="s">
        <v>163</v>
      </c>
      <c r="E15" s="10" t="s">
        <v>154</v>
      </c>
      <c r="F15" s="10" t="s">
        <v>164</v>
      </c>
      <c r="G15" s="7" t="s">
        <v>156</v>
      </c>
      <c r="H15" s="10" t="s">
        <v>118</v>
      </c>
      <c r="I15" s="10" t="s">
        <v>45</v>
      </c>
      <c r="J15" s="10" t="s">
        <v>157</v>
      </c>
      <c r="K15" s="10" t="s">
        <v>158</v>
      </c>
      <c r="L15" s="47">
        <v>45135</v>
      </c>
      <c r="M15" s="47">
        <v>45217</v>
      </c>
      <c r="N15" s="19">
        <v>59</v>
      </c>
      <c r="O15" s="19">
        <v>13660</v>
      </c>
      <c r="P15" s="19">
        <v>12650</v>
      </c>
      <c r="Q15" s="19">
        <v>0</v>
      </c>
      <c r="R15" s="19">
        <v>12650</v>
      </c>
      <c r="S15" s="10" t="s">
        <v>46</v>
      </c>
      <c r="T15" s="19">
        <v>415673.37</v>
      </c>
      <c r="U15" s="10" t="s">
        <v>121</v>
      </c>
      <c r="V15" s="9">
        <v>14</v>
      </c>
    </row>
    <row r="16" spans="1:22" ht="14.4" x14ac:dyDescent="0.3">
      <c r="A16" s="10" t="s">
        <v>44</v>
      </c>
      <c r="B16" s="10" t="s">
        <v>112</v>
      </c>
      <c r="C16" s="10" t="s">
        <v>113</v>
      </c>
      <c r="D16" s="10" t="s">
        <v>165</v>
      </c>
      <c r="E16" s="10" t="s">
        <v>166</v>
      </c>
      <c r="F16" s="10" t="s">
        <v>167</v>
      </c>
      <c r="G16" s="7" t="s">
        <v>148</v>
      </c>
      <c r="H16" s="10" t="s">
        <v>118</v>
      </c>
      <c r="I16" s="10" t="s">
        <v>45</v>
      </c>
      <c r="J16" s="10" t="s">
        <v>168</v>
      </c>
      <c r="K16" s="10" t="s">
        <v>169</v>
      </c>
      <c r="L16" s="47">
        <v>45120</v>
      </c>
      <c r="M16" s="47">
        <v>45206</v>
      </c>
      <c r="N16" s="19">
        <v>64.19</v>
      </c>
      <c r="O16" s="19">
        <v>7662.35</v>
      </c>
      <c r="P16" s="19">
        <v>12500</v>
      </c>
      <c r="Q16" s="19">
        <v>0</v>
      </c>
      <c r="R16" s="19">
        <v>12500</v>
      </c>
      <c r="S16" s="10" t="s">
        <v>46</v>
      </c>
      <c r="T16" s="19">
        <v>28484.23</v>
      </c>
      <c r="U16" s="10" t="s">
        <v>121</v>
      </c>
      <c r="V16" s="9">
        <v>15</v>
      </c>
    </row>
    <row r="17" spans="1:22" ht="14.4" x14ac:dyDescent="0.3">
      <c r="A17" s="10" t="s">
        <v>44</v>
      </c>
      <c r="B17" s="10" t="s">
        <v>112</v>
      </c>
      <c r="C17" s="10" t="s">
        <v>113</v>
      </c>
      <c r="D17" s="10" t="s">
        <v>170</v>
      </c>
      <c r="E17" s="10" t="s">
        <v>171</v>
      </c>
      <c r="F17" s="10" t="s">
        <v>172</v>
      </c>
      <c r="G17" s="7" t="s">
        <v>148</v>
      </c>
      <c r="H17" s="10" t="s">
        <v>118</v>
      </c>
      <c r="I17" s="10" t="s">
        <v>45</v>
      </c>
      <c r="J17" s="10" t="s">
        <v>173</v>
      </c>
      <c r="K17" s="10" t="s">
        <v>174</v>
      </c>
      <c r="L17" s="47">
        <v>45120</v>
      </c>
      <c r="M17" s="47">
        <v>45206</v>
      </c>
      <c r="N17" s="19">
        <v>37.630000000000003</v>
      </c>
      <c r="O17" s="19">
        <v>22840</v>
      </c>
      <c r="P17" s="19">
        <v>12500</v>
      </c>
      <c r="Q17" s="19">
        <v>0</v>
      </c>
      <c r="R17" s="19">
        <v>12500</v>
      </c>
      <c r="S17" s="10" t="s">
        <v>46</v>
      </c>
      <c r="T17" s="19">
        <v>149975</v>
      </c>
      <c r="U17" s="10" t="s">
        <v>121</v>
      </c>
      <c r="V17" s="9">
        <v>16</v>
      </c>
    </row>
    <row r="18" spans="1:22" ht="14.4" x14ac:dyDescent="0.3">
      <c r="A18" s="10" t="s">
        <v>44</v>
      </c>
      <c r="B18" s="10" t="s">
        <v>112</v>
      </c>
      <c r="C18" s="10" t="s">
        <v>113</v>
      </c>
      <c r="D18" s="10" t="s">
        <v>175</v>
      </c>
      <c r="E18" s="10" t="s">
        <v>176</v>
      </c>
      <c r="F18" s="10" t="s">
        <v>177</v>
      </c>
      <c r="G18" s="7" t="s">
        <v>148</v>
      </c>
      <c r="H18" s="10" t="s">
        <v>118</v>
      </c>
      <c r="I18" s="10" t="s">
        <v>45</v>
      </c>
      <c r="J18" s="10" t="s">
        <v>178</v>
      </c>
      <c r="K18" s="10" t="s">
        <v>179</v>
      </c>
      <c r="L18" s="47">
        <v>45121</v>
      </c>
      <c r="M18" s="47">
        <v>45206</v>
      </c>
      <c r="N18" s="19">
        <v>64.483000000000004</v>
      </c>
      <c r="O18" s="19">
        <v>8720</v>
      </c>
      <c r="P18" s="19">
        <v>12500</v>
      </c>
      <c r="Q18" s="19">
        <v>0</v>
      </c>
      <c r="R18" s="19">
        <v>12339.49</v>
      </c>
      <c r="S18" s="10" t="s">
        <v>46</v>
      </c>
      <c r="T18" s="19">
        <v>327210.45</v>
      </c>
      <c r="U18" s="10" t="s">
        <v>121</v>
      </c>
      <c r="V18" s="9">
        <v>17</v>
      </c>
    </row>
    <row r="19" spans="1:22" ht="14.4" x14ac:dyDescent="0.3">
      <c r="A19" s="10" t="s">
        <v>44</v>
      </c>
      <c r="B19" s="10" t="s">
        <v>112</v>
      </c>
      <c r="C19" s="10" t="s">
        <v>113</v>
      </c>
      <c r="D19" s="10" t="s">
        <v>180</v>
      </c>
      <c r="E19" s="10" t="s">
        <v>181</v>
      </c>
      <c r="F19" s="10" t="s">
        <v>182</v>
      </c>
      <c r="G19" s="7" t="s">
        <v>148</v>
      </c>
      <c r="H19" s="10" t="s">
        <v>118</v>
      </c>
      <c r="I19" s="10" t="s">
        <v>45</v>
      </c>
      <c r="J19" s="10" t="s">
        <v>178</v>
      </c>
      <c r="K19" s="10" t="s">
        <v>179</v>
      </c>
      <c r="L19" s="47">
        <v>45121</v>
      </c>
      <c r="M19" s="47">
        <v>45206</v>
      </c>
      <c r="N19" s="19">
        <v>64.662999999999997</v>
      </c>
      <c r="O19" s="19">
        <v>4958</v>
      </c>
      <c r="P19" s="19">
        <v>12500</v>
      </c>
      <c r="Q19" s="19">
        <v>0</v>
      </c>
      <c r="R19" s="19">
        <v>12500</v>
      </c>
      <c r="S19" s="10" t="s">
        <v>46</v>
      </c>
      <c r="T19" s="19">
        <v>406058.16</v>
      </c>
      <c r="U19" s="10" t="s">
        <v>121</v>
      </c>
      <c r="V19" s="9">
        <v>18</v>
      </c>
    </row>
    <row r="20" spans="1:22" ht="14.4" x14ac:dyDescent="0.3">
      <c r="A20" s="10" t="s">
        <v>44</v>
      </c>
      <c r="B20" s="10" t="s">
        <v>112</v>
      </c>
      <c r="C20" s="10" t="s">
        <v>113</v>
      </c>
      <c r="D20" s="10" t="s">
        <v>183</v>
      </c>
      <c r="E20" s="10" t="s">
        <v>184</v>
      </c>
      <c r="F20" s="10" t="s">
        <v>185</v>
      </c>
      <c r="G20" s="7" t="s">
        <v>148</v>
      </c>
      <c r="H20" s="10" t="s">
        <v>118</v>
      </c>
      <c r="I20" s="10" t="s">
        <v>45</v>
      </c>
      <c r="J20" s="10" t="s">
        <v>178</v>
      </c>
      <c r="K20" s="10" t="s">
        <v>179</v>
      </c>
      <c r="L20" s="47">
        <v>45121</v>
      </c>
      <c r="M20" s="47">
        <v>45206</v>
      </c>
      <c r="N20" s="19">
        <v>62.042000000000002</v>
      </c>
      <c r="O20" s="19">
        <v>9061</v>
      </c>
      <c r="P20" s="19">
        <v>12500</v>
      </c>
      <c r="Q20" s="19">
        <v>0</v>
      </c>
      <c r="R20" s="19">
        <v>12500</v>
      </c>
      <c r="S20" s="10" t="s">
        <v>46</v>
      </c>
      <c r="T20" s="19">
        <v>666341.12</v>
      </c>
      <c r="U20" s="10" t="s">
        <v>121</v>
      </c>
      <c r="V20" s="9">
        <v>19</v>
      </c>
    </row>
    <row r="21" spans="1:22" ht="14.4" x14ac:dyDescent="0.3">
      <c r="A21" s="10" t="s">
        <v>44</v>
      </c>
      <c r="B21" s="10" t="s">
        <v>112</v>
      </c>
      <c r="C21" s="10" t="s">
        <v>113</v>
      </c>
      <c r="D21" s="10" t="s">
        <v>186</v>
      </c>
      <c r="E21" s="10" t="s">
        <v>154</v>
      </c>
      <c r="F21" s="10" t="s">
        <v>187</v>
      </c>
      <c r="G21" s="7" t="s">
        <v>156</v>
      </c>
      <c r="H21" s="10" t="s">
        <v>118</v>
      </c>
      <c r="I21" s="10" t="s">
        <v>45</v>
      </c>
      <c r="J21" s="10" t="s">
        <v>188</v>
      </c>
      <c r="K21" s="10" t="s">
        <v>189</v>
      </c>
      <c r="L21" s="47">
        <v>45144</v>
      </c>
      <c r="M21" s="47">
        <v>45214</v>
      </c>
      <c r="N21" s="19">
        <v>59</v>
      </c>
      <c r="O21" s="19">
        <v>13461</v>
      </c>
      <c r="P21" s="19">
        <v>12650</v>
      </c>
      <c r="Q21" s="19">
        <v>0</v>
      </c>
      <c r="R21" s="19">
        <v>12650</v>
      </c>
      <c r="S21" s="10" t="s">
        <v>46</v>
      </c>
      <c r="T21" s="19">
        <v>328771.17</v>
      </c>
      <c r="U21" s="10" t="s">
        <v>121</v>
      </c>
      <c r="V21" s="9">
        <v>20</v>
      </c>
    </row>
    <row r="22" spans="1:22" ht="14.4" x14ac:dyDescent="0.3">
      <c r="A22" s="10" t="s">
        <v>44</v>
      </c>
      <c r="B22" s="10" t="s">
        <v>112</v>
      </c>
      <c r="C22" s="10" t="s">
        <v>113</v>
      </c>
      <c r="D22" s="10" t="s">
        <v>190</v>
      </c>
      <c r="E22" s="10" t="s">
        <v>154</v>
      </c>
      <c r="F22" s="10" t="s">
        <v>191</v>
      </c>
      <c r="G22" s="7" t="s">
        <v>156</v>
      </c>
      <c r="H22" s="10" t="s">
        <v>118</v>
      </c>
      <c r="I22" s="10" t="s">
        <v>45</v>
      </c>
      <c r="J22" s="10" t="s">
        <v>188</v>
      </c>
      <c r="K22" s="10" t="s">
        <v>189</v>
      </c>
      <c r="L22" s="47">
        <v>45144</v>
      </c>
      <c r="M22" s="47">
        <v>45214</v>
      </c>
      <c r="N22" s="19">
        <v>68</v>
      </c>
      <c r="O22" s="19">
        <v>15768</v>
      </c>
      <c r="P22" s="19">
        <v>12650</v>
      </c>
      <c r="Q22" s="19">
        <v>0</v>
      </c>
      <c r="R22" s="19">
        <v>12650</v>
      </c>
      <c r="S22" s="10" t="s">
        <v>46</v>
      </c>
      <c r="T22" s="19">
        <v>391907.64</v>
      </c>
      <c r="U22" s="10" t="s">
        <v>121</v>
      </c>
      <c r="V22" s="9">
        <v>21</v>
      </c>
    </row>
    <row r="23" spans="1:22" ht="14.4" x14ac:dyDescent="0.3">
      <c r="A23" s="10" t="s">
        <v>44</v>
      </c>
      <c r="B23" s="10" t="s">
        <v>112</v>
      </c>
      <c r="C23" s="10" t="s">
        <v>113</v>
      </c>
      <c r="D23" s="10" t="s">
        <v>192</v>
      </c>
      <c r="E23" s="10" t="s">
        <v>154</v>
      </c>
      <c r="F23" s="10" t="s">
        <v>193</v>
      </c>
      <c r="G23" s="7" t="s">
        <v>156</v>
      </c>
      <c r="H23" s="10" t="s">
        <v>118</v>
      </c>
      <c r="I23" s="10" t="s">
        <v>45</v>
      </c>
      <c r="J23" s="10" t="s">
        <v>188</v>
      </c>
      <c r="K23" s="10" t="s">
        <v>189</v>
      </c>
      <c r="L23" s="47">
        <v>45144</v>
      </c>
      <c r="M23" s="47">
        <v>45214</v>
      </c>
      <c r="N23" s="19">
        <v>59</v>
      </c>
      <c r="O23" s="19">
        <v>13660</v>
      </c>
      <c r="P23" s="19">
        <v>12650</v>
      </c>
      <c r="Q23" s="19">
        <v>0</v>
      </c>
      <c r="R23" s="19">
        <v>12650</v>
      </c>
      <c r="S23" s="10" t="s">
        <v>46</v>
      </c>
      <c r="T23" s="19">
        <v>415673.37</v>
      </c>
      <c r="U23" s="10" t="s">
        <v>121</v>
      </c>
      <c r="V23" s="9">
        <v>22</v>
      </c>
    </row>
    <row r="24" spans="1:22" ht="14.4" x14ac:dyDescent="0.3">
      <c r="A24" s="10" t="s">
        <v>44</v>
      </c>
      <c r="B24" s="10" t="s">
        <v>112</v>
      </c>
      <c r="C24" s="10" t="s">
        <v>113</v>
      </c>
      <c r="D24" s="10" t="s">
        <v>194</v>
      </c>
      <c r="E24" s="10" t="s">
        <v>154</v>
      </c>
      <c r="F24" s="10" t="s">
        <v>195</v>
      </c>
      <c r="G24" s="7" t="s">
        <v>156</v>
      </c>
      <c r="H24" s="10" t="s">
        <v>118</v>
      </c>
      <c r="I24" s="10" t="s">
        <v>45</v>
      </c>
      <c r="J24" s="10" t="s">
        <v>188</v>
      </c>
      <c r="K24" s="10" t="s">
        <v>189</v>
      </c>
      <c r="L24" s="47">
        <v>45144</v>
      </c>
      <c r="M24" s="47">
        <v>45214</v>
      </c>
      <c r="N24" s="19">
        <v>59</v>
      </c>
      <c r="O24" s="19">
        <v>13461</v>
      </c>
      <c r="P24" s="19">
        <v>12650</v>
      </c>
      <c r="Q24" s="19">
        <v>0</v>
      </c>
      <c r="R24" s="19">
        <v>12650</v>
      </c>
      <c r="S24" s="10" t="s">
        <v>46</v>
      </c>
      <c r="T24" s="19">
        <v>328771.17</v>
      </c>
      <c r="U24" s="10" t="s">
        <v>121</v>
      </c>
      <c r="V24" s="9">
        <v>23</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8C8D-A89F-48EA-A8CD-7E3E7931AD7C}">
  <sheetPr>
    <tabColor rgb="FFC00000"/>
  </sheetPr>
  <dimension ref="A1:E6"/>
  <sheetViews>
    <sheetView workbookViewId="0">
      <selection activeCell="D3" sqref="D3"/>
    </sheetView>
  </sheetViews>
  <sheetFormatPr defaultRowHeight="14.4" x14ac:dyDescent="0.3"/>
  <cols>
    <col min="1" max="1" width="17.6640625" bestFit="1" customWidth="1"/>
    <col min="2" max="2" width="17.33203125" bestFit="1" customWidth="1"/>
    <col min="3" max="3" width="17.33203125" style="4" bestFit="1" customWidth="1"/>
    <col min="4" max="4" width="24" style="4" bestFit="1" customWidth="1"/>
    <col min="5" max="5" width="14.33203125" customWidth="1"/>
    <col min="6" max="6" width="24" bestFit="1" customWidth="1"/>
    <col min="7" max="7" width="13.44140625" customWidth="1"/>
  </cols>
  <sheetData>
    <row r="1" spans="1:5" s="23" customFormat="1" ht="56.4" x14ac:dyDescent="0.3">
      <c r="A1" s="23" t="s">
        <v>104</v>
      </c>
      <c r="B1" s="23" t="s">
        <v>69</v>
      </c>
      <c r="C1" s="23" t="s">
        <v>70</v>
      </c>
      <c r="D1" s="23" t="s">
        <v>108</v>
      </c>
      <c r="E1" s="23" t="s">
        <v>8</v>
      </c>
    </row>
    <row r="2" spans="1:5" ht="15.6" x14ac:dyDescent="0.3">
      <c r="A2" s="22">
        <f>MIN(Centrum[Date of arrival to Sary-Agach/ Дата прибытия на Сары-Агач])</f>
        <v>45206</v>
      </c>
      <c r="B2" s="22">
        <f>MAX(Centrum[Date of arrival to Sary-Agach/ Дата прибытия на Сары-Агач])</f>
        <v>45229</v>
      </c>
      <c r="C2" s="22">
        <f ca="1">IF(WORKDAY(A2,15)&gt;=TODAY(),TODAY(),WORKDAY(A2,15))</f>
        <v>45226</v>
      </c>
      <c r="D2" s="48">
        <v>45229</v>
      </c>
      <c r="E2" s="13" t="s">
        <v>40</v>
      </c>
    </row>
    <row r="3" spans="1:5" x14ac:dyDescent="0.3">
      <c r="D3" s="53"/>
    </row>
    <row r="4" spans="1:5" ht="36" customHeight="1" x14ac:dyDescent="0.3">
      <c r="A4" s="33" t="e">
        <f>IF(#REF!="","Обновите курсы валюты в Справочнике","")</f>
        <v>#REF!</v>
      </c>
    </row>
    <row r="5" spans="1:5" s="25" customFormat="1" x14ac:dyDescent="0.3">
      <c r="A5" s="25" t="s">
        <v>71</v>
      </c>
      <c r="B5" s="25" t="s">
        <v>72</v>
      </c>
      <c r="C5" s="25" t="s">
        <v>106</v>
      </c>
      <c r="D5" s="23" t="s">
        <v>73</v>
      </c>
    </row>
    <row r="6" spans="1:5" x14ac:dyDescent="0.3">
      <c r="A6" s="24" t="s">
        <v>105</v>
      </c>
      <c r="B6" s="8">
        <v>45229</v>
      </c>
      <c r="C6" s="49">
        <v>12228.05</v>
      </c>
      <c r="D6" s="4" t="s">
        <v>107</v>
      </c>
    </row>
  </sheetData>
  <phoneticPr fontId="20" type="noConversion"/>
  <pageMargins left="0.7" right="0.7" top="0.75" bottom="0.75" header="0.3" footer="0.3"/>
  <pageSetup paperSize="9" orientation="portrait" verticalDpi="0"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B3FF3CDA-355F-4FED-BC8D-E342FA1C26A8}">
          <x14:formula1>
            <xm:f>Лист2!$A$2:$A$9</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E031-4838-4F48-8772-E40D7D629098}">
  <dimension ref="A1:Z154"/>
  <sheetViews>
    <sheetView topLeftCell="M1" workbookViewId="0">
      <selection activeCell="Z5" sqref="Z5"/>
    </sheetView>
  </sheetViews>
  <sheetFormatPr defaultRowHeight="14.4" x14ac:dyDescent="0.3"/>
  <cols>
    <col min="1" max="1" width="9.109375" customWidth="1"/>
    <col min="2" max="5" width="10.88671875" customWidth="1"/>
    <col min="6" max="6" width="16.33203125" customWidth="1"/>
    <col min="7" max="11" width="10.88671875" customWidth="1"/>
    <col min="12" max="12" width="16.5546875" customWidth="1"/>
    <col min="13" max="18" width="10.88671875" customWidth="1"/>
    <col min="19" max="19" width="16.33203125" customWidth="1"/>
    <col min="20" max="20" width="18.6640625" customWidth="1"/>
    <col min="21" max="22" width="10.88671875" customWidth="1"/>
    <col min="23" max="23" width="15.33203125" customWidth="1"/>
    <col min="24" max="24" width="10.88671875" customWidth="1"/>
    <col min="25" max="25" width="22.109375" customWidth="1"/>
    <col min="26" max="26" width="19" style="13" customWidth="1"/>
  </cols>
  <sheetData>
    <row r="1" spans="1:26" ht="61.2" x14ac:dyDescent="0.3">
      <c r="A1" s="68">
        <v>488</v>
      </c>
      <c r="B1" s="68"/>
      <c r="C1" s="68"/>
      <c r="D1" s="69"/>
      <c r="E1" s="69"/>
      <c r="F1" s="69"/>
      <c r="G1" s="69"/>
      <c r="H1" s="70" t="s">
        <v>0</v>
      </c>
      <c r="I1" s="71"/>
      <c r="J1" s="71"/>
      <c r="K1" s="71"/>
      <c r="L1" s="71"/>
      <c r="M1" s="71"/>
      <c r="N1" s="71"/>
      <c r="O1" s="71"/>
      <c r="P1" s="71"/>
      <c r="Q1" s="71"/>
      <c r="R1" s="71"/>
      <c r="S1" s="71"/>
      <c r="T1" s="71"/>
      <c r="U1" s="71"/>
      <c r="V1" s="71"/>
      <c r="W1" s="71"/>
      <c r="X1" s="71"/>
      <c r="Y1" s="71"/>
      <c r="Z1" s="72"/>
    </row>
    <row r="2" spans="1:26" x14ac:dyDescent="0.3">
      <c r="A2" s="20" t="s">
        <v>77</v>
      </c>
      <c r="B2" s="20" t="s">
        <v>78</v>
      </c>
      <c r="C2" s="20" t="s">
        <v>79</v>
      </c>
      <c r="D2" s="20" t="s">
        <v>80</v>
      </c>
      <c r="E2" s="20" t="s">
        <v>81</v>
      </c>
      <c r="F2" s="20" t="s">
        <v>82</v>
      </c>
      <c r="G2" s="20" t="s">
        <v>83</v>
      </c>
      <c r="H2" s="20" t="s">
        <v>84</v>
      </c>
      <c r="I2" s="20" t="s">
        <v>85</v>
      </c>
      <c r="J2" s="20" t="s">
        <v>86</v>
      </c>
      <c r="K2" s="20" t="s">
        <v>87</v>
      </c>
      <c r="L2" s="20" t="s">
        <v>88</v>
      </c>
      <c r="M2" s="20" t="s">
        <v>89</v>
      </c>
      <c r="N2" s="20" t="s">
        <v>90</v>
      </c>
      <c r="O2" s="20" t="s">
        <v>91</v>
      </c>
      <c r="P2" s="20" t="s">
        <v>92</v>
      </c>
      <c r="Q2" s="20" t="s">
        <v>93</v>
      </c>
      <c r="R2" s="20" t="s">
        <v>94</v>
      </c>
      <c r="S2" s="20" t="s">
        <v>95</v>
      </c>
      <c r="T2" s="20" t="s">
        <v>96</v>
      </c>
      <c r="U2" s="20" t="s">
        <v>97</v>
      </c>
      <c r="V2" s="20" t="s">
        <v>98</v>
      </c>
      <c r="W2" s="20" t="s">
        <v>99</v>
      </c>
      <c r="X2" s="20" t="s">
        <v>100</v>
      </c>
      <c r="Y2" s="20" t="s">
        <v>101</v>
      </c>
      <c r="Z2" s="20" t="s">
        <v>102</v>
      </c>
    </row>
    <row r="3" spans="1:26" ht="115.2" x14ac:dyDescent="0.3">
      <c r="A3" s="34" t="s">
        <v>1</v>
      </c>
      <c r="B3" s="35" t="s">
        <v>2</v>
      </c>
      <c r="C3" s="35" t="s">
        <v>3</v>
      </c>
      <c r="D3" s="35" t="s">
        <v>4</v>
      </c>
      <c r="E3" s="35" t="s">
        <v>5</v>
      </c>
      <c r="F3" s="34" t="s">
        <v>6</v>
      </c>
      <c r="G3" s="34" t="s">
        <v>7</v>
      </c>
      <c r="H3" s="1" t="s">
        <v>8</v>
      </c>
      <c r="I3" s="34" t="s">
        <v>9</v>
      </c>
      <c r="J3" s="34" t="s">
        <v>10</v>
      </c>
      <c r="K3" s="34" t="s">
        <v>11</v>
      </c>
      <c r="L3" s="34" t="s">
        <v>12</v>
      </c>
      <c r="M3" s="34" t="s">
        <v>13</v>
      </c>
      <c r="N3" s="34" t="s">
        <v>14</v>
      </c>
      <c r="O3" s="34" t="s">
        <v>15</v>
      </c>
      <c r="P3" s="34" t="s">
        <v>16</v>
      </c>
      <c r="Q3" s="34" t="s">
        <v>17</v>
      </c>
      <c r="R3" s="34" t="s">
        <v>18</v>
      </c>
      <c r="S3" s="34" t="s">
        <v>19</v>
      </c>
      <c r="T3" s="34" t="s">
        <v>20</v>
      </c>
      <c r="U3" s="34" t="s">
        <v>21</v>
      </c>
      <c r="V3" s="34" t="s">
        <v>22</v>
      </c>
      <c r="W3" s="34" t="s">
        <v>23</v>
      </c>
      <c r="X3" s="34" t="s">
        <v>24</v>
      </c>
      <c r="Y3" s="34" t="s">
        <v>25</v>
      </c>
      <c r="Z3" s="34" t="s">
        <v>26</v>
      </c>
    </row>
    <row r="4" spans="1:26" x14ac:dyDescent="0.3">
      <c r="A4" s="2" t="s">
        <v>27</v>
      </c>
      <c r="B4" s="3"/>
      <c r="C4" s="3"/>
      <c r="D4" s="3"/>
      <c r="E4" s="3"/>
      <c r="F4" s="3"/>
      <c r="G4" s="3"/>
      <c r="H4" s="3"/>
      <c r="I4" s="3"/>
      <c r="J4" s="3"/>
      <c r="K4" s="3"/>
      <c r="L4" s="3"/>
      <c r="M4" s="3"/>
      <c r="N4" s="3"/>
      <c r="O4" s="3"/>
      <c r="P4" s="3"/>
      <c r="Q4" s="3"/>
      <c r="R4" s="21"/>
      <c r="S4" s="21"/>
      <c r="T4" s="6">
        <f>SUM(T5:T154)</f>
        <v>288839.49</v>
      </c>
      <c r="U4" s="3"/>
      <c r="V4" s="26"/>
      <c r="W4" s="26"/>
      <c r="X4" s="5"/>
      <c r="Y4" s="6">
        <f>SUM(Y5:Y1048576)</f>
        <v>3531943725.6945</v>
      </c>
      <c r="Z4" s="3" t="s">
        <v>109</v>
      </c>
    </row>
    <row r="5" spans="1:26" s="11" customFormat="1" x14ac:dyDescent="0.3">
      <c r="A5" s="14">
        <v>1</v>
      </c>
      <c r="B5" s="11" t="str">
        <f>_xlfn.XLOOKUP($A5,Centrum[Индекс],Centrum[Carrier/ Перевозчик],"",0,1)</f>
        <v>CENTRUM AVIATION FZCO</v>
      </c>
      <c r="C5" s="11" t="str">
        <f>_xlfn.XLOOKUP($A5,Centrum[Индекс],Centrum[Country /  Страна],"",0,1)</f>
        <v>KR</v>
      </c>
      <c r="D5" s="11" t="str">
        <f>_xlfn.XLOOKUP($A5,Centrum[Индекс],Centrum[Container num./ 
№ контейнера],"",0,1)</f>
        <v>ESPU8031368</v>
      </c>
      <c r="E5" s="11" t="str">
        <f>_xlfn.XLOOKUP($A5,Centrum[Индекс],Centrum[Supplier/
Поставщик],"",0,1)</f>
        <v>LINGLONG TIRE</v>
      </c>
      <c r="F5" s="11" t="str">
        <f>_xlfn.XLOOKUP($A5,Centrum[Индекс],Centrum[Shippers invoice no/ 
Номер инвойса поставщика],"",1)</f>
        <v>6020230570103</v>
      </c>
      <c r="G5" s="15">
        <f>_xlfn.XLOOKUP($A5,Centrum[Индекс],Centrum[Invoice value / Стоимость груза в к-ре по инвойсу],"",0,1)</f>
        <v>35417.599999999999</v>
      </c>
      <c r="H5" s="14" t="s">
        <v>40</v>
      </c>
      <c r="I5" s="11">
        <f>_xlfn.XLOOKUP($A5,Centrum[Индекс],Centrum[CBM on the shipper/ 
CBM по поставщику],"",0,1)</f>
        <v>70</v>
      </c>
      <c r="J5" s="16">
        <f>_xlfn.XLOOKUP($A5,Centrum[Индекс],Centrum[Gross weight of cont// 
Гросс.вес по конт.],"",0,1)</f>
        <v>10227.200000000001</v>
      </c>
      <c r="K5" s="17" t="str">
        <f>_xlfn.XLOOKUP($A5,Centrum[Индекс],Centrum[Route/ Маршрут (TSR/TCR)],"",0,1)</f>
        <v>TSR</v>
      </c>
      <c r="L5" s="11" t="str">
        <f>_xlfn.XLOOKUP($A5,Centrum[Индекс],Centrum[Условия поставки],"",0,1)</f>
        <v xml:space="preserve">QINGDAO </v>
      </c>
      <c r="M5" s="11" t="str">
        <f>_xlfn.XLOOKUP($A5,Centrum[Индекс],Centrum[№ HBL date / 
№/ дата коносамента],"",0,1)</f>
        <v>AE230700008</v>
      </c>
      <c r="N5" s="11" t="str">
        <f>_xlfn.XLOOKUP($A5,Centrum[Индекс],Centrum[№ MBL / 
№/ коносамента],"",0,1)</f>
        <v>SNKO024230700386</v>
      </c>
      <c r="O5" s="8">
        <f>(_xlfn.XLOOKUP($A5,Centrum[Индекс],Centrum[Date on board / Дата погрузки на судно],"",0,1))*1</f>
        <v>45132</v>
      </c>
      <c r="P5" s="8">
        <f>(_xlfn.XLOOKUP($A5,Centrum[Индекс],Centrum[Date of arrival to Sary-Agach/ Дата прибытия на Сары-Агач],"",0,1))*1</f>
        <v>45229</v>
      </c>
      <c r="Q5" s="14" t="str">
        <f>_xlfn.XLOOKUP($A5,Centrum[Индекс],Centrum[Container type/ 
Тип контейнера],"",0,1)</f>
        <v>40'HC</v>
      </c>
      <c r="R5" s="16">
        <f>_xlfn.XLOOKUP($A5,Centrum[Индекс],Centrum[Transportation cost per supplier/ 
Cтоимость перевозки по поставщикам],0,0,1)</f>
        <v>11900</v>
      </c>
      <c r="S5" s="16">
        <f>Шаблон_Формулы!$T5-Шаблон_Формулы!$R5</f>
        <v>0</v>
      </c>
      <c r="T5" s="16">
        <f>_xlfn.XLOOKUP($A5,Centrum[Индекс],Centrum[Transportation total amount / Общая стоимость перевозки],0,0,1)</f>
        <v>11900</v>
      </c>
      <c r="U5" s="12" cm="1">
        <f t="array" ref="U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 s="16">
        <f>_xlfn.XLOOKUP(Шаблон_Формулы[[#This Row],[21]],Курс_USD[Дата],Курс_USD[Курс],,0,1)</f>
        <v>12228.05</v>
      </c>
      <c r="W5" s="16">
        <f>Шаблон_Формулы!$T5*Шаблон_Формулы!$V5</f>
        <v>145513795</v>
      </c>
      <c r="Y5" s="16">
        <f>Шаблон_Формулы!$W5+Шаблон_Формулы!$X5</f>
        <v>145513795</v>
      </c>
      <c r="Z5" s="14" t="str">
        <f>_xlfn.XLOOKUP($A5,Centrum[Индекс],Centrum[Transport co invoice no/ 
Номер инвойса ТК],"",0,1)</f>
        <v>CNT-CKCNRF081-1</v>
      </c>
    </row>
    <row r="6" spans="1:26" s="11" customFormat="1" x14ac:dyDescent="0.3">
      <c r="A6" s="14">
        <v>2</v>
      </c>
      <c r="B6" s="11" t="str">
        <f>_xlfn.XLOOKUP($A6,Centrum[Индекс],Centrum[Carrier/ Перевозчик],"",0,1)</f>
        <v>CENTRUM AVIATION FZCO</v>
      </c>
      <c r="C6" s="11" t="str">
        <f>_xlfn.XLOOKUP($A6,Centrum[Индекс],Centrum[Country /  Страна],"",0,1)</f>
        <v>KR</v>
      </c>
      <c r="D6" s="11" t="str">
        <f>_xlfn.XLOOKUP($A6,Centrum[Индекс],Centrum[Container num./ 
№ контейнера],"",0,1)</f>
        <v>CCLU6607797</v>
      </c>
      <c r="E6" s="11" t="str">
        <f>_xlfn.XLOOKUP($A6,Centrum[Индекс],Centrum[Supplier/
Поставщик],"",0,1)</f>
        <v>BAODING LIZHONG WHEEL</v>
      </c>
      <c r="F6" s="11" t="str">
        <f>_xlfn.XLOOKUP($A6,Centrum[Индекс],Centrum[Shippers invoice no/ 
Номер инвойса поставщика],"",1)</f>
        <v>20231367A</v>
      </c>
      <c r="G6" s="15">
        <f>_xlfn.XLOOKUP($A6,Centrum[Индекс],Centrum[Invoice value / Стоимость груза в к-ре по инвойсу],"",0,1)</f>
        <v>292141.71000000002</v>
      </c>
      <c r="H6" s="14" t="s">
        <v>40</v>
      </c>
      <c r="I6" s="11">
        <f>_xlfn.XLOOKUP($A6,Centrum[Индекс],Centrum[CBM on the shipper/ 
CBM по поставщику],"",0,1)</f>
        <v>65</v>
      </c>
      <c r="J6" s="16">
        <f>_xlfn.XLOOKUP($A6,Centrum[Индекс],Centrum[Gross weight of cont// 
Гросс.вес по конт.],"",0,1)</f>
        <v>11802</v>
      </c>
      <c r="K6" s="17" t="str">
        <f>_xlfn.XLOOKUP($A6,Centrum[Индекс],Centrum[Route/ Маршрут (TSR/TCR)],"",0,1)</f>
        <v>TSR</v>
      </c>
      <c r="L6" s="11" t="str">
        <f>_xlfn.XLOOKUP($A6,Centrum[Индекс],Centrum[Условия поставки],"",0,1)</f>
        <v xml:space="preserve">DALIAN </v>
      </c>
      <c r="M6" s="11" t="str">
        <f>_xlfn.XLOOKUP($A6,Centrum[Индекс],Centrum[№ HBL date / 
№/ дата коносамента],"",0,1)</f>
        <v>SJTJ23070070T</v>
      </c>
      <c r="N6" s="11" t="str">
        <f>_xlfn.XLOOKUP($A6,Centrum[Индекс],Centrum[№ MBL / 
№/ коносамента],"",0,1)</f>
        <v>PCSLXBL230723007 / SNKO010230802042</v>
      </c>
      <c r="O6" s="8">
        <f>(_xlfn.XLOOKUP($A6,Centrum[Индекс],Centrum[Date on board / Дата погрузки на судно],"",0,1))*1</f>
        <v>45130</v>
      </c>
      <c r="P6" s="8">
        <f>(_xlfn.XLOOKUP($A6,Centrum[Индекс],Centrum[Date of arrival to Sary-Agach/ Дата прибытия на Сары-Агач],"",0,1))*1</f>
        <v>45217</v>
      </c>
      <c r="Q6" s="14" t="str">
        <f>_xlfn.XLOOKUP($A6,Centrum[Индекс],Centrum[Container type/ 
Тип контейнера],"",0,1)</f>
        <v>40'HC</v>
      </c>
      <c r="R6" s="16">
        <f>_xlfn.XLOOKUP($A6,Centrum[Индекс],Centrum[Transportation cost per supplier/ 
Cтоимость перевозки по поставщикам],0,0,1)</f>
        <v>11900</v>
      </c>
      <c r="S6" s="16">
        <f>Шаблон_Формулы!$T6-Шаблон_Формулы!$R6</f>
        <v>0</v>
      </c>
      <c r="T6" s="16">
        <f>_xlfn.XLOOKUP($A6,Centrum[Индекс],Centrum[Transportation total amount / Общая стоимость перевозки],0,0,1)</f>
        <v>11900</v>
      </c>
      <c r="U6" s="12" cm="1">
        <f t="array" ref="U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 s="16">
        <f>_xlfn.XLOOKUP(Шаблон_Формулы[[#This Row],[21]],Курс_USD[Дата],Курс_USD[Курс],,0,1)</f>
        <v>12228.05</v>
      </c>
      <c r="W6" s="16">
        <f>Шаблон_Формулы!$T6*Шаблон_Формулы!$V6</f>
        <v>145513795</v>
      </c>
      <c r="Y6" s="16">
        <f>Шаблон_Формулы!$W6+Шаблон_Формулы!$X6</f>
        <v>145513795</v>
      </c>
      <c r="Z6" s="14" t="str">
        <f>_xlfn.XLOOKUP($A6,Centrum[Индекс],Centrum[Transport co invoice no/ 
Номер инвойса ТК],"",0,1)</f>
        <v>CNT-CKCNRF081-1</v>
      </c>
    </row>
    <row r="7" spans="1:26" s="11" customFormat="1" x14ac:dyDescent="0.3">
      <c r="A7" s="14">
        <v>3</v>
      </c>
      <c r="B7" s="11" t="str">
        <f>_xlfn.XLOOKUP($A7,Centrum[Индекс],Centrum[Carrier/ Перевозчик],"",0,1)</f>
        <v>CENTRUM AVIATION FZCO</v>
      </c>
      <c r="C7" s="11" t="str">
        <f>_xlfn.XLOOKUP($A7,Centrum[Индекс],Centrum[Country /  Страна],"",0,1)</f>
        <v>KR</v>
      </c>
      <c r="D7" s="11" t="str">
        <f>_xlfn.XLOOKUP($A7,Centrum[Индекс],Centrum[Container num./ 
№ контейнера],"",0,1)</f>
        <v>CXDU1258773</v>
      </c>
      <c r="E7" s="11" t="str">
        <f>_xlfn.XLOOKUP($A7,Centrum[Индекс],Centrum[Supplier/
Поставщик],"",0,1)</f>
        <v>BAODING LIZHONG WHEEL</v>
      </c>
      <c r="F7" s="11" t="str">
        <f>_xlfn.XLOOKUP($A7,Centrum[Индекс],Centrum[Shippers invoice no/ 
Номер инвойса поставщика],"",1)</f>
        <v>20231367B</v>
      </c>
      <c r="G7" s="15">
        <f>_xlfn.XLOOKUP($A7,Centrum[Индекс],Centrum[Invoice value / Стоимость груза в к-ре по инвойсу],"",0,1)</f>
        <v>292141.71000000002</v>
      </c>
      <c r="H7" s="14" t="s">
        <v>40</v>
      </c>
      <c r="I7" s="11">
        <f>_xlfn.XLOOKUP($A7,Centrum[Индекс],Centrum[CBM on the shipper/ 
CBM по поставщику],"",0,1)</f>
        <v>65</v>
      </c>
      <c r="J7" s="16">
        <f>_xlfn.XLOOKUP($A7,Centrum[Индекс],Centrum[Gross weight of cont// 
Гросс.вес по конт.],"",0,1)</f>
        <v>11844</v>
      </c>
      <c r="K7" s="17" t="str">
        <f>_xlfn.XLOOKUP($A7,Centrum[Индекс],Centrum[Route/ Маршрут (TSR/TCR)],"",0,1)</f>
        <v>TSR</v>
      </c>
      <c r="L7" s="11" t="str">
        <f>_xlfn.XLOOKUP($A7,Centrum[Индекс],Centrum[Условия поставки],"",0,1)</f>
        <v xml:space="preserve">DALIAN </v>
      </c>
      <c r="M7" s="11" t="str">
        <f>_xlfn.XLOOKUP($A7,Centrum[Индекс],Centrum[№ HBL date / 
№/ дата коносамента],"",0,1)</f>
        <v>SJTJ23070070T</v>
      </c>
      <c r="N7" s="11" t="str">
        <f>_xlfn.XLOOKUP($A7,Centrum[Индекс],Centrum[№ MBL / 
№/ коносамента],"",0,1)</f>
        <v>PCSLXBL230723007 / SNKO010230802042</v>
      </c>
      <c r="O7" s="8">
        <f>(_xlfn.XLOOKUP($A7,Centrum[Индекс],Centrum[Date on board / Дата погрузки на судно],"",0,1))*1</f>
        <v>45130</v>
      </c>
      <c r="P7" s="8">
        <f>(_xlfn.XLOOKUP($A7,Centrum[Индекс],Centrum[Date of arrival to Sary-Agach/ Дата прибытия на Сары-Агач],"",0,1))*1</f>
        <v>45217</v>
      </c>
      <c r="Q7" s="14" t="str">
        <f>_xlfn.XLOOKUP($A7,Centrum[Индекс],Centrum[Container type/ 
Тип контейнера],"",0,1)</f>
        <v>40'HC</v>
      </c>
      <c r="R7" s="16">
        <f>_xlfn.XLOOKUP($A7,Centrum[Индекс],Centrum[Transportation cost per supplier/ 
Cтоимость перевозки по поставщикам],0,0,1)</f>
        <v>11900</v>
      </c>
      <c r="S7" s="16">
        <f>Шаблон_Формулы!$T7-Шаблон_Формулы!$R7</f>
        <v>0</v>
      </c>
      <c r="T7" s="16">
        <f>_xlfn.XLOOKUP($A7,Centrum[Индекс],Centrum[Transportation total amount / Общая стоимость перевозки],0,0,1)</f>
        <v>11900</v>
      </c>
      <c r="U7" s="12" cm="1">
        <f t="array" ref="U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 s="16">
        <f>_xlfn.XLOOKUP(Шаблон_Формулы[[#This Row],[21]],Курс_USD[Дата],Курс_USD[Курс],,0,1)</f>
        <v>12228.05</v>
      </c>
      <c r="W7" s="16">
        <f>Шаблон_Формулы!$T7*Шаблон_Формулы!$V7</f>
        <v>145513795</v>
      </c>
      <c r="Y7" s="16">
        <f>Шаблон_Формулы!$W7+Шаблон_Формулы!$X7</f>
        <v>145513795</v>
      </c>
      <c r="Z7" s="14" t="str">
        <f>_xlfn.XLOOKUP($A7,Centrum[Индекс],Centrum[Transport co invoice no/ 
Номер инвойса ТК],"",0,1)</f>
        <v>CNT-CKCNRF081-1</v>
      </c>
    </row>
    <row r="8" spans="1:26" s="11" customFormat="1" x14ac:dyDescent="0.3">
      <c r="A8" s="14">
        <v>4</v>
      </c>
      <c r="B8" s="11" t="str">
        <f>_xlfn.XLOOKUP($A8,Centrum[Индекс],Centrum[Carrier/ Перевозчик],"",0,1)</f>
        <v>CENTRUM AVIATION FZCO</v>
      </c>
      <c r="C8" s="11" t="str">
        <f>_xlfn.XLOOKUP($A8,Centrum[Индекс],Centrum[Country /  Страна],"",0,1)</f>
        <v>KR</v>
      </c>
      <c r="D8" s="11" t="str">
        <f>_xlfn.XLOOKUP($A8,Centrum[Индекс],Centrum[Container num./ 
№ контейнера],"",0,1)</f>
        <v>SKHU8309176</v>
      </c>
      <c r="E8" s="11" t="str">
        <f>_xlfn.XLOOKUP($A8,Centrum[Индекс],Centrum[Supplier/
Поставщик],"",0,1)</f>
        <v>BAODING LIZHONG WHEEL</v>
      </c>
      <c r="F8" s="11" t="str">
        <f>_xlfn.XLOOKUP($A8,Centrum[Индекс],Centrum[Shippers invoice no/ 
Номер инвойса поставщика],"",1)</f>
        <v>20231367C</v>
      </c>
      <c r="G8" s="15">
        <f>_xlfn.XLOOKUP($A8,Centrum[Индекс],Centrum[Invoice value / Стоимость груза в к-ре по инвойсу],"",0,1)</f>
        <v>313141.71000000002</v>
      </c>
      <c r="H8" s="14" t="s">
        <v>40</v>
      </c>
      <c r="I8" s="11">
        <f>_xlfn.XLOOKUP($A8,Centrum[Индекс],Centrum[CBM on the shipper/ 
CBM по поставщику],"",0,1)</f>
        <v>65</v>
      </c>
      <c r="J8" s="16">
        <f>_xlfn.XLOOKUP($A8,Centrum[Индекс],Centrum[Gross weight of cont// 
Гросс.вес по конт.],"",0,1)</f>
        <v>11802</v>
      </c>
      <c r="K8" s="17" t="str">
        <f>_xlfn.XLOOKUP($A8,Centrum[Индекс],Centrum[Route/ Маршрут (TSR/TCR)],"",0,1)</f>
        <v>TSR</v>
      </c>
      <c r="L8" s="11" t="str">
        <f>_xlfn.XLOOKUP($A8,Centrum[Индекс],Centrum[Условия поставки],"",0,1)</f>
        <v xml:space="preserve">DALIAN </v>
      </c>
      <c r="M8" s="11" t="str">
        <f>_xlfn.XLOOKUP($A8,Centrum[Индекс],Centrum[№ HBL date / 
№/ дата коносамента],"",0,1)</f>
        <v>SJTJ23070070T</v>
      </c>
      <c r="N8" s="11" t="str">
        <f>_xlfn.XLOOKUP($A8,Centrum[Индекс],Centrum[№ MBL / 
№/ коносамента],"",0,1)</f>
        <v>PCSLXBL230723007 / SNKO010230802042</v>
      </c>
      <c r="O8" s="8">
        <f>(_xlfn.XLOOKUP($A8,Centrum[Индекс],Centrum[Date on board / Дата погрузки на судно],"",0,1))*1</f>
        <v>45130</v>
      </c>
      <c r="P8" s="8">
        <f>(_xlfn.XLOOKUP($A8,Centrum[Индекс],Centrum[Date of arrival to Sary-Agach/ Дата прибытия на Сары-Агач],"",0,1))*1</f>
        <v>45217</v>
      </c>
      <c r="Q8" s="14" t="str">
        <f>_xlfn.XLOOKUP($A8,Centrum[Индекс],Centrum[Container type/ 
Тип контейнера],"",0,1)</f>
        <v>40'HC</v>
      </c>
      <c r="R8" s="16">
        <f>_xlfn.XLOOKUP($A8,Centrum[Индекс],Centrum[Transportation cost per supplier/ 
Cтоимость перевозки по поставщикам],0,0,1)</f>
        <v>11900</v>
      </c>
      <c r="S8" s="16">
        <f>Шаблон_Формулы!$T8-Шаблон_Формулы!$R8</f>
        <v>0</v>
      </c>
      <c r="T8" s="16">
        <f>_xlfn.XLOOKUP($A8,Centrum[Индекс],Centrum[Transportation total amount / Общая стоимость перевозки],0,0,1)</f>
        <v>11900</v>
      </c>
      <c r="U8" s="12" cm="1">
        <f t="array" ref="U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 s="16">
        <f>_xlfn.XLOOKUP(Шаблон_Формулы[[#This Row],[21]],Курс_USD[Дата],Курс_USD[Курс],,0,1)</f>
        <v>12228.05</v>
      </c>
      <c r="W8" s="16">
        <f>Шаблон_Формулы!$T8*Шаблон_Формулы!$V8</f>
        <v>145513795</v>
      </c>
      <c r="Y8" s="16">
        <f>Шаблон_Формулы!$W8+Шаблон_Формулы!$X8</f>
        <v>145513795</v>
      </c>
      <c r="Z8" s="14" t="str">
        <f>_xlfn.XLOOKUP($A8,Centrum[Индекс],Centrum[Transport co invoice no/ 
Номер инвойса ТК],"",0,1)</f>
        <v>CNT-CKCNRF081-1</v>
      </c>
    </row>
    <row r="9" spans="1:26" s="11" customFormat="1" x14ac:dyDescent="0.3">
      <c r="A9" s="14">
        <v>5</v>
      </c>
      <c r="B9" s="11" t="str">
        <f>_xlfn.XLOOKUP($A9,Centrum[Индекс],Centrum[Carrier/ Перевозчик],"",0,1)</f>
        <v>CENTRUM AVIATION FZCO</v>
      </c>
      <c r="C9" s="11" t="str">
        <f>_xlfn.XLOOKUP($A9,Centrum[Индекс],Centrum[Country /  Страна],"",0,1)</f>
        <v>KR</v>
      </c>
      <c r="D9" s="11" t="str">
        <f>_xlfn.XLOOKUP($A9,Centrum[Индекс],Centrum[Container num./ 
№ контейнера],"",0,1)</f>
        <v>TCLU5661758</v>
      </c>
      <c r="E9" s="11" t="str">
        <f>_xlfn.XLOOKUP($A9,Centrum[Индекс],Centrum[Supplier/
Поставщик],"",0,1)</f>
        <v>BAODING LIZHONG WHEEL</v>
      </c>
      <c r="F9" s="11" t="str">
        <f>_xlfn.XLOOKUP($A9,Centrum[Индекс],Centrum[Shippers invoice no/ 
Номер инвойса поставщика],"",1)</f>
        <v>20231367D</v>
      </c>
      <c r="G9" s="15">
        <f>_xlfn.XLOOKUP($A9,Centrum[Индекс],Centrum[Invoice value / Стоимость груза в к-ре по инвойсу],"",0,1)</f>
        <v>313141.71000000002</v>
      </c>
      <c r="H9" s="14" t="s">
        <v>40</v>
      </c>
      <c r="I9" s="11">
        <f>_xlfn.XLOOKUP($A9,Centrum[Индекс],Centrum[CBM on the shipper/ 
CBM по поставщику],"",0,1)</f>
        <v>65</v>
      </c>
      <c r="J9" s="16">
        <f>_xlfn.XLOOKUP($A9,Centrum[Индекс],Centrum[Gross weight of cont// 
Гросс.вес по конт.],"",0,1)</f>
        <v>11844</v>
      </c>
      <c r="K9" s="17" t="str">
        <f>_xlfn.XLOOKUP($A9,Centrum[Индекс],Centrum[Route/ Маршрут (TSR/TCR)],"",0,1)</f>
        <v>TSR</v>
      </c>
      <c r="L9" s="11" t="str">
        <f>_xlfn.XLOOKUP($A9,Centrum[Индекс],Centrum[Условия поставки],"",0,1)</f>
        <v xml:space="preserve">DALIAN </v>
      </c>
      <c r="M9" s="11" t="str">
        <f>_xlfn.XLOOKUP($A9,Centrum[Индекс],Centrum[№ HBL date / 
№/ дата коносамента],"",0,1)</f>
        <v>SJTJ23070070T</v>
      </c>
      <c r="N9" s="11" t="str">
        <f>_xlfn.XLOOKUP($A9,Centrum[Индекс],Centrum[№ MBL / 
№/ коносамента],"",0,1)</f>
        <v>PCSLXBL230723007 / SNKO010230802042</v>
      </c>
      <c r="O9" s="8">
        <f>(_xlfn.XLOOKUP($A9,Centrum[Индекс],Centrum[Date on board / Дата погрузки на судно],"",0,1))*1</f>
        <v>45130</v>
      </c>
      <c r="P9" s="8">
        <f>(_xlfn.XLOOKUP($A9,Centrum[Индекс],Centrum[Date of arrival to Sary-Agach/ Дата прибытия на Сары-Агач],"",0,1))*1</f>
        <v>45217</v>
      </c>
      <c r="Q9" s="14" t="str">
        <f>_xlfn.XLOOKUP($A9,Centrum[Индекс],Centrum[Container type/ 
Тип контейнера],"",0,1)</f>
        <v>40'HC</v>
      </c>
      <c r="R9" s="16">
        <f>_xlfn.XLOOKUP($A9,Centrum[Индекс],Centrum[Transportation cost per supplier/ 
Cтоимость перевозки по поставщикам],0,0,1)</f>
        <v>11900</v>
      </c>
      <c r="S9" s="16">
        <f>Шаблон_Формулы!$T9-Шаблон_Формулы!$R9</f>
        <v>0</v>
      </c>
      <c r="T9" s="16">
        <f>_xlfn.XLOOKUP($A9,Centrum[Индекс],Centrum[Transportation total amount / Общая стоимость перевозки],0,0,1)</f>
        <v>11900</v>
      </c>
      <c r="U9" s="12" cm="1">
        <f t="array" ref="U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 s="16">
        <f>_xlfn.XLOOKUP(Шаблон_Формулы[[#This Row],[21]],Курс_USD[Дата],Курс_USD[Курс],,0,1)</f>
        <v>12228.05</v>
      </c>
      <c r="W9" s="16">
        <f>Шаблон_Формулы!$T9*Шаблон_Формулы!$V9</f>
        <v>145513795</v>
      </c>
      <c r="Y9" s="16">
        <f>Шаблон_Формулы!$W9+Шаблон_Формулы!$X9</f>
        <v>145513795</v>
      </c>
      <c r="Z9" s="14" t="str">
        <f>_xlfn.XLOOKUP($A9,Centrum[Индекс],Centrum[Transport co invoice no/ 
Номер инвойса ТК],"",0,1)</f>
        <v>CNT-CKCNRF081-1</v>
      </c>
    </row>
    <row r="10" spans="1:26" s="11" customFormat="1" x14ac:dyDescent="0.3">
      <c r="A10" s="14">
        <v>6</v>
      </c>
      <c r="B10" s="11" t="str">
        <f>_xlfn.XLOOKUP($A10,Centrum[Индекс],Centrum[Carrier/ Перевозчик],"",0,1)</f>
        <v>CENTRUM AVIATION FZCO</v>
      </c>
      <c r="C10" s="11" t="str">
        <f>_xlfn.XLOOKUP($A10,Centrum[Индекс],Centrum[Country /  Страна],"",0,1)</f>
        <v>KR</v>
      </c>
      <c r="D10" s="11" t="str">
        <f>_xlfn.XLOOKUP($A10,Centrum[Индекс],Centrum[Container num./ 
№ контейнера],"",0,1)</f>
        <v>TCNU5251684</v>
      </c>
      <c r="E10" s="11" t="str">
        <f>_xlfn.XLOOKUP($A10,Centrum[Индекс],Centrum[Supplier/
Поставщик],"",0,1)</f>
        <v>BAODING LIZHONG WHEEL</v>
      </c>
      <c r="F10" s="11" t="str">
        <f>_xlfn.XLOOKUP($A10,Centrum[Индекс],Centrum[Shippers invoice no/ 
Номер инвойса поставщика],"",1)</f>
        <v>20231367AE</v>
      </c>
      <c r="G10" s="15">
        <f>_xlfn.XLOOKUP($A10,Centrum[Индекс],Centrum[Invoice value / Стоимость груза в к-ре по инвойсу],"",0,1)</f>
        <v>313141.71000000002</v>
      </c>
      <c r="H10" s="14" t="s">
        <v>40</v>
      </c>
      <c r="I10" s="11">
        <f>_xlfn.XLOOKUP($A10,Centrum[Индекс],Centrum[CBM on the shipper/ 
CBM по поставщику],"",0,1)</f>
        <v>65</v>
      </c>
      <c r="J10" s="16">
        <f>_xlfn.XLOOKUP($A10,Centrum[Индекс],Centrum[Gross weight of cont// 
Гросс.вес по конт.],"",0,1)</f>
        <v>11844</v>
      </c>
      <c r="K10" s="17" t="str">
        <f>_xlfn.XLOOKUP($A10,Centrum[Индекс],Centrum[Route/ Маршрут (TSR/TCR)],"",0,1)</f>
        <v>TSR</v>
      </c>
      <c r="L10" s="11" t="str">
        <f>_xlfn.XLOOKUP($A10,Centrum[Индекс],Centrum[Условия поставки],"",0,1)</f>
        <v xml:space="preserve">DALIAN </v>
      </c>
      <c r="M10" s="11" t="str">
        <f>_xlfn.XLOOKUP($A10,Centrum[Индекс],Centrum[№ HBL date / 
№/ дата коносамента],"",0,1)</f>
        <v>SJTJ23070070T</v>
      </c>
      <c r="N10" s="11" t="str">
        <f>_xlfn.XLOOKUP($A10,Centrum[Индекс],Centrum[№ MBL / 
№/ коносамента],"",0,1)</f>
        <v>PCSLXBL230723007 / SNKO010230802042</v>
      </c>
      <c r="O10" s="8">
        <f>(_xlfn.XLOOKUP($A10,Centrum[Индекс],Centrum[Date on board / Дата погрузки на судно],"",0,1))*1</f>
        <v>45130</v>
      </c>
      <c r="P10" s="8">
        <f>(_xlfn.XLOOKUP($A10,Centrum[Индекс],Centrum[Date of arrival to Sary-Agach/ Дата прибытия на Сары-Агач],"",0,1))*1</f>
        <v>45217</v>
      </c>
      <c r="Q10" s="14" t="str">
        <f>_xlfn.XLOOKUP($A10,Centrum[Индекс],Centrum[Container type/ 
Тип контейнера],"",0,1)</f>
        <v>40'HC</v>
      </c>
      <c r="R10" s="16">
        <f>_xlfn.XLOOKUP($A10,Centrum[Индекс],Centrum[Transportation cost per supplier/ 
Cтоимость перевозки по поставщикам],0,0,1)</f>
        <v>11900</v>
      </c>
      <c r="S10" s="16">
        <f>Шаблон_Формулы!$T10-Шаблон_Формулы!$R10</f>
        <v>0</v>
      </c>
      <c r="T10" s="16">
        <f>_xlfn.XLOOKUP($A10,Centrum[Индекс],Centrum[Transportation total amount / Общая стоимость перевозки],0,0,1)</f>
        <v>11900</v>
      </c>
      <c r="U10" s="12" cm="1">
        <f t="array" ref="U1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 s="16">
        <f>_xlfn.XLOOKUP(Шаблон_Формулы[[#This Row],[21]],Курс_USD[Дата],Курс_USD[Курс],,0,1)</f>
        <v>12228.05</v>
      </c>
      <c r="W10" s="16">
        <f>Шаблон_Формулы!$T10*Шаблон_Формулы!$V10</f>
        <v>145513795</v>
      </c>
      <c r="Y10" s="16">
        <f>Шаблон_Формулы!$W10+Шаблон_Формулы!$X10</f>
        <v>145513795</v>
      </c>
      <c r="Z10" s="14" t="str">
        <f>_xlfn.XLOOKUP($A10,Centrum[Индекс],Centrum[Transport co invoice no/ 
Номер инвойса ТК],"",0,1)</f>
        <v>CNT-CKCNRF081-1</v>
      </c>
    </row>
    <row r="11" spans="1:26" s="11" customFormat="1" x14ac:dyDescent="0.3">
      <c r="A11" s="14">
        <v>7</v>
      </c>
      <c r="B11" s="11" t="str">
        <f>_xlfn.XLOOKUP($A11,Centrum[Индекс],Centrum[Carrier/ Перевозчик],"",0,1)</f>
        <v>CENTRUM AVIATION FZCO</v>
      </c>
      <c r="C11" s="11" t="str">
        <f>_xlfn.XLOOKUP($A11,Centrum[Индекс],Centrum[Country /  Страна],"",0,1)</f>
        <v>KR</v>
      </c>
      <c r="D11" s="11" t="str">
        <f>_xlfn.XLOOKUP($A11,Centrum[Индекс],Centrum[Container num./ 
№ контейнера],"",0,1)</f>
        <v>CCLU6906329</v>
      </c>
      <c r="E11" s="11" t="str">
        <f>_xlfn.XLOOKUP($A11,Centrum[Индекс],Centrum[Supplier/
Поставщик],"",0,1)</f>
        <v>CONTITECH FLUID TECHNOLOGY</v>
      </c>
      <c r="F11" s="11" t="str">
        <f>_xlfn.XLOOKUP($A11,Centrum[Индекс],Centrum[Shippers invoice no/ 
Номер инвойса поставщика],"",1)</f>
        <v>SJTJ2307057A</v>
      </c>
      <c r="G11" s="15">
        <f>_xlfn.XLOOKUP($A11,Centrum[Индекс],Centrum[Invoice value / Стоимость груза в к-ре по инвойсу],"",0,1)</f>
        <v>68559.039999999994</v>
      </c>
      <c r="H11" s="14" t="s">
        <v>40</v>
      </c>
      <c r="I11" s="11">
        <f>_xlfn.XLOOKUP($A11,Centrum[Индекс],Centrum[CBM on the shipper/ 
CBM по поставщику],"",0,1)</f>
        <v>64.55</v>
      </c>
      <c r="J11" s="16">
        <f>_xlfn.XLOOKUP($A11,Centrum[Индекс],Centrum[Gross weight of cont// 
Гросс.вес по конт.],"",0,1)</f>
        <v>5257.2</v>
      </c>
      <c r="K11" s="17" t="str">
        <f>_xlfn.XLOOKUP($A11,Centrum[Индекс],Centrum[Route/ Маршрут (TSR/TCR)],"",0,1)</f>
        <v>TSR</v>
      </c>
      <c r="L11" s="11" t="str">
        <f>_xlfn.XLOOKUP($A11,Centrum[Индекс],Centrum[Условия поставки],"",0,1)</f>
        <v xml:space="preserve">CHANGCHUN </v>
      </c>
      <c r="M11" s="11" t="str">
        <f>_xlfn.XLOOKUP($A11,Centrum[Индекс],Centrum[№ HBL date / 
№/ дата коносамента],"",0,1)</f>
        <v>SJTJ2307057AT</v>
      </c>
      <c r="N11" s="11" t="str">
        <f>_xlfn.XLOOKUP($A11,Centrum[Индекс],Centrum[№ MBL / 
№/ коносамента],"",0,1)</f>
        <v>PCSLDBF806230721 / SNKO010230802042</v>
      </c>
      <c r="O11" s="8">
        <f>(_xlfn.XLOOKUP($A11,Centrum[Индекс],Centrum[Date on board / Дата погрузки на судно],"",0,1))*1</f>
        <v>45131</v>
      </c>
      <c r="P11" s="8">
        <f>(_xlfn.XLOOKUP($A11,Centrum[Индекс],Centrum[Date of arrival to Sary-Agach/ Дата прибытия на Сары-Агач],"",0,1))*1</f>
        <v>45217</v>
      </c>
      <c r="Q11" s="14" t="str">
        <f>_xlfn.XLOOKUP($A11,Centrum[Индекс],Centrum[Container type/ 
Тип контейнера],"",0,1)</f>
        <v>40'HC</v>
      </c>
      <c r="R11" s="16">
        <f>_xlfn.XLOOKUP($A11,Centrum[Индекс],Centrum[Transportation cost per supplier/ 
Cтоимость перевозки по поставщикам],0,0,1)</f>
        <v>14450</v>
      </c>
      <c r="S11" s="16">
        <f>Шаблон_Формулы!$T11-Шаблон_Формулы!$R11</f>
        <v>0</v>
      </c>
      <c r="T11" s="16">
        <f>_xlfn.XLOOKUP($A11,Centrum[Индекс],Centrum[Transportation total amount / Общая стоимость перевозки],0,0,1)</f>
        <v>14450</v>
      </c>
      <c r="U11" s="12" cm="1">
        <f t="array" ref="U1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 s="16">
        <f>_xlfn.XLOOKUP(Шаблон_Формулы[[#This Row],[21]],Курс_USD[Дата],Курс_USD[Курс],,0,1)</f>
        <v>12228.05</v>
      </c>
      <c r="W11" s="16">
        <f>Шаблон_Формулы!$T11*Шаблон_Формулы!$V11</f>
        <v>176695322.5</v>
      </c>
      <c r="Y11" s="16">
        <f>Шаблон_Формулы!$W11+Шаблон_Формулы!$X11</f>
        <v>176695322.5</v>
      </c>
      <c r="Z11" s="14" t="str">
        <f>_xlfn.XLOOKUP($A11,Centrum[Индекс],Centrum[Transport co invoice no/ 
Номер инвойса ТК],"",0,1)</f>
        <v>CNT-CKCNRF081-1</v>
      </c>
    </row>
    <row r="12" spans="1:26" s="11" customFormat="1" x14ac:dyDescent="0.3">
      <c r="A12" s="14">
        <v>8</v>
      </c>
      <c r="B12" s="11" t="str">
        <f>_xlfn.XLOOKUP($A12,Centrum[Индекс],Centrum[Carrier/ Перевозчик],"",0,1)</f>
        <v>CENTRUM AVIATION FZCO</v>
      </c>
      <c r="C12" s="11" t="str">
        <f>_xlfn.XLOOKUP($A12,Centrum[Индекс],Centrum[Country /  Страна],"",0,1)</f>
        <v>KR</v>
      </c>
      <c r="D12" s="11" t="str">
        <f>_xlfn.XLOOKUP($A12,Centrum[Индекс],Centrum[Container num./ 
№ контейнера],"",0,1)</f>
        <v>CCLU7075024</v>
      </c>
      <c r="E12" s="11" t="str">
        <f>_xlfn.XLOOKUP($A12,Centrum[Индекс],Centrum[Supplier/
Поставщик],"",0,1)</f>
        <v>CONTITECH FLUID TECHNOLOGY</v>
      </c>
      <c r="F12" s="11" t="str">
        <f>_xlfn.XLOOKUP($A12,Centrum[Индекс],Centrum[Shippers invoice no/ 
Номер инвойса поставщика],"",1)</f>
        <v>SJTJ2307057B</v>
      </c>
      <c r="G12" s="15">
        <f>_xlfn.XLOOKUP($A12,Centrum[Индекс],Centrum[Invoice value / Стоимость груза в к-ре по инвойсу],"",0,1)</f>
        <v>75786.240000000005</v>
      </c>
      <c r="H12" s="14" t="s">
        <v>40</v>
      </c>
      <c r="I12" s="11">
        <f>_xlfn.XLOOKUP($A12,Centrum[Индекс],Centrum[CBM on the shipper/ 
CBM по поставщику],"",0,1)</f>
        <v>64.73</v>
      </c>
      <c r="J12" s="16">
        <f>_xlfn.XLOOKUP($A12,Centrum[Индекс],Centrum[Gross weight of cont// 
Гросс.вес по конт.],"",0,1)</f>
        <v>2563</v>
      </c>
      <c r="K12" s="17" t="str">
        <f>_xlfn.XLOOKUP($A12,Centrum[Индекс],Centrum[Route/ Маршрут (TSR/TCR)],"",0,1)</f>
        <v>TSR</v>
      </c>
      <c r="L12" s="11" t="str">
        <f>_xlfn.XLOOKUP($A12,Centrum[Индекс],Centrum[Условия поставки],"",0,1)</f>
        <v xml:space="preserve">CHANGCHUN </v>
      </c>
      <c r="M12" s="11" t="str">
        <f>_xlfn.XLOOKUP($A12,Centrum[Индекс],Centrum[№ HBL date / 
№/ дата коносамента],"",0,1)</f>
        <v>SJTJ2307057BT</v>
      </c>
      <c r="N12" s="11" t="str">
        <f>_xlfn.XLOOKUP($A12,Centrum[Индекс],Centrum[№ MBL / 
№/ коносамента],"",0,1)</f>
        <v>PCSLDBF806230721 / SNKO010230802042</v>
      </c>
      <c r="O12" s="8">
        <f>(_xlfn.XLOOKUP($A12,Centrum[Индекс],Centrum[Date on board / Дата погрузки на судно],"",0,1))*1</f>
        <v>45131</v>
      </c>
      <c r="P12" s="8">
        <f>(_xlfn.XLOOKUP($A12,Centrum[Индекс],Centrum[Date of arrival to Sary-Agach/ Дата прибытия на Сары-Агач],"",0,1))*1</f>
        <v>45229</v>
      </c>
      <c r="Q12" s="14" t="str">
        <f>_xlfn.XLOOKUP($A12,Centrum[Индекс],Centrum[Container type/ 
Тип контейнера],"",0,1)</f>
        <v>40'HC</v>
      </c>
      <c r="R12" s="16">
        <f>_xlfn.XLOOKUP($A12,Centrum[Индекс],Centrum[Transportation cost per supplier/ 
Cтоимость перевозки по поставщикам],0,0,1)</f>
        <v>14450</v>
      </c>
      <c r="S12" s="16">
        <f>Шаблон_Формулы!$T12-Шаблон_Формулы!$R12</f>
        <v>0</v>
      </c>
      <c r="T12" s="16">
        <f>_xlfn.XLOOKUP($A12,Centrum[Индекс],Centrum[Transportation total amount / Общая стоимость перевозки],0,0,1)</f>
        <v>14450</v>
      </c>
      <c r="U12" s="12" cm="1">
        <f t="array" ref="U1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 s="16">
        <f>_xlfn.XLOOKUP(Шаблон_Формулы[[#This Row],[21]],Курс_USD[Дата],Курс_USD[Курс],,0,1)</f>
        <v>12228.05</v>
      </c>
      <c r="W12" s="16">
        <f>Шаблон_Формулы!$T12*Шаблон_Формулы!$V12</f>
        <v>176695322.5</v>
      </c>
      <c r="Y12" s="16">
        <f>Шаблон_Формулы!$W12+Шаблон_Формулы!$X12</f>
        <v>176695322.5</v>
      </c>
      <c r="Z12" s="14" t="str">
        <f>_xlfn.XLOOKUP($A12,Centrum[Индекс],Centrum[Transport co invoice no/ 
Номер инвойса ТК],"",0,1)</f>
        <v>CNT-CKCNRF081-1</v>
      </c>
    </row>
    <row r="13" spans="1:26" s="11" customFormat="1" x14ac:dyDescent="0.3">
      <c r="A13" s="14">
        <v>9</v>
      </c>
      <c r="B13" s="11" t="str">
        <f>_xlfn.XLOOKUP($A13,Centrum[Индекс],Centrum[Carrier/ Перевозчик],"",0,1)</f>
        <v>CENTRUM AVIATION FZCO</v>
      </c>
      <c r="C13" s="11" t="str">
        <f>_xlfn.XLOOKUP($A13,Centrum[Индекс],Centrum[Country /  Страна],"",0,1)</f>
        <v>KR</v>
      </c>
      <c r="D13" s="11" t="str">
        <f>_xlfn.XLOOKUP($A13,Centrum[Индекс],Centrum[Container num./ 
№ контейнера],"",0,1)</f>
        <v>HDMU6892020</v>
      </c>
      <c r="E13" s="11" t="str">
        <f>_xlfn.XLOOKUP($A13,Centrum[Индекс],Centrum[Supplier/
Поставщик],"",0,1)</f>
        <v xml:space="preserve">Fujiwa Machinery Industry (Kunshan) </v>
      </c>
      <c r="F13" s="11" t="str">
        <f>_xlfn.XLOOKUP($A13,Centrum[Индекс],Centrum[Shippers invoice no/ 
Номер инвойса поставщика],"",1)</f>
        <v>23070036</v>
      </c>
      <c r="G13" s="15">
        <f>_xlfn.XLOOKUP($A13,Centrum[Индекс],Centrum[Invoice value / Стоимость груза в к-ре по инвойсу],"",0,1)</f>
        <v>453690.24</v>
      </c>
      <c r="H13" s="14" t="s">
        <v>40</v>
      </c>
      <c r="I13" s="11">
        <f>_xlfn.XLOOKUP($A13,Centrum[Индекс],Centrum[CBM on the shipper/ 
CBM по поставщику],"",0,1)</f>
        <v>32.22</v>
      </c>
      <c r="J13" s="16">
        <f>_xlfn.XLOOKUP($A13,Centrum[Индекс],Centrum[Gross weight of cont// 
Гросс.вес по конт.],"",0,1)</f>
        <v>26296</v>
      </c>
      <c r="K13" s="17" t="str">
        <f>_xlfn.XLOOKUP($A13,Centrum[Индекс],Centrum[Route/ Маршрут (TSR/TCR)],"",0,1)</f>
        <v>TSR</v>
      </c>
      <c r="L13" s="11" t="str">
        <f>_xlfn.XLOOKUP($A13,Centrum[Индекс],Centrum[Условия поставки],"",0,1)</f>
        <v xml:space="preserve">SHANGHAI </v>
      </c>
      <c r="M13" s="11" t="str">
        <f>_xlfn.XLOOKUP($A13,Centrum[Индекс],Centrum[№ HBL date / 
№/ дата коносамента],"",0,1)</f>
        <v>SJSH23070053</v>
      </c>
      <c r="N13" s="11" t="str">
        <f>_xlfn.XLOOKUP($A13,Centrum[Индекс],Centrum[№ MBL / 
№/ коносамента],"",0,1)</f>
        <v>SNKO020230702053</v>
      </c>
      <c r="O13" s="8">
        <f>(_xlfn.XLOOKUP($A13,Centrum[Индекс],Centrum[Date on board / Дата погрузки на судно],"",0,1))*1</f>
        <v>45120</v>
      </c>
      <c r="P13" s="8">
        <f>(_xlfn.XLOOKUP($A13,Centrum[Индекс],Centrum[Date of arrival to Sary-Agach/ Дата прибытия на Сары-Агач],"",0,1))*1</f>
        <v>45206</v>
      </c>
      <c r="Q13" s="14" t="str">
        <f>_xlfn.XLOOKUP($A13,Centrum[Индекс],Centrum[Container type/ 
Тип контейнера],"",0,1)</f>
        <v>40'HC</v>
      </c>
      <c r="R13" s="16">
        <f>_xlfn.XLOOKUP($A13,Centrum[Индекс],Centrum[Transportation cost per supplier/ 
Cтоимость перевозки по поставщикам],0,0,1)</f>
        <v>12500</v>
      </c>
      <c r="S13" s="16">
        <f>Шаблон_Формулы!$T13-Шаблон_Формулы!$R13</f>
        <v>0</v>
      </c>
      <c r="T13" s="16">
        <f>_xlfn.XLOOKUP($A13,Centrum[Индекс],Centrum[Transportation total amount / Общая стоимость перевозки],0,0,1)</f>
        <v>12500</v>
      </c>
      <c r="U13" s="12" cm="1">
        <f t="array" ref="U1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 s="16">
        <f>_xlfn.XLOOKUP(Шаблон_Формулы[[#This Row],[21]],Курс_USD[Дата],Курс_USD[Курс],,0,1)</f>
        <v>12228.05</v>
      </c>
      <c r="W13" s="16">
        <f>Шаблон_Формулы!$T13*Шаблон_Формулы!$V13</f>
        <v>152850625</v>
      </c>
      <c r="Y13" s="16">
        <f>Шаблон_Формулы!$W13+Шаблон_Формулы!$X13</f>
        <v>152850625</v>
      </c>
      <c r="Z13" s="14" t="str">
        <f>_xlfn.XLOOKUP($A13,Centrum[Индекс],Centrum[Transport co invoice no/ 
Номер инвойса ТК],"",0,1)</f>
        <v>CNT-CKCNRF081-1</v>
      </c>
    </row>
    <row r="14" spans="1:26" s="11" customFormat="1" x14ac:dyDescent="0.3">
      <c r="A14" s="14">
        <v>10</v>
      </c>
      <c r="B14" s="11" t="str">
        <f>_xlfn.XLOOKUP($A14,Centrum[Индекс],Centrum[Carrier/ Перевозчик],"",0,1)</f>
        <v>CENTRUM AVIATION FZCO</v>
      </c>
      <c r="C14" s="11" t="str">
        <f>_xlfn.XLOOKUP($A14,Centrum[Индекс],Centrum[Country /  Страна],"",0,1)</f>
        <v>KR</v>
      </c>
      <c r="D14" s="11" t="str">
        <f>_xlfn.XLOOKUP($A14,Centrum[Индекс],Centrum[Container num./ 
№ контейнера],"",0,1)</f>
        <v>FCGU1980303</v>
      </c>
      <c r="E14" s="11" t="str">
        <f>_xlfn.XLOOKUP($A14,Centrum[Индекс],Centrum[Supplier/
Поставщик],"",0,1)</f>
        <v xml:space="preserve">Fujiwa Machinery Industry (Kunshan) </v>
      </c>
      <c r="F14" s="11" t="str">
        <f>_xlfn.XLOOKUP($A14,Centrum[Индекс],Centrum[Shippers invoice no/ 
Номер инвойса поставщика],"",1)</f>
        <v>23070035</v>
      </c>
      <c r="G14" s="15">
        <f>_xlfn.XLOOKUP($A14,Centrum[Индекс],Centrum[Invoice value / Стоимость груза в к-ре по инвойсу],"",0,1)</f>
        <v>425269.44</v>
      </c>
      <c r="H14" s="14" t="s">
        <v>40</v>
      </c>
      <c r="I14" s="11">
        <f>_xlfn.XLOOKUP($A14,Centrum[Индекс],Centrum[CBM on the shipper/ 
CBM по поставщику],"",0,1)</f>
        <v>32.22</v>
      </c>
      <c r="J14" s="16">
        <f>_xlfn.XLOOKUP($A14,Centrum[Индекс],Centrum[Gross weight of cont// 
Гросс.вес по конт.],"",0,1)</f>
        <v>24878.720000000001</v>
      </c>
      <c r="K14" s="17" t="str">
        <f>_xlfn.XLOOKUP($A14,Centrum[Индекс],Centrum[Route/ Маршрут (TSR/TCR)],"",0,1)</f>
        <v>TSR</v>
      </c>
      <c r="L14" s="11" t="str">
        <f>_xlfn.XLOOKUP($A14,Centrum[Индекс],Centrum[Условия поставки],"",0,1)</f>
        <v xml:space="preserve">SHANGHAI </v>
      </c>
      <c r="M14" s="11" t="str">
        <f>_xlfn.XLOOKUP($A14,Centrum[Индекс],Centrum[№ HBL date / 
№/ дата коносамента],"",0,1)</f>
        <v>SJSH23070053</v>
      </c>
      <c r="N14" s="11" t="str">
        <f>_xlfn.XLOOKUP($A14,Centrum[Индекс],Centrum[№ MBL / 
№/ коносамента],"",0,1)</f>
        <v>SNKO020230702053</v>
      </c>
      <c r="O14" s="8">
        <f>(_xlfn.XLOOKUP($A14,Centrum[Индекс],Centrum[Date on board / Дата погрузки на судно],"",0,1))*1</f>
        <v>45120</v>
      </c>
      <c r="P14" s="8">
        <f>(_xlfn.XLOOKUP($A14,Centrum[Индекс],Centrum[Date of arrival to Sary-Agach/ Дата прибытия на Сары-Агач],"",0,1))*1</f>
        <v>45214</v>
      </c>
      <c r="Q14" s="14" t="str">
        <f>_xlfn.XLOOKUP($A14,Centrum[Индекс],Centrum[Container type/ 
Тип контейнера],"",0,1)</f>
        <v>40'HC</v>
      </c>
      <c r="R14" s="16">
        <f>_xlfn.XLOOKUP($A14,Centrum[Индекс],Centrum[Transportation cost per supplier/ 
Cтоимость перевозки по поставщикам],0,0,1)</f>
        <v>12500</v>
      </c>
      <c r="S14" s="16">
        <f>Шаблон_Формулы!$T14-Шаблон_Формулы!$R14</f>
        <v>0</v>
      </c>
      <c r="T14" s="16">
        <f>_xlfn.XLOOKUP($A14,Centrum[Индекс],Centrum[Transportation total amount / Общая стоимость перевозки],0,0,1)</f>
        <v>12500</v>
      </c>
      <c r="U14" s="12" cm="1">
        <f t="array" ref="U1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 s="16">
        <f>_xlfn.XLOOKUP(Шаблон_Формулы[[#This Row],[21]],Курс_USD[Дата],Курс_USD[Курс],,0,1)</f>
        <v>12228.05</v>
      </c>
      <c r="W14" s="16">
        <f>Шаблон_Формулы!$T14*Шаблон_Формулы!$V14</f>
        <v>152850625</v>
      </c>
      <c r="Y14" s="16">
        <f>Шаблон_Формулы!$W14+Шаблон_Формулы!$X14</f>
        <v>152850625</v>
      </c>
      <c r="Z14" s="14" t="str">
        <f>_xlfn.XLOOKUP($A14,Centrum[Индекс],Centrum[Transport co invoice no/ 
Номер инвойса ТК],"",0,1)</f>
        <v>CNT-CKCNRF081-1</v>
      </c>
    </row>
    <row r="15" spans="1:26" s="11" customFormat="1" x14ac:dyDescent="0.3">
      <c r="A15" s="14">
        <v>11</v>
      </c>
      <c r="B15" s="11" t="str">
        <f>_xlfn.XLOOKUP($A15,Centrum[Индекс],Centrum[Carrier/ Перевозчик],"",0,1)</f>
        <v>CENTRUM AVIATION FZCO</v>
      </c>
      <c r="C15" s="11" t="str">
        <f>_xlfn.XLOOKUP($A15,Centrum[Индекс],Centrum[Country /  Страна],"",0,1)</f>
        <v>KR</v>
      </c>
      <c r="D15" s="11" t="str">
        <f>_xlfn.XLOOKUP($A15,Centrum[Индекс],Centrum[Container num./ 
№ контейнера],"",0,1)</f>
        <v>GESU5863328</v>
      </c>
      <c r="E15" s="11" t="str">
        <f>_xlfn.XLOOKUP($A15,Centrum[Индекс],Centrum[Supplier/
Поставщик],"",0,1)</f>
        <v>ZHEJING WHANFENG AUTO WHEEL</v>
      </c>
      <c r="F15" s="11" t="str">
        <f>_xlfn.XLOOKUP($A15,Centrum[Индекс],Centrum[Shippers invoice no/ 
Номер инвойса поставщика],"",1)</f>
        <v>23GMOU7D</v>
      </c>
      <c r="G15" s="15">
        <f>_xlfn.XLOOKUP($A15,Centrum[Индекс],Centrum[Invoice value / Стоимость груза в к-ре по инвойсу],"",0,1)</f>
        <v>328771.17</v>
      </c>
      <c r="H15" s="14" t="s">
        <v>40</v>
      </c>
      <c r="I15" s="11">
        <f>_xlfn.XLOOKUP($A15,Centrum[Индекс],Centrum[CBM on the shipper/ 
CBM по поставщику],"",0,1)</f>
        <v>59</v>
      </c>
      <c r="J15" s="16">
        <f>_xlfn.XLOOKUP($A15,Centrum[Индекс],Centrum[Gross weight of cont// 
Гросс.вес по конт.],"",0,1)</f>
        <v>13461</v>
      </c>
      <c r="K15" s="17" t="str">
        <f>_xlfn.XLOOKUP($A15,Centrum[Индекс],Centrum[Route/ Маршрут (TSR/TCR)],"",0,1)</f>
        <v>TSR</v>
      </c>
      <c r="L15" s="11" t="str">
        <f>_xlfn.XLOOKUP($A15,Centrum[Индекс],Centrum[Условия поставки],"",0,1)</f>
        <v xml:space="preserve">NINGBO </v>
      </c>
      <c r="M15" s="11" t="str">
        <f>_xlfn.XLOOKUP($A15,Centrum[Индекс],Centrum[№ HBL date / 
№/ дата коносамента],"",0,1)</f>
        <v>CXNB23070081</v>
      </c>
      <c r="N15" s="11" t="str">
        <f>_xlfn.XLOOKUP($A15,Centrum[Индекс],Centrum[№ MBL / 
№/ коносамента],"",0,1)</f>
        <v>SNKO03K230701165</v>
      </c>
      <c r="O15" s="8">
        <f>(_xlfn.XLOOKUP($A15,Centrum[Индекс],Centrum[Date on board / Дата погрузки на судно],"",0,1))*1</f>
        <v>45135</v>
      </c>
      <c r="P15" s="8">
        <f>(_xlfn.XLOOKUP($A15,Centrum[Индекс],Centrum[Date of arrival to Sary-Agach/ Дата прибытия на Сары-Агач],"",0,1))*1</f>
        <v>45217</v>
      </c>
      <c r="Q15" s="14" t="str">
        <f>_xlfn.XLOOKUP($A15,Centrum[Индекс],Centrum[Container type/ 
Тип контейнера],"",0,1)</f>
        <v>40'HC</v>
      </c>
      <c r="R15" s="16">
        <f>_xlfn.XLOOKUP($A15,Centrum[Индекс],Centrum[Transportation cost per supplier/ 
Cтоимость перевозки по поставщикам],0,0,1)</f>
        <v>12650</v>
      </c>
      <c r="S15" s="16">
        <f>Шаблон_Формулы!$T15-Шаблон_Формулы!$R15</f>
        <v>0</v>
      </c>
      <c r="T15" s="16">
        <f>_xlfn.XLOOKUP($A15,Centrum[Индекс],Centrum[Transportation total amount / Общая стоимость перевозки],0,0,1)</f>
        <v>12650</v>
      </c>
      <c r="U15" s="12" cm="1">
        <f t="array" ref="U1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 s="16">
        <f>_xlfn.XLOOKUP(Шаблон_Формулы[[#This Row],[21]],Курс_USD[Дата],Курс_USD[Курс],,0,1)</f>
        <v>12228.05</v>
      </c>
      <c r="W15" s="16">
        <f>Шаблон_Формулы!$T15*Шаблон_Формулы!$V15</f>
        <v>154684832.5</v>
      </c>
      <c r="Y15" s="16">
        <f>Шаблон_Формулы!$W15+Шаблон_Формулы!$X15</f>
        <v>154684832.5</v>
      </c>
      <c r="Z15" s="14" t="str">
        <f>_xlfn.XLOOKUP($A15,Centrum[Индекс],Centrum[Transport co invoice no/ 
Номер инвойса ТК],"",0,1)</f>
        <v>CNT-CKCNRF081-1</v>
      </c>
    </row>
    <row r="16" spans="1:26" s="11" customFormat="1" x14ac:dyDescent="0.3">
      <c r="A16" s="14">
        <v>12</v>
      </c>
      <c r="B16" s="11" t="str">
        <f>_xlfn.XLOOKUP($A16,Centrum[Индекс],Centrum[Carrier/ Перевозчик],"",0,1)</f>
        <v>CENTRUM AVIATION FZCO</v>
      </c>
      <c r="C16" s="11" t="str">
        <f>_xlfn.XLOOKUP($A16,Centrum[Индекс],Centrum[Country /  Страна],"",0,1)</f>
        <v>KR</v>
      </c>
      <c r="D16" s="11" t="str">
        <f>_xlfn.XLOOKUP($A16,Centrum[Индекс],Centrum[Container num./ 
№ контейнера],"",0,1)</f>
        <v>GESU5766272</v>
      </c>
      <c r="E16" s="11" t="str">
        <f>_xlfn.XLOOKUP($A16,Centrum[Индекс],Centrum[Supplier/
Поставщик],"",0,1)</f>
        <v>ZHEJING WHANFENG AUTO WHEEL</v>
      </c>
      <c r="F16" s="11" t="str">
        <f>_xlfn.XLOOKUP($A16,Centrum[Индекс],Centrum[Shippers invoice no/ 
Номер инвойса поставщика],"",1)</f>
        <v>23GMOU7C</v>
      </c>
      <c r="G16" s="15">
        <f>_xlfn.XLOOKUP($A16,Centrum[Индекс],Centrum[Invoice value / Стоимость груза в к-ре по инвойсу],"",0,1)</f>
        <v>316573.99</v>
      </c>
      <c r="H16" s="14" t="s">
        <v>40</v>
      </c>
      <c r="I16" s="11">
        <f>_xlfn.XLOOKUP($A16,Centrum[Индекс],Centrum[CBM on the shipper/ 
CBM по поставщику],"",0,1)</f>
        <v>59</v>
      </c>
      <c r="J16" s="16">
        <f>_xlfn.XLOOKUP($A16,Centrum[Индекс],Centrum[Gross weight of cont// 
Гросс.вес по конт.],"",0,1)</f>
        <v>13020</v>
      </c>
      <c r="K16" s="17" t="str">
        <f>_xlfn.XLOOKUP($A16,Centrum[Индекс],Centrum[Route/ Маршрут (TSR/TCR)],"",0,1)</f>
        <v>TSR</v>
      </c>
      <c r="L16" s="11" t="str">
        <f>_xlfn.XLOOKUP($A16,Centrum[Индекс],Centrum[Условия поставки],"",0,1)</f>
        <v xml:space="preserve">NINGBO </v>
      </c>
      <c r="M16" s="11" t="str">
        <f>_xlfn.XLOOKUP($A16,Centrum[Индекс],Centrum[№ HBL date / 
№/ дата коносамента],"",0,1)</f>
        <v>CXNB23070081</v>
      </c>
      <c r="N16" s="11" t="str">
        <f>_xlfn.XLOOKUP($A16,Centrum[Индекс],Centrum[№ MBL / 
№/ коносамента],"",0,1)</f>
        <v>SNKO03K230701165</v>
      </c>
      <c r="O16" s="8">
        <f>(_xlfn.XLOOKUP($A16,Centrum[Индекс],Centrum[Date on board / Дата погрузки на судно],"",0,1))*1</f>
        <v>45135</v>
      </c>
      <c r="P16" s="8">
        <f>(_xlfn.XLOOKUP($A16,Centrum[Индекс],Centrum[Date of arrival to Sary-Agach/ Дата прибытия на Сары-Агач],"",0,1))*1</f>
        <v>45217</v>
      </c>
      <c r="Q16" s="14" t="str">
        <f>_xlfn.XLOOKUP($A16,Centrum[Индекс],Centrum[Container type/ 
Тип контейнера],"",0,1)</f>
        <v>40'HC</v>
      </c>
      <c r="R16" s="16">
        <f>_xlfn.XLOOKUP($A16,Centrum[Индекс],Centrum[Transportation cost per supplier/ 
Cтоимость перевозки по поставщикам],0,0,1)</f>
        <v>12650</v>
      </c>
      <c r="S16" s="16">
        <f>Шаблон_Формулы!$T16-Шаблон_Формулы!$R16</f>
        <v>0</v>
      </c>
      <c r="T16" s="16">
        <f>_xlfn.XLOOKUP($A16,Centrum[Индекс],Centrum[Transportation total amount / Общая стоимость перевозки],0,0,1)</f>
        <v>12650</v>
      </c>
      <c r="U16" s="12" cm="1">
        <f t="array" ref="U1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6" s="16">
        <f>_xlfn.XLOOKUP(Шаблон_Формулы[[#This Row],[21]],Курс_USD[Дата],Курс_USD[Курс],,0,1)</f>
        <v>12228.05</v>
      </c>
      <c r="W16" s="16">
        <f>Шаблон_Формулы!$T16*Шаблон_Формулы!$V16</f>
        <v>154684832.5</v>
      </c>
      <c r="Y16" s="16">
        <f>Шаблон_Формулы!$W16+Шаблон_Формулы!$X16</f>
        <v>154684832.5</v>
      </c>
      <c r="Z16" s="14" t="str">
        <f>_xlfn.XLOOKUP($A16,Centrum[Индекс],Centrum[Transport co invoice no/ 
Номер инвойса ТК],"",0,1)</f>
        <v>CNT-CKCNRF081-1</v>
      </c>
    </row>
    <row r="17" spans="1:26" s="11" customFormat="1" x14ac:dyDescent="0.3">
      <c r="A17" s="14">
        <v>13</v>
      </c>
      <c r="B17" s="11" t="str">
        <f>_xlfn.XLOOKUP($A17,Centrum[Индекс],Centrum[Carrier/ Перевозчик],"",0,1)</f>
        <v>CENTRUM AVIATION FZCO</v>
      </c>
      <c r="C17" s="11" t="str">
        <f>_xlfn.XLOOKUP($A17,Centrum[Индекс],Centrum[Country /  Страна],"",0,1)</f>
        <v>KR</v>
      </c>
      <c r="D17" s="11" t="str">
        <f>_xlfn.XLOOKUP($A17,Centrum[Индекс],Centrum[Container num./ 
№ контейнера],"",0,1)</f>
        <v>TCNU7075856</v>
      </c>
      <c r="E17" s="11" t="str">
        <f>_xlfn.XLOOKUP($A17,Centrum[Индекс],Centrum[Supplier/
Поставщик],"",0,1)</f>
        <v>ZHEJING WHANFENG AUTO WHEEL</v>
      </c>
      <c r="F17" s="11" t="str">
        <f>_xlfn.XLOOKUP($A17,Centrum[Индекс],Centrum[Shippers invoice no/ 
Номер инвойса поставщика],"",1)</f>
        <v>23GMOU7E</v>
      </c>
      <c r="G17" s="15">
        <f>_xlfn.XLOOKUP($A17,Centrum[Индекс],Centrum[Invoice value / Стоимость груза в к-ре по инвойсу],"",0,1)</f>
        <v>328771.17</v>
      </c>
      <c r="H17" s="14" t="s">
        <v>40</v>
      </c>
      <c r="I17" s="11">
        <f>_xlfn.XLOOKUP($A17,Centrum[Индекс],Centrum[CBM on the shipper/ 
CBM по поставщику],"",0,1)</f>
        <v>59</v>
      </c>
      <c r="J17" s="16">
        <f>_xlfn.XLOOKUP($A17,Centrum[Индекс],Centrum[Gross weight of cont// 
Гросс.вес по конт.],"",0,1)</f>
        <v>13461</v>
      </c>
      <c r="K17" s="17" t="str">
        <f>_xlfn.XLOOKUP($A17,Centrum[Индекс],Centrum[Route/ Маршрут (TSR/TCR)],"",0,1)</f>
        <v>TSR</v>
      </c>
      <c r="L17" s="11" t="str">
        <f>_xlfn.XLOOKUP($A17,Centrum[Индекс],Centrum[Условия поставки],"",0,1)</f>
        <v xml:space="preserve">NINGBO </v>
      </c>
      <c r="M17" s="11" t="str">
        <f>_xlfn.XLOOKUP($A17,Centrum[Индекс],Centrum[№ HBL date / 
№/ дата коносамента],"",0,1)</f>
        <v>CXNB23070081</v>
      </c>
      <c r="N17" s="11" t="str">
        <f>_xlfn.XLOOKUP($A17,Centrum[Индекс],Centrum[№ MBL / 
№/ коносамента],"",0,1)</f>
        <v>SNKO03K230701165</v>
      </c>
      <c r="O17" s="8">
        <f>(_xlfn.XLOOKUP($A17,Centrum[Индекс],Centrum[Date on board / Дата погрузки на судно],"",0,1))*1</f>
        <v>45135</v>
      </c>
      <c r="P17" s="8">
        <f>(_xlfn.XLOOKUP($A17,Centrum[Индекс],Centrum[Date of arrival to Sary-Agach/ Дата прибытия на Сары-Агач],"",0,1))*1</f>
        <v>45217</v>
      </c>
      <c r="Q17" s="14" t="str">
        <f>_xlfn.XLOOKUP($A17,Centrum[Индекс],Centrum[Container type/ 
Тип контейнера],"",0,1)</f>
        <v>40'HC</v>
      </c>
      <c r="R17" s="16">
        <f>_xlfn.XLOOKUP($A17,Centrum[Индекс],Centrum[Transportation cost per supplier/ 
Cтоимость перевозки по поставщикам],0,0,1)</f>
        <v>12650</v>
      </c>
      <c r="S17" s="16">
        <f>Шаблон_Формулы!$T17-Шаблон_Формулы!$R17</f>
        <v>0</v>
      </c>
      <c r="T17" s="16">
        <f>_xlfn.XLOOKUP($A17,Centrum[Индекс],Centrum[Transportation total amount / Общая стоимость перевозки],0,0,1)</f>
        <v>12650</v>
      </c>
      <c r="U17" s="12" cm="1">
        <f t="array" ref="U1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7" s="16">
        <f>_xlfn.XLOOKUP(Шаблон_Формулы[[#This Row],[21]],Курс_USD[Дата],Курс_USD[Курс],,0,1)</f>
        <v>12228.05</v>
      </c>
      <c r="W17" s="16">
        <f>Шаблон_Формулы!$T17*Шаблон_Формулы!$V17</f>
        <v>154684832.5</v>
      </c>
      <c r="Y17" s="16">
        <f>Шаблон_Формулы!$W17+Шаблон_Формулы!$X17</f>
        <v>154684832.5</v>
      </c>
      <c r="Z17" s="14" t="str">
        <f>_xlfn.XLOOKUP($A17,Centrum[Индекс],Centrum[Transport co invoice no/ 
Номер инвойса ТК],"",0,1)</f>
        <v>CNT-CKCNRF081-1</v>
      </c>
    </row>
    <row r="18" spans="1:26" s="11" customFormat="1" x14ac:dyDescent="0.3">
      <c r="A18" s="14">
        <v>14</v>
      </c>
      <c r="B18" s="11" t="str">
        <f>_xlfn.XLOOKUP($A18,Centrum[Индекс],Centrum[Carrier/ Перевозчик],"",0,1)</f>
        <v>CENTRUM AVIATION FZCO</v>
      </c>
      <c r="C18" s="11" t="str">
        <f>_xlfn.XLOOKUP($A18,Centrum[Индекс],Centrum[Country /  Страна],"",0,1)</f>
        <v>KR</v>
      </c>
      <c r="D18" s="11" t="str">
        <f>_xlfn.XLOOKUP($A18,Centrum[Индекс],Centrum[Container num./ 
№ контейнера],"",0,1)</f>
        <v>GESU6489085</v>
      </c>
      <c r="E18" s="11" t="str">
        <f>_xlfn.XLOOKUP($A18,Centrum[Индекс],Centrum[Supplier/
Поставщик],"",0,1)</f>
        <v>ZHEJING WHANFENG AUTO WHEEL</v>
      </c>
      <c r="F18" s="11" t="str">
        <f>_xlfn.XLOOKUP($A18,Centrum[Индекс],Centrum[Shippers invoice no/ 
Номер инвойса поставщика],"",1)</f>
        <v>23GMOU7F</v>
      </c>
      <c r="G18" s="15">
        <f>_xlfn.XLOOKUP($A18,Centrum[Индекс],Centrum[Invoice value / Стоимость груза в к-ре по инвойсу],"",0,1)</f>
        <v>415673.37</v>
      </c>
      <c r="H18" s="14" t="s">
        <v>40</v>
      </c>
      <c r="I18" s="11">
        <f>_xlfn.XLOOKUP($A18,Centrum[Индекс],Centrum[CBM on the shipper/ 
CBM по поставщику],"",0,1)</f>
        <v>59</v>
      </c>
      <c r="J18" s="16">
        <f>_xlfn.XLOOKUP($A18,Centrum[Индекс],Centrum[Gross weight of cont// 
Гросс.вес по конт.],"",0,1)</f>
        <v>13660</v>
      </c>
      <c r="K18" s="17" t="str">
        <f>_xlfn.XLOOKUP($A18,Centrum[Индекс],Centrum[Route/ Маршрут (TSR/TCR)],"",0,1)</f>
        <v>TSR</v>
      </c>
      <c r="L18" s="11" t="str">
        <f>_xlfn.XLOOKUP($A18,Centrum[Индекс],Centrum[Условия поставки],"",0,1)</f>
        <v xml:space="preserve">NINGBO </v>
      </c>
      <c r="M18" s="11" t="str">
        <f>_xlfn.XLOOKUP($A18,Centrum[Индекс],Centrum[№ HBL date / 
№/ дата коносамента],"",0,1)</f>
        <v>CXNB23070081</v>
      </c>
      <c r="N18" s="11" t="str">
        <f>_xlfn.XLOOKUP($A18,Centrum[Индекс],Centrum[№ MBL / 
№/ коносамента],"",0,1)</f>
        <v>SNKO03K230701165</v>
      </c>
      <c r="O18" s="8">
        <f>(_xlfn.XLOOKUP($A18,Centrum[Индекс],Centrum[Date on board / Дата погрузки на судно],"",0,1))*1</f>
        <v>45135</v>
      </c>
      <c r="P18" s="8">
        <f>(_xlfn.XLOOKUP($A18,Centrum[Индекс],Centrum[Date of arrival to Sary-Agach/ Дата прибытия на Сары-Агач],"",0,1))*1</f>
        <v>45217</v>
      </c>
      <c r="Q18" s="14" t="str">
        <f>_xlfn.XLOOKUP($A18,Centrum[Индекс],Centrum[Container type/ 
Тип контейнера],"",0,1)</f>
        <v>40'HC</v>
      </c>
      <c r="R18" s="16">
        <f>_xlfn.XLOOKUP($A18,Centrum[Индекс],Centrum[Transportation cost per supplier/ 
Cтоимость перевозки по поставщикам],0,0,1)</f>
        <v>12650</v>
      </c>
      <c r="S18" s="16">
        <f>Шаблон_Формулы!$T18-Шаблон_Формулы!$R18</f>
        <v>0</v>
      </c>
      <c r="T18" s="16">
        <f>_xlfn.XLOOKUP($A18,Centrum[Индекс],Centrum[Transportation total amount / Общая стоимость перевозки],0,0,1)</f>
        <v>12650</v>
      </c>
      <c r="U18" s="12" cm="1">
        <f t="array" ref="U1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8" s="16">
        <f>_xlfn.XLOOKUP(Шаблон_Формулы[[#This Row],[21]],Курс_USD[Дата],Курс_USD[Курс],,0,1)</f>
        <v>12228.05</v>
      </c>
      <c r="W18" s="16">
        <f>Шаблон_Формулы!$T18*Шаблон_Формулы!$V18</f>
        <v>154684832.5</v>
      </c>
      <c r="Y18" s="16">
        <f>Шаблон_Формулы!$W18+Шаблон_Формулы!$X18</f>
        <v>154684832.5</v>
      </c>
      <c r="Z18" s="14" t="str">
        <f>_xlfn.XLOOKUP($A18,Centrum[Индекс],Centrum[Transport co invoice no/ 
Номер инвойса ТК],"",0,1)</f>
        <v>CNT-CKCNRF081-1</v>
      </c>
    </row>
    <row r="19" spans="1:26" s="11" customFormat="1" x14ac:dyDescent="0.3">
      <c r="A19" s="14">
        <v>15</v>
      </c>
      <c r="B19" s="11" t="str">
        <f>_xlfn.XLOOKUP($A19,Centrum[Индекс],Centrum[Carrier/ Перевозчик],"",0,1)</f>
        <v>CENTRUM AVIATION FZCO</v>
      </c>
      <c r="C19" s="11" t="str">
        <f>_xlfn.XLOOKUP($A19,Centrum[Индекс],Centrum[Country /  Страна],"",0,1)</f>
        <v>KR</v>
      </c>
      <c r="D19" s="11" t="str">
        <f>_xlfn.XLOOKUP($A19,Centrum[Индекс],Centrum[Container num./ 
№ контейнера],"",0,1)</f>
        <v>HDMU6867644</v>
      </c>
      <c r="E19" s="11" t="str">
        <f>_xlfn.XLOOKUP($A19,Centrum[Индекс],Centrum[Supplier/
Поставщик],"",0,1)</f>
        <v>SUZHOU SOVANOX ELECTRONICS</v>
      </c>
      <c r="F19" s="11" t="str">
        <f>_xlfn.XLOOKUP($A19,Centrum[Индекс],Centrum[Shippers invoice no/ 
Номер инвойса поставщика],"",1)</f>
        <v>UZ230701</v>
      </c>
      <c r="G19" s="15">
        <f>_xlfn.XLOOKUP($A19,Centrum[Индекс],Centrum[Invoice value / Стоимость груза в к-ре по инвойсу],"",0,1)</f>
        <v>28484.23</v>
      </c>
      <c r="H19" s="14" t="s">
        <v>40</v>
      </c>
      <c r="I19" s="11">
        <f>_xlfn.XLOOKUP($A19,Centrum[Индекс],Centrum[CBM on the shipper/ 
CBM по поставщику],"",0,1)</f>
        <v>64.19</v>
      </c>
      <c r="J19" s="16">
        <f>_xlfn.XLOOKUP($A19,Centrum[Индекс],Centrum[Gross weight of cont// 
Гросс.вес по конт.],"",0,1)</f>
        <v>7662.35</v>
      </c>
      <c r="K19" s="17" t="str">
        <f>_xlfn.XLOOKUP($A19,Centrum[Индекс],Centrum[Route/ Маршрут (TSR/TCR)],"",0,1)</f>
        <v>TSR</v>
      </c>
      <c r="L19" s="11" t="str">
        <f>_xlfn.XLOOKUP($A19,Centrum[Индекс],Centrum[Условия поставки],"",0,1)</f>
        <v xml:space="preserve">SHANGHAI </v>
      </c>
      <c r="M19" s="11" t="str">
        <f>_xlfn.XLOOKUP($A19,Centrum[Индекс],Centrum[№ HBL date / 
№/ дата коносамента],"",0,1)</f>
        <v>SJSH23070023</v>
      </c>
      <c r="N19" s="11" t="str">
        <f>_xlfn.XLOOKUP($A19,Centrum[Индекс],Centrum[№ MBL / 
№/ коносамента],"",0,1)</f>
        <v>SNKO020230701378</v>
      </c>
      <c r="O19" s="8">
        <f>(_xlfn.XLOOKUP($A19,Centrum[Индекс],Centrum[Date on board / Дата погрузки на судно],"",0,1))*1</f>
        <v>45120</v>
      </c>
      <c r="P19" s="8">
        <f>(_xlfn.XLOOKUP($A19,Centrum[Индекс],Centrum[Date of arrival to Sary-Agach/ Дата прибытия на Сары-Агач],"",0,1))*1</f>
        <v>45206</v>
      </c>
      <c r="Q19" s="14" t="str">
        <f>_xlfn.XLOOKUP($A19,Centrum[Индекс],Centrum[Container type/ 
Тип контейнера],"",0,1)</f>
        <v>40'HC</v>
      </c>
      <c r="R19" s="16">
        <f>_xlfn.XLOOKUP($A19,Centrum[Индекс],Centrum[Transportation cost per supplier/ 
Cтоимость перевозки по поставщикам],0,0,1)</f>
        <v>12500</v>
      </c>
      <c r="S19" s="16">
        <f>Шаблон_Формулы!$T19-Шаблон_Формулы!$R19</f>
        <v>0</v>
      </c>
      <c r="T19" s="16">
        <f>_xlfn.XLOOKUP($A19,Centrum[Индекс],Centrum[Transportation total amount / Общая стоимость перевозки],0,0,1)</f>
        <v>12500</v>
      </c>
      <c r="U19" s="12" cm="1">
        <f t="array" ref="U1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9" s="16">
        <f>_xlfn.XLOOKUP(Шаблон_Формулы[[#This Row],[21]],Курс_USD[Дата],Курс_USD[Курс],,0,1)</f>
        <v>12228.05</v>
      </c>
      <c r="W19" s="16">
        <f>Шаблон_Формулы!$T19*Шаблон_Формулы!$V19</f>
        <v>152850625</v>
      </c>
      <c r="Y19" s="16">
        <f>Шаблон_Формулы!$W19+Шаблон_Формулы!$X19</f>
        <v>152850625</v>
      </c>
      <c r="Z19" s="14" t="str">
        <f>_xlfn.XLOOKUP($A19,Centrum[Индекс],Centrum[Transport co invoice no/ 
Номер инвойса ТК],"",0,1)</f>
        <v>CNT-CKCNRF081-1</v>
      </c>
    </row>
    <row r="20" spans="1:26" s="11" customFormat="1" x14ac:dyDescent="0.3">
      <c r="A20" s="14">
        <v>16</v>
      </c>
      <c r="B20" s="11" t="str">
        <f>_xlfn.XLOOKUP($A20,Centrum[Индекс],Centrum[Carrier/ Перевозчик],"",0,1)</f>
        <v>CENTRUM AVIATION FZCO</v>
      </c>
      <c r="C20" s="11" t="str">
        <f>_xlfn.XLOOKUP($A20,Centrum[Индекс],Centrum[Country /  Страна],"",0,1)</f>
        <v>KR</v>
      </c>
      <c r="D20" s="11" t="str">
        <f>_xlfn.XLOOKUP($A20,Centrum[Индекс],Centrum[Container num./ 
№ контейнера],"",0,1)</f>
        <v>HMMU6009725</v>
      </c>
      <c r="E20" s="11" t="str">
        <f>_xlfn.XLOOKUP($A20,Centrum[Индекс],Centrum[Supplier/
Поставщик],"",0,1)</f>
        <v>SKF DISTRIBUTION</v>
      </c>
      <c r="F20" s="11" t="str">
        <f>_xlfn.XLOOKUP($A20,Centrum[Индекс],Centrum[Shippers invoice no/ 
Номер инвойса поставщика],"",1)</f>
        <v>6064355</v>
      </c>
      <c r="G20" s="15">
        <f>_xlfn.XLOOKUP($A20,Centrum[Индекс],Centrum[Invoice value / Стоимость груза в к-ре по инвойсу],"",0,1)</f>
        <v>149975</v>
      </c>
      <c r="H20" s="14" t="s">
        <v>40</v>
      </c>
      <c r="I20" s="11">
        <f>_xlfn.XLOOKUP($A20,Centrum[Индекс],Centrum[CBM on the shipper/ 
CBM по поставщику],"",0,1)</f>
        <v>37.630000000000003</v>
      </c>
      <c r="J20" s="16">
        <f>_xlfn.XLOOKUP($A20,Centrum[Индекс],Centrum[Gross weight of cont// 
Гросс.вес по конт.],"",0,1)</f>
        <v>22840</v>
      </c>
      <c r="K20" s="17" t="str">
        <f>_xlfn.XLOOKUP($A20,Centrum[Индекс],Centrum[Route/ Маршрут (TSR/TCR)],"",0,1)</f>
        <v>TSR</v>
      </c>
      <c r="L20" s="11" t="str">
        <f>_xlfn.XLOOKUP($A20,Centrum[Индекс],Centrum[Условия поставки],"",0,1)</f>
        <v xml:space="preserve">SHANGHAI </v>
      </c>
      <c r="M20" s="11" t="str">
        <f>_xlfn.XLOOKUP($A20,Centrum[Индекс],Centrum[№ HBL date / 
№/ дата коносамента],"",0,1)</f>
        <v xml:space="preserve">SJSH23070024 </v>
      </c>
      <c r="N20" s="11" t="str">
        <f>_xlfn.XLOOKUP($A20,Centrum[Индекс],Centrum[№ MBL / 
№/ коносамента],"",0,1)</f>
        <v>SNKO020230701419</v>
      </c>
      <c r="O20" s="8">
        <f>(_xlfn.XLOOKUP($A20,Centrum[Индекс],Centrum[Date on board / Дата погрузки на судно],"",0,1))*1</f>
        <v>45120</v>
      </c>
      <c r="P20" s="8">
        <f>(_xlfn.XLOOKUP($A20,Centrum[Индекс],Centrum[Date of arrival to Sary-Agach/ Дата прибытия на Сары-Агач],"",0,1))*1</f>
        <v>45206</v>
      </c>
      <c r="Q20" s="14" t="str">
        <f>_xlfn.XLOOKUP($A20,Centrum[Индекс],Centrum[Container type/ 
Тип контейнера],"",0,1)</f>
        <v>40'HC</v>
      </c>
      <c r="R20" s="16">
        <f>_xlfn.XLOOKUP($A20,Centrum[Индекс],Centrum[Transportation cost per supplier/ 
Cтоимость перевозки по поставщикам],0,0,1)</f>
        <v>12500</v>
      </c>
      <c r="S20" s="16">
        <f>Шаблон_Формулы!$T20-Шаблон_Формулы!$R20</f>
        <v>0</v>
      </c>
      <c r="T20" s="16">
        <f>_xlfn.XLOOKUP($A20,Centrum[Индекс],Centrum[Transportation total amount / Общая стоимость перевозки],0,0,1)</f>
        <v>12500</v>
      </c>
      <c r="U20" s="12" cm="1">
        <f t="array" ref="U2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0" s="16">
        <f>_xlfn.XLOOKUP(Шаблон_Формулы[[#This Row],[21]],Курс_USD[Дата],Курс_USD[Курс],,0,1)</f>
        <v>12228.05</v>
      </c>
      <c r="W20" s="16">
        <f>Шаблон_Формулы!$T20*Шаблон_Формулы!$V20</f>
        <v>152850625</v>
      </c>
      <c r="Y20" s="16">
        <f>Шаблон_Формулы!$W20+Шаблон_Формулы!$X20</f>
        <v>152850625</v>
      </c>
      <c r="Z20" s="14" t="str">
        <f>_xlfn.XLOOKUP($A20,Centrum[Индекс],Centrum[Transport co invoice no/ 
Номер инвойса ТК],"",0,1)</f>
        <v>CNT-CKCNRF081-1</v>
      </c>
    </row>
    <row r="21" spans="1:26" s="11" customFormat="1" x14ac:dyDescent="0.3">
      <c r="A21" s="14">
        <v>17</v>
      </c>
      <c r="B21" s="11" t="str">
        <f>_xlfn.XLOOKUP($A21,Centrum[Индекс],Centrum[Carrier/ Перевозчик],"",0,1)</f>
        <v>CENTRUM AVIATION FZCO</v>
      </c>
      <c r="C21" s="11" t="str">
        <f>_xlfn.XLOOKUP($A21,Centrum[Индекс],Centrum[Country /  Страна],"",0,1)</f>
        <v>KR</v>
      </c>
      <c r="D21" s="11" t="str">
        <f>_xlfn.XLOOKUP($A21,Centrum[Индекс],Centrum[Container num./ 
№ контейнера],"",0,1)</f>
        <v>TCNU8455845</v>
      </c>
      <c r="E21" s="11" t="str">
        <f>_xlfn.XLOOKUP($A21,Centrum[Индекс],Centrum[Supplier/
Поставщик],"",0,1)</f>
        <v>LEAR AUTOMOTIVE ELECTRONICS &amp; ELECT
Guiyang Wanjiang Aviation Electromechanical Co,.Ltd.
Anhui Zhongding Sealing Parts Co., Ltd
BOSCH AUTOMOTIVE PRODUCTS (SUZHOU)
ZHEJIANG CHANGJIANG AUTOMOTIVE ELECTRONIC CO.,LTD
NINGBO TUOPU AUTOMOBILE ELECTRONICS</v>
      </c>
      <c r="F21" s="11" t="str">
        <f>_xlfn.XLOOKUP($A21,Centrum[Индекс],Centrum[Shippers invoice no/ 
Номер инвойса поставщика],"",1)</f>
        <v>23060064
GP230626
2306WWZBKSS002
7138098789
CAEA23215
5TPGMK23172</v>
      </c>
      <c r="G21" s="15">
        <f>_xlfn.XLOOKUP($A21,Centrum[Индекс],Centrum[Invoice value / Стоимость груза в к-ре по инвойсу],"",0,1)</f>
        <v>327210.45</v>
      </c>
      <c r="H21" s="14" t="s">
        <v>40</v>
      </c>
      <c r="I21" s="11">
        <f>_xlfn.XLOOKUP($A21,Centrum[Индекс],Centrum[CBM on the shipper/ 
CBM по поставщику],"",0,1)</f>
        <v>64.483000000000004</v>
      </c>
      <c r="J21" s="16">
        <f>_xlfn.XLOOKUP($A21,Centrum[Индекс],Centrum[Gross weight of cont// 
Гросс.вес по конт.],"",0,1)</f>
        <v>8720</v>
      </c>
      <c r="K21" s="17" t="str">
        <f>_xlfn.XLOOKUP($A21,Centrum[Индекс],Centrum[Route/ Маршрут (TSR/TCR)],"",0,1)</f>
        <v>TSR</v>
      </c>
      <c r="L21" s="11" t="str">
        <f>_xlfn.XLOOKUP($A21,Centrum[Индекс],Centrum[Условия поставки],"",0,1)</f>
        <v xml:space="preserve">SHANGHAI </v>
      </c>
      <c r="M21" s="11" t="str">
        <f>_xlfn.XLOOKUP($A21,Centrum[Индекс],Centrum[№ HBL date / 
№/ дата коносамента],"",0,1)</f>
        <v>SOCEK2328LB001T</v>
      </c>
      <c r="N21" s="11" t="str">
        <f>_xlfn.XLOOKUP($A21,Centrum[Индекс],Centrum[№ MBL / 
№/ коносамента],"",0,1)</f>
        <v>SOCEK2328LB001</v>
      </c>
      <c r="O21" s="8">
        <f>(_xlfn.XLOOKUP($A21,Centrum[Индекс],Centrum[Date on board / Дата погрузки на судно],"",0,1))*1</f>
        <v>45121</v>
      </c>
      <c r="P21" s="8">
        <f>(_xlfn.XLOOKUP($A21,Centrum[Индекс],Centrum[Date of arrival to Sary-Agach/ Дата прибытия на Сары-Агач],"",0,1))*1</f>
        <v>45206</v>
      </c>
      <c r="Q21" s="14" t="str">
        <f>_xlfn.XLOOKUP($A21,Centrum[Индекс],Centrum[Container type/ 
Тип контейнера],"",0,1)</f>
        <v>40'HC</v>
      </c>
      <c r="R21" s="16">
        <f>_xlfn.XLOOKUP($A21,Centrum[Индекс],Centrum[Transportation cost per supplier/ 
Cтоимость перевозки по поставщикам],0,0,1)</f>
        <v>12500</v>
      </c>
      <c r="S21" s="16">
        <f>Шаблон_Формулы!$T21-Шаблон_Формулы!$R21</f>
        <v>-160.51000000000022</v>
      </c>
      <c r="T21" s="16">
        <f>_xlfn.XLOOKUP($A21,Centrum[Индекс],Centrum[Transportation total amount / Общая стоимость перевозки],0,0,1)</f>
        <v>12339.49</v>
      </c>
      <c r="U21" s="12" cm="1">
        <f t="array" ref="U2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1" s="16">
        <f>_xlfn.XLOOKUP(Шаблон_Формулы[[#This Row],[21]],Курс_USD[Дата],Курс_USD[Курс],,0,1)</f>
        <v>12228.05</v>
      </c>
      <c r="W21" s="16">
        <f>Шаблон_Формулы!$T21*Шаблон_Формулы!$V21</f>
        <v>150887900.6945</v>
      </c>
      <c r="Y21" s="16">
        <f>Шаблон_Формулы!$W21+Шаблон_Формулы!$X21</f>
        <v>150887900.6945</v>
      </c>
      <c r="Z21" s="14" t="str">
        <f>_xlfn.XLOOKUP($A21,Centrum[Индекс],Centrum[Transport co invoice no/ 
Номер инвойса ТК],"",0,1)</f>
        <v>CNT-CKCNRF081-1</v>
      </c>
    </row>
    <row r="22" spans="1:26" s="11" customFormat="1" x14ac:dyDescent="0.3">
      <c r="A22" s="14">
        <v>18</v>
      </c>
      <c r="B22" s="11" t="str">
        <f>_xlfn.XLOOKUP($A22,Centrum[Индекс],Centrum[Carrier/ Перевозчик],"",0,1)</f>
        <v>CENTRUM AVIATION FZCO</v>
      </c>
      <c r="C22" s="11" t="str">
        <f>_xlfn.XLOOKUP($A22,Centrum[Индекс],Centrum[Country /  Страна],"",0,1)</f>
        <v>KR</v>
      </c>
      <c r="D22" s="11" t="str">
        <f>_xlfn.XLOOKUP($A22,Centrum[Индекс],Centrum[Container num./ 
№ контейнера],"",0,1)</f>
        <v>FCIU8123167</v>
      </c>
      <c r="E22" s="11" t="str">
        <f>_xlfn.XLOOKUP($A22,Centrum[Индекс],Centrum[Supplier/
Поставщик],"",0,1)</f>
        <v xml:space="preserve">Changzhou Xingyu Automotive Lighting Systems Co., Ltd.
HANGZHOU GUANGAN AUTOMOBILE ELECTRI
SHANGHAI SAMLIP HUIZHONG AUTO COMPO
QINGDAO SUNSONG CO LTD
SHENYANG IYU AUTO PRODUCTS CO LTD
TE Connectivity H.K LTD </v>
      </c>
      <c r="F22" s="11" t="str">
        <f>_xlfn.XLOOKUP($A22,Centrum[Индекс],Centrum[Shippers invoice no/ 
Номер инвойса поставщика],"",1)</f>
        <v>UZ2307041
23062801A
20230707UZBE
U20230707
SYU230707
36171977</v>
      </c>
      <c r="G22" s="15">
        <f>_xlfn.XLOOKUP($A22,Centrum[Индекс],Centrum[Invoice value / Стоимость груза в к-ре по инвойсу],"",0,1)</f>
        <v>406058.16</v>
      </c>
      <c r="H22" s="14" t="s">
        <v>40</v>
      </c>
      <c r="I22" s="11">
        <f>_xlfn.XLOOKUP($A22,Centrum[Индекс],Centrum[CBM on the shipper/ 
CBM по поставщику],"",0,1)</f>
        <v>64.662999999999997</v>
      </c>
      <c r="J22" s="16">
        <f>_xlfn.XLOOKUP($A22,Centrum[Индекс],Centrum[Gross weight of cont// 
Гросс.вес по конт.],"",0,1)</f>
        <v>4958</v>
      </c>
      <c r="K22" s="17" t="str">
        <f>_xlfn.XLOOKUP($A22,Centrum[Индекс],Centrum[Route/ Маршрут (TSR/TCR)],"",0,1)</f>
        <v>TSR</v>
      </c>
      <c r="L22" s="11" t="str">
        <f>_xlfn.XLOOKUP($A22,Centrum[Индекс],Centrum[Условия поставки],"",0,1)</f>
        <v xml:space="preserve">SHANGHAI </v>
      </c>
      <c r="M22" s="11" t="str">
        <f>_xlfn.XLOOKUP($A22,Centrum[Индекс],Centrum[№ HBL date / 
№/ дата коносамента],"",0,1)</f>
        <v>SOCEK2328LB001T</v>
      </c>
      <c r="N22" s="11" t="str">
        <f>_xlfn.XLOOKUP($A22,Centrum[Индекс],Centrum[№ MBL / 
№/ коносамента],"",0,1)</f>
        <v>SOCEK2328LB001</v>
      </c>
      <c r="O22" s="8">
        <f>(_xlfn.XLOOKUP($A22,Centrum[Индекс],Centrum[Date on board / Дата погрузки на судно],"",0,1))*1</f>
        <v>45121</v>
      </c>
      <c r="P22" s="8">
        <f>(_xlfn.XLOOKUP($A22,Centrum[Индекс],Centrum[Date of arrival to Sary-Agach/ Дата прибытия на Сары-Агач],"",0,1))*1</f>
        <v>45206</v>
      </c>
      <c r="Q22" s="14" t="str">
        <f>_xlfn.XLOOKUP($A22,Centrum[Индекс],Centrum[Container type/ 
Тип контейнера],"",0,1)</f>
        <v>40'HC</v>
      </c>
      <c r="R22" s="16">
        <f>_xlfn.XLOOKUP($A22,Centrum[Индекс],Centrum[Transportation cost per supplier/ 
Cтоимость перевозки по поставщикам],0,0,1)</f>
        <v>12500</v>
      </c>
      <c r="S22" s="16">
        <f>Шаблон_Формулы!$T22-Шаблон_Формулы!$R22</f>
        <v>0</v>
      </c>
      <c r="T22" s="16">
        <f>_xlfn.XLOOKUP($A22,Centrum[Индекс],Centrum[Transportation total amount / Общая стоимость перевозки],0,0,1)</f>
        <v>12500</v>
      </c>
      <c r="U22" s="12" cm="1">
        <f t="array" ref="U2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2" s="16">
        <f>_xlfn.XLOOKUP(Шаблон_Формулы[[#This Row],[21]],Курс_USD[Дата],Курс_USD[Курс],,0,1)</f>
        <v>12228.05</v>
      </c>
      <c r="W22" s="16">
        <f>Шаблон_Формулы!$T22*Шаблон_Формулы!$V22</f>
        <v>152850625</v>
      </c>
      <c r="Y22" s="16">
        <f>Шаблон_Формулы!$W22+Шаблон_Формулы!$X22</f>
        <v>152850625</v>
      </c>
      <c r="Z22" s="14" t="str">
        <f>_xlfn.XLOOKUP($A22,Centrum[Индекс],Centrum[Transport co invoice no/ 
Номер инвойса ТК],"",0,1)</f>
        <v>CNT-CKCNRF081-1</v>
      </c>
    </row>
    <row r="23" spans="1:26" s="11" customFormat="1" x14ac:dyDescent="0.3">
      <c r="A23" s="14">
        <v>19</v>
      </c>
      <c r="B23" s="11" t="str">
        <f>_xlfn.XLOOKUP($A23,Centrum[Индекс],Centrum[Carrier/ Перевозчик],"",0,1)</f>
        <v>CENTRUM AVIATION FZCO</v>
      </c>
      <c r="C23" s="11" t="str">
        <f>_xlfn.XLOOKUP($A23,Centrum[Индекс],Centrum[Country /  Страна],"",0,1)</f>
        <v>KR</v>
      </c>
      <c r="D23" s="11" t="str">
        <f>_xlfn.XLOOKUP($A23,Centrum[Индекс],Centrum[Container num./ 
№ контейнера],"",0,1)</f>
        <v>FCIU8613333</v>
      </c>
      <c r="E23" s="11" t="str">
        <f>_xlfn.XLOOKUP($A23,Centrum[Индекс],Centrum[Supplier/
Поставщик],"",0,1)</f>
        <v>LS AUTOMOTIVE TECHNOLOGIES WUXI COR
Rongcheng Dong-Ah Automotive Parts Co.,Ltd.
NINGBO AUTO CABLE CONTROLS CO., LTD
BASF Polyurethane Specialties (China) Co. Ltd
Nantong Hailin Automobile Rubber &amp; Plastic Products Co., Ltd.
CASCO AUTOMOTIVE SUZHOU CO LTD
Tung Thih Electron(Kunshan) Co.,Ltd.
SHANGHAI BUMAH AUTOMOBILE DECORATIO
Veyance Qingdao Engineered Elastomers Co., Ltd
NINGBO JOYSON TECHNOLOGY CO LTD
HELLA SHANGHAI ELECTRONICS CO LTD</v>
      </c>
      <c r="F23" s="11" t="str">
        <f>_xlfn.XLOOKUP($A23,Centrum[Индекс],Centrum[Shippers invoice no/ 
Номер инвойса поставщика],"",1)</f>
        <v xml:space="preserve">GMUZ2314 
DAT230706GMU
GMEC3020
6641264065
6641264063
6641264064
6641264068
6641264066
6641264067
NTHL20230702
EP230811
TTEG230707-12
UZ230707
904848608
JQ307001
81417213 </v>
      </c>
      <c r="G23" s="15">
        <f>_xlfn.XLOOKUP($A23,Centrum[Индекс],Centrum[Invoice value / Стоимость груза в к-ре по инвойсу],"",0,1)</f>
        <v>666341.12</v>
      </c>
      <c r="H23" s="14" t="s">
        <v>40</v>
      </c>
      <c r="I23" s="11">
        <f>_xlfn.XLOOKUP($A23,Centrum[Индекс],Centrum[CBM on the shipper/ 
CBM по поставщику],"",0,1)</f>
        <v>62.042000000000002</v>
      </c>
      <c r="J23" s="16">
        <f>_xlfn.XLOOKUP($A23,Centrum[Индекс],Centrum[Gross weight of cont// 
Гросс.вес по конт.],"",0,1)</f>
        <v>9061</v>
      </c>
      <c r="K23" s="17" t="str">
        <f>_xlfn.XLOOKUP($A23,Centrum[Индекс],Centrum[Route/ Маршрут (TSR/TCR)],"",0,1)</f>
        <v>TSR</v>
      </c>
      <c r="L23" s="11" t="str">
        <f>_xlfn.XLOOKUP($A23,Centrum[Индекс],Centrum[Условия поставки],"",0,1)</f>
        <v xml:space="preserve">SHANGHAI </v>
      </c>
      <c r="M23" s="11" t="str">
        <f>_xlfn.XLOOKUP($A23,Centrum[Индекс],Centrum[№ HBL date / 
№/ дата коносамента],"",0,1)</f>
        <v>SOCEK2328LB001T</v>
      </c>
      <c r="N23" s="11" t="str">
        <f>_xlfn.XLOOKUP($A23,Centrum[Индекс],Centrum[№ MBL / 
№/ коносамента],"",0,1)</f>
        <v>SOCEK2328LB001</v>
      </c>
      <c r="O23" s="8">
        <f>(_xlfn.XLOOKUP($A23,Centrum[Индекс],Centrum[Date on board / Дата погрузки на судно],"",0,1))*1</f>
        <v>45121</v>
      </c>
      <c r="P23" s="8">
        <f>(_xlfn.XLOOKUP($A23,Centrum[Индекс],Centrum[Date of arrival to Sary-Agach/ Дата прибытия на Сары-Агач],"",0,1))*1</f>
        <v>45206</v>
      </c>
      <c r="Q23" s="14" t="str">
        <f>_xlfn.XLOOKUP($A23,Centrum[Индекс],Centrum[Container type/ 
Тип контейнера],"",0,1)</f>
        <v>40'HC</v>
      </c>
      <c r="R23" s="16">
        <f>_xlfn.XLOOKUP($A23,Centrum[Индекс],Centrum[Transportation cost per supplier/ 
Cтоимость перевозки по поставщикам],0,0,1)</f>
        <v>12500</v>
      </c>
      <c r="S23" s="16">
        <f>Шаблон_Формулы!$T23-Шаблон_Формулы!$R23</f>
        <v>0</v>
      </c>
      <c r="T23" s="16">
        <f>_xlfn.XLOOKUP($A23,Centrum[Индекс],Centrum[Transportation total amount / Общая стоимость перевозки],0,0,1)</f>
        <v>12500</v>
      </c>
      <c r="U23" s="12" cm="1">
        <f t="array" ref="U2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3" s="16">
        <f>_xlfn.XLOOKUP(Шаблон_Формулы[[#This Row],[21]],Курс_USD[Дата],Курс_USD[Курс],,0,1)</f>
        <v>12228.05</v>
      </c>
      <c r="W23" s="16">
        <f>Шаблон_Формулы!$T23*Шаблон_Формулы!$V23</f>
        <v>152850625</v>
      </c>
      <c r="Y23" s="16">
        <f>Шаблон_Формулы!$W23+Шаблон_Формулы!$X23</f>
        <v>152850625</v>
      </c>
      <c r="Z23" s="14" t="str">
        <f>_xlfn.XLOOKUP($A23,Centrum[Индекс],Centrum[Transport co invoice no/ 
Номер инвойса ТК],"",0,1)</f>
        <v>CNT-CKCNRF081-1</v>
      </c>
    </row>
    <row r="24" spans="1:26" s="11" customFormat="1" x14ac:dyDescent="0.3">
      <c r="A24" s="14">
        <v>20</v>
      </c>
      <c r="B24" s="11" t="str">
        <f>_xlfn.XLOOKUP($A24,Centrum[Индекс],Centrum[Carrier/ Перевозчик],"",0,1)</f>
        <v>CENTRUM AVIATION FZCO</v>
      </c>
      <c r="C24" s="11" t="str">
        <f>_xlfn.XLOOKUP($A24,Centrum[Индекс],Centrum[Country /  Страна],"",0,1)</f>
        <v>KR</v>
      </c>
      <c r="D24" s="11" t="str">
        <f>_xlfn.XLOOKUP($A24,Centrum[Индекс],Centrum[Container num./ 
№ контейнера],"",0,1)</f>
        <v>TCNU8636592</v>
      </c>
      <c r="E24" s="11" t="str">
        <f>_xlfn.XLOOKUP($A24,Centrum[Индекс],Centrum[Supplier/
Поставщик],"",0,1)</f>
        <v>ZHEJING WHANFENG AUTO WHEEL</v>
      </c>
      <c r="F24" s="11" t="str">
        <f>_xlfn.XLOOKUP($A24,Centrum[Индекс],Centrum[Shippers invoice no/ 
Номер инвойса поставщика],"",1)</f>
        <v>23GMOU7G</v>
      </c>
      <c r="G24" s="15">
        <f>_xlfn.XLOOKUP($A24,Centrum[Индекс],Centrum[Invoice value / Стоимость груза в к-ре по инвойсу],"",0,1)</f>
        <v>328771.17</v>
      </c>
      <c r="H24" s="14" t="s">
        <v>40</v>
      </c>
      <c r="I24" s="11">
        <f>_xlfn.XLOOKUP($A24,Centrum[Индекс],Centrum[CBM on the shipper/ 
CBM по поставщику],"",0,1)</f>
        <v>59</v>
      </c>
      <c r="J24" s="16">
        <f>_xlfn.XLOOKUP($A24,Centrum[Индекс],Centrum[Gross weight of cont// 
Гросс.вес по конт.],"",0,1)</f>
        <v>13461</v>
      </c>
      <c r="K24" s="17" t="str">
        <f>_xlfn.XLOOKUP($A24,Centrum[Индекс],Centrum[Route/ Маршрут (TSR/TCR)],"",0,1)</f>
        <v>TSR</v>
      </c>
      <c r="L24" s="11" t="str">
        <f>_xlfn.XLOOKUP($A24,Centrum[Индекс],Centrum[Условия поставки],"",0,1)</f>
        <v xml:space="preserve">NINGBO </v>
      </c>
      <c r="M24" s="11" t="str">
        <f>_xlfn.XLOOKUP($A24,Centrum[Индекс],Centrum[№ HBL date / 
№/ дата коносамента],"",0,1)</f>
        <v>CXNB23080050</v>
      </c>
      <c r="N24" s="11" t="str">
        <f>_xlfn.XLOOKUP($A24,Centrum[Индекс],Centrum[№ MBL / 
№/ коносамента],"",0,1)</f>
        <v>SNKO03K230701167</v>
      </c>
      <c r="O24" s="8">
        <f>(_xlfn.XLOOKUP($A24,Centrum[Индекс],Centrum[Date on board / Дата погрузки на судно],"",0,1))*1</f>
        <v>45144</v>
      </c>
      <c r="P24" s="8">
        <f>(_xlfn.XLOOKUP($A24,Centrum[Индекс],Centrum[Date of arrival to Sary-Agach/ Дата прибытия на Сары-Агач],"",0,1))*1</f>
        <v>45214</v>
      </c>
      <c r="Q24" s="14" t="str">
        <f>_xlfn.XLOOKUP($A24,Centrum[Индекс],Centrum[Container type/ 
Тип контейнера],"",0,1)</f>
        <v>40'HC</v>
      </c>
      <c r="R24" s="16">
        <f>_xlfn.XLOOKUP($A24,Centrum[Индекс],Centrum[Transportation cost per supplier/ 
Cтоимость перевозки по поставщикам],0,0,1)</f>
        <v>12650</v>
      </c>
      <c r="S24" s="16">
        <f>Шаблон_Формулы!$T24-Шаблон_Формулы!$R24</f>
        <v>0</v>
      </c>
      <c r="T24" s="16">
        <f>_xlfn.XLOOKUP($A24,Centrum[Индекс],Centrum[Transportation total amount / Общая стоимость перевозки],0,0,1)</f>
        <v>12650</v>
      </c>
      <c r="U24" s="12" cm="1">
        <f t="array" ref="U2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4" s="16">
        <f>_xlfn.XLOOKUP(Шаблон_Формулы[[#This Row],[21]],Курс_USD[Дата],Курс_USD[Курс],,0,1)</f>
        <v>12228.05</v>
      </c>
      <c r="W24" s="16">
        <f>Шаблон_Формулы!$T24*Шаблон_Формулы!$V24</f>
        <v>154684832.5</v>
      </c>
      <c r="Y24" s="16">
        <f>Шаблон_Формулы!$W24+Шаблон_Формулы!$X24</f>
        <v>154684832.5</v>
      </c>
      <c r="Z24" s="14" t="str">
        <f>_xlfn.XLOOKUP($A24,Centrum[Индекс],Centrum[Transport co invoice no/ 
Номер инвойса ТК],"",0,1)</f>
        <v>CNT-CKCNRF081-1</v>
      </c>
    </row>
    <row r="25" spans="1:26" s="11" customFormat="1" x14ac:dyDescent="0.3">
      <c r="A25" s="14">
        <v>21</v>
      </c>
      <c r="B25" s="11" t="str">
        <f>_xlfn.XLOOKUP($A25,Centrum[Индекс],Centrum[Carrier/ Перевозчик],"",0,1)</f>
        <v>CENTRUM AVIATION FZCO</v>
      </c>
      <c r="C25" s="11" t="str">
        <f>_xlfn.XLOOKUP($A25,Centrum[Индекс],Centrum[Country /  Страна],"",0,1)</f>
        <v>KR</v>
      </c>
      <c r="D25" s="11" t="str">
        <f>_xlfn.XLOOKUP($A25,Centrum[Индекс],Centrum[Container num./ 
№ контейнера],"",0,1)</f>
        <v>GESU5817791</v>
      </c>
      <c r="E25" s="11" t="str">
        <f>_xlfn.XLOOKUP($A25,Centrum[Индекс],Centrum[Supplier/
Поставщик],"",0,1)</f>
        <v>ZHEJING WHANFENG AUTO WHEEL</v>
      </c>
      <c r="F25" s="11" t="str">
        <f>_xlfn.XLOOKUP($A25,Centrum[Индекс],Centrum[Shippers invoice no/ 
Номер инвойса поставщика],"",1)</f>
        <v>23GMOU7I</v>
      </c>
      <c r="G25" s="15">
        <f>_xlfn.XLOOKUP($A25,Centrum[Индекс],Centrum[Invoice value / Стоимость груза в к-ре по инвойсу],"",0,1)</f>
        <v>391907.64</v>
      </c>
      <c r="H25" s="14" t="s">
        <v>40</v>
      </c>
      <c r="I25" s="11">
        <f>_xlfn.XLOOKUP($A25,Centrum[Индекс],Centrum[CBM on the shipper/ 
CBM по поставщику],"",0,1)</f>
        <v>68</v>
      </c>
      <c r="J25" s="16">
        <f>_xlfn.XLOOKUP($A25,Centrum[Индекс],Centrum[Gross weight of cont// 
Гросс.вес по конт.],"",0,1)</f>
        <v>15768</v>
      </c>
      <c r="K25" s="17" t="str">
        <f>_xlfn.XLOOKUP($A25,Centrum[Индекс],Centrum[Route/ Маршрут (TSR/TCR)],"",0,1)</f>
        <v>TSR</v>
      </c>
      <c r="L25" s="11" t="str">
        <f>_xlfn.XLOOKUP($A25,Centrum[Индекс],Centrum[Условия поставки],"",0,1)</f>
        <v xml:space="preserve">NINGBO </v>
      </c>
      <c r="M25" s="11" t="str">
        <f>_xlfn.XLOOKUP($A25,Centrum[Индекс],Centrum[№ HBL date / 
№/ дата коносамента],"",0,1)</f>
        <v>CXNB23080050</v>
      </c>
      <c r="N25" s="11" t="str">
        <f>_xlfn.XLOOKUP($A25,Centrum[Индекс],Centrum[№ MBL / 
№/ коносамента],"",0,1)</f>
        <v>SNKO03K230701167</v>
      </c>
      <c r="O25" s="8">
        <f>(_xlfn.XLOOKUP($A25,Centrum[Индекс],Centrum[Date on board / Дата погрузки на судно],"",0,1))*1</f>
        <v>45144</v>
      </c>
      <c r="P25" s="8">
        <f>(_xlfn.XLOOKUP($A25,Centrum[Индекс],Centrum[Date of arrival to Sary-Agach/ Дата прибытия на Сары-Агач],"",0,1))*1</f>
        <v>45214</v>
      </c>
      <c r="Q25" s="14" t="str">
        <f>_xlfn.XLOOKUP($A25,Centrum[Индекс],Centrum[Container type/ 
Тип контейнера],"",0,1)</f>
        <v>40'HC</v>
      </c>
      <c r="R25" s="16">
        <f>_xlfn.XLOOKUP($A25,Centrum[Индекс],Centrum[Transportation cost per supplier/ 
Cтоимость перевозки по поставщикам],0,0,1)</f>
        <v>12650</v>
      </c>
      <c r="S25" s="16">
        <f>Шаблон_Формулы!$T25-Шаблон_Формулы!$R25</f>
        <v>0</v>
      </c>
      <c r="T25" s="16">
        <f>_xlfn.XLOOKUP($A25,Centrum[Индекс],Centrum[Transportation total amount / Общая стоимость перевозки],0,0,1)</f>
        <v>12650</v>
      </c>
      <c r="U25" s="12" cm="1">
        <f t="array" ref="U2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5" s="16">
        <f>_xlfn.XLOOKUP(Шаблон_Формулы[[#This Row],[21]],Курс_USD[Дата],Курс_USD[Курс],,0,1)</f>
        <v>12228.05</v>
      </c>
      <c r="W25" s="16">
        <f>Шаблон_Формулы!$T25*Шаблон_Формулы!$V25</f>
        <v>154684832.5</v>
      </c>
      <c r="Y25" s="16">
        <f>Шаблон_Формулы!$W25+Шаблон_Формулы!$X25</f>
        <v>154684832.5</v>
      </c>
      <c r="Z25" s="14" t="str">
        <f>_xlfn.XLOOKUP($A25,Centrum[Индекс],Centrum[Transport co invoice no/ 
Номер инвойса ТК],"",0,1)</f>
        <v>CNT-CKCNRF081-1</v>
      </c>
    </row>
    <row r="26" spans="1:26" s="11" customFormat="1" x14ac:dyDescent="0.3">
      <c r="A26" s="14">
        <v>22</v>
      </c>
      <c r="B26" s="11" t="str">
        <f>_xlfn.XLOOKUP($A26,Centrum[Индекс],Centrum[Carrier/ Перевозчик],"",0,1)</f>
        <v>CENTRUM AVIATION FZCO</v>
      </c>
      <c r="C26" s="11" t="str">
        <f>_xlfn.XLOOKUP($A26,Centrum[Индекс],Centrum[Country /  Страна],"",0,1)</f>
        <v>KR</v>
      </c>
      <c r="D26" s="11" t="str">
        <f>_xlfn.XLOOKUP($A26,Centrum[Индекс],Centrum[Container num./ 
№ контейнера],"",0,1)</f>
        <v>GESU5538122</v>
      </c>
      <c r="E26" s="11" t="str">
        <f>_xlfn.XLOOKUP($A26,Centrum[Индекс],Centrum[Supplier/
Поставщик],"",0,1)</f>
        <v>ZHEJING WHANFENG AUTO WHEEL</v>
      </c>
      <c r="F26" s="11" t="str">
        <f>_xlfn.XLOOKUP($A26,Centrum[Индекс],Centrum[Shippers invoice no/ 
Номер инвойса поставщика],"",1)</f>
        <v>23GMOU7K</v>
      </c>
      <c r="G26" s="15">
        <f>_xlfn.XLOOKUP($A26,Centrum[Индекс],Centrum[Invoice value / Стоимость груза в к-ре по инвойсу],"",0,1)</f>
        <v>415673.37</v>
      </c>
      <c r="H26" s="14" t="s">
        <v>40</v>
      </c>
      <c r="I26" s="11">
        <f>_xlfn.XLOOKUP($A26,Centrum[Индекс],Centrum[CBM on the shipper/ 
CBM по поставщику],"",0,1)</f>
        <v>59</v>
      </c>
      <c r="J26" s="16">
        <f>_xlfn.XLOOKUP($A26,Centrum[Индекс],Centrum[Gross weight of cont// 
Гросс.вес по конт.],"",0,1)</f>
        <v>13660</v>
      </c>
      <c r="K26" s="17" t="str">
        <f>_xlfn.XLOOKUP($A26,Centrum[Индекс],Centrum[Route/ Маршрут (TSR/TCR)],"",0,1)</f>
        <v>TSR</v>
      </c>
      <c r="L26" s="11" t="str">
        <f>_xlfn.XLOOKUP($A26,Centrum[Индекс],Centrum[Условия поставки],"",0,1)</f>
        <v xml:space="preserve">NINGBO </v>
      </c>
      <c r="M26" s="11" t="str">
        <f>_xlfn.XLOOKUP($A26,Centrum[Индекс],Centrum[№ HBL date / 
№/ дата коносамента],"",0,1)</f>
        <v>CXNB23080050</v>
      </c>
      <c r="N26" s="11" t="str">
        <f>_xlfn.XLOOKUP($A26,Centrum[Индекс],Centrum[№ MBL / 
№/ коносамента],"",0,1)</f>
        <v>SNKO03K230701167</v>
      </c>
      <c r="O26" s="8">
        <f>(_xlfn.XLOOKUP($A26,Centrum[Индекс],Centrum[Date on board / Дата погрузки на судно],"",0,1))*1</f>
        <v>45144</v>
      </c>
      <c r="P26" s="8">
        <f>(_xlfn.XLOOKUP($A26,Centrum[Индекс],Centrum[Date of arrival to Sary-Agach/ Дата прибытия на Сары-Агач],"",0,1))*1</f>
        <v>45214</v>
      </c>
      <c r="Q26" s="14" t="str">
        <f>_xlfn.XLOOKUP($A26,Centrum[Индекс],Centrum[Container type/ 
Тип контейнера],"",0,1)</f>
        <v>40'HC</v>
      </c>
      <c r="R26" s="16">
        <f>_xlfn.XLOOKUP($A26,Centrum[Индекс],Centrum[Transportation cost per supplier/ 
Cтоимость перевозки по поставщикам],0,0,1)</f>
        <v>12650</v>
      </c>
      <c r="S26" s="16">
        <f>Шаблон_Формулы!$T26-Шаблон_Формулы!$R26</f>
        <v>0</v>
      </c>
      <c r="T26" s="16">
        <f>_xlfn.XLOOKUP($A26,Centrum[Индекс],Centrum[Transportation total amount / Общая стоимость перевозки],0,0,1)</f>
        <v>12650</v>
      </c>
      <c r="U26" s="12" cm="1">
        <f t="array" ref="U2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6" s="16">
        <f>_xlfn.XLOOKUP(Шаблон_Формулы[[#This Row],[21]],Курс_USD[Дата],Курс_USD[Курс],,0,1)</f>
        <v>12228.05</v>
      </c>
      <c r="W26" s="16">
        <f>Шаблон_Формулы!$T26*Шаблон_Формулы!$V26</f>
        <v>154684832.5</v>
      </c>
      <c r="Y26" s="16">
        <f>Шаблон_Формулы!$W26+Шаблон_Формулы!$X26</f>
        <v>154684832.5</v>
      </c>
      <c r="Z26" s="14" t="str">
        <f>_xlfn.XLOOKUP($A26,Centrum[Индекс],Centrum[Transport co invoice no/ 
Номер инвойса ТК],"",0,1)</f>
        <v>CNT-CKCNRF081-1</v>
      </c>
    </row>
    <row r="27" spans="1:26" s="11" customFormat="1" x14ac:dyDescent="0.3">
      <c r="A27" s="14">
        <v>23</v>
      </c>
      <c r="B27" s="11" t="str">
        <f>_xlfn.XLOOKUP($A27,Centrum[Индекс],Centrum[Carrier/ Перевозчик],"",0,1)</f>
        <v>CENTRUM AVIATION FZCO</v>
      </c>
      <c r="C27" s="11" t="str">
        <f>_xlfn.XLOOKUP($A27,Centrum[Индекс],Centrum[Country /  Страна],"",0,1)</f>
        <v>KR</v>
      </c>
      <c r="D27" s="11" t="str">
        <f>_xlfn.XLOOKUP($A27,Centrum[Индекс],Centrum[Container num./ 
№ контейнера],"",0,1)</f>
        <v>FCIU8098974</v>
      </c>
      <c r="E27" s="11" t="str">
        <f>_xlfn.XLOOKUP($A27,Centrum[Индекс],Centrum[Supplier/
Поставщик],"",0,1)</f>
        <v>ZHEJING WHANFENG AUTO WHEEL</v>
      </c>
      <c r="F27" s="11" t="str">
        <f>_xlfn.XLOOKUP($A27,Centrum[Индекс],Centrum[Shippers invoice no/ 
Номер инвойса поставщика],"",1)</f>
        <v>23GMOU7H</v>
      </c>
      <c r="G27" s="15">
        <f>_xlfn.XLOOKUP($A27,Centrum[Индекс],Centrum[Invoice value / Стоимость груза в к-ре по инвойсу],"",0,1)</f>
        <v>328771.17</v>
      </c>
      <c r="H27" s="14" t="s">
        <v>40</v>
      </c>
      <c r="I27" s="11">
        <f>_xlfn.XLOOKUP($A27,Centrum[Индекс],Centrum[CBM on the shipper/ 
CBM по поставщику],"",0,1)</f>
        <v>59</v>
      </c>
      <c r="J27" s="16">
        <f>_xlfn.XLOOKUP($A27,Centrum[Индекс],Centrum[Gross weight of cont// 
Гросс.вес по конт.],"",0,1)</f>
        <v>13461</v>
      </c>
      <c r="K27" s="17" t="str">
        <f>_xlfn.XLOOKUP($A27,Centrum[Индекс],Centrum[Route/ Маршрут (TSR/TCR)],"",0,1)</f>
        <v>TSR</v>
      </c>
      <c r="L27" s="11" t="str">
        <f>_xlfn.XLOOKUP($A27,Centrum[Индекс],Centrum[Условия поставки],"",0,1)</f>
        <v xml:space="preserve">NINGBO </v>
      </c>
      <c r="M27" s="11" t="str">
        <f>_xlfn.XLOOKUP($A27,Centrum[Индекс],Centrum[№ HBL date / 
№/ дата коносамента],"",0,1)</f>
        <v>CXNB23080050</v>
      </c>
      <c r="N27" s="11" t="str">
        <f>_xlfn.XLOOKUP($A27,Centrum[Индекс],Centrum[№ MBL / 
№/ коносамента],"",0,1)</f>
        <v>SNKO03K230701167</v>
      </c>
      <c r="O27" s="8">
        <f>(_xlfn.XLOOKUP($A27,Centrum[Индекс],Centrum[Date on board / Дата погрузки на судно],"",0,1))*1</f>
        <v>45144</v>
      </c>
      <c r="P27" s="8">
        <f>(_xlfn.XLOOKUP($A27,Centrum[Индекс],Centrum[Date of arrival to Sary-Agach/ Дата прибытия на Сары-Агач],"",0,1))*1</f>
        <v>45214</v>
      </c>
      <c r="Q27" s="14" t="str">
        <f>_xlfn.XLOOKUP($A27,Centrum[Индекс],Centrum[Container type/ 
Тип контейнера],"",0,1)</f>
        <v>40'HC</v>
      </c>
      <c r="R27" s="16">
        <f>_xlfn.XLOOKUP($A27,Centrum[Индекс],Centrum[Transportation cost per supplier/ 
Cтоимость перевозки по поставщикам],0,0,1)</f>
        <v>12650</v>
      </c>
      <c r="S27" s="16">
        <f>Шаблон_Формулы!$T27-Шаблон_Формулы!$R27</f>
        <v>0</v>
      </c>
      <c r="T27" s="16">
        <f>_xlfn.XLOOKUP($A27,Centrum[Индекс],Centrum[Transportation total amount / Общая стоимость перевозки],0,0,1)</f>
        <v>12650</v>
      </c>
      <c r="U27" s="12" cm="1">
        <f t="array" ref="U2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7" s="16">
        <f>_xlfn.XLOOKUP(Шаблон_Формулы[[#This Row],[21]],Курс_USD[Дата],Курс_USD[Курс],,0,1)</f>
        <v>12228.05</v>
      </c>
      <c r="W27" s="16">
        <f>Шаблон_Формулы!$T27*Шаблон_Формулы!$V27</f>
        <v>154684832.5</v>
      </c>
      <c r="Y27" s="16">
        <f>Шаблон_Формулы!$W27+Шаблон_Формулы!$X27</f>
        <v>154684832.5</v>
      </c>
      <c r="Z27" s="14" t="str">
        <f>_xlfn.XLOOKUP($A27,Centrum[Индекс],Centrum[Transport co invoice no/ 
Номер инвойса ТК],"",0,1)</f>
        <v>CNT-CKCNRF081-1</v>
      </c>
    </row>
    <row r="28" spans="1:26" s="11" customFormat="1" x14ac:dyDescent="0.3">
      <c r="A28" s="14">
        <v>24</v>
      </c>
      <c r="B28" s="11" t="str">
        <f>_xlfn.XLOOKUP($A28,Centrum[Индекс],Centrum[Carrier/ Перевозчик],"",0,1)</f>
        <v/>
      </c>
      <c r="C28" s="11" t="str">
        <f>_xlfn.XLOOKUP($A28,Centrum[Индекс],Centrum[Country /  Страна],"",0,1)</f>
        <v/>
      </c>
      <c r="D28" s="11" t="str">
        <f>_xlfn.XLOOKUP($A28,Centrum[Индекс],Centrum[Container num./ 
№ контейнера],"",0,1)</f>
        <v/>
      </c>
      <c r="E28" s="11" t="str">
        <f>_xlfn.XLOOKUP($A28,Centrum[Индекс],Centrum[Supplier/
Поставщик],"",0,1)</f>
        <v/>
      </c>
      <c r="F28" s="11" t="str">
        <f>_xlfn.XLOOKUP($A28,Centrum[Индекс],Centrum[Shippers invoice no/ 
Номер инвойса поставщика],"",1)</f>
        <v/>
      </c>
      <c r="G28" s="15" t="str">
        <f>_xlfn.XLOOKUP($A28,Centrum[Индекс],Centrum[Invoice value / Стоимость груза в к-ре по инвойсу],"",0,1)</f>
        <v/>
      </c>
      <c r="H28" s="14" t="s">
        <v>40</v>
      </c>
      <c r="I28" s="11" t="str">
        <f>_xlfn.XLOOKUP($A28,Centrum[Индекс],Centrum[CBM on the shipper/ 
CBM по поставщику],"",0,1)</f>
        <v/>
      </c>
      <c r="J28" s="16" t="str">
        <f>_xlfn.XLOOKUP($A28,Centrum[Индекс],Centrum[Gross weight of cont// 
Гросс.вес по конт.],"",0,1)</f>
        <v/>
      </c>
      <c r="K28" s="17" t="str">
        <f>_xlfn.XLOOKUP($A28,Centrum[Индекс],Centrum[Route/ Маршрут (TSR/TCR)],"",0,1)</f>
        <v/>
      </c>
      <c r="L28" s="11" t="str">
        <f>_xlfn.XLOOKUP($A28,Centrum[Индекс],Centrum[Условия поставки],"",0,1)</f>
        <v/>
      </c>
      <c r="M28" s="11" t="str">
        <f>_xlfn.XLOOKUP($A28,Centrum[Индекс],Centrum[№ HBL date / 
№/ дата коносамента],"",0,1)</f>
        <v/>
      </c>
      <c r="N28" s="11" t="str">
        <f>_xlfn.XLOOKUP($A28,Centrum[Индекс],Centrum[№ MBL / 
№/ коносамента],"",0,1)</f>
        <v/>
      </c>
      <c r="O28" s="8" t="e">
        <f>(_xlfn.XLOOKUP($A28,Centrum[Индекс],Centrum[Date on board / Дата погрузки на судно],"",0,1))*1</f>
        <v>#VALUE!</v>
      </c>
      <c r="P28" s="8" t="e">
        <f>(_xlfn.XLOOKUP($A28,Centrum[Индекс],Centrum[Date of arrival to Sary-Agach/ Дата прибытия на Сары-Агач],"",0,1))*1</f>
        <v>#VALUE!</v>
      </c>
      <c r="Q28" s="14" t="str">
        <f>_xlfn.XLOOKUP($A28,Centrum[Индекс],Centrum[Container type/ 
Тип контейнера],"",0,1)</f>
        <v/>
      </c>
      <c r="R28" s="16">
        <f>_xlfn.XLOOKUP($A28,Centrum[Индекс],Centrum[Transportation cost per supplier/ 
Cтоимость перевозки по поставщикам],0,0,1)</f>
        <v>0</v>
      </c>
      <c r="S28" s="16">
        <f>Шаблон_Формулы!$T28-Шаблон_Формулы!$R28</f>
        <v>0</v>
      </c>
      <c r="T28" s="16">
        <f>_xlfn.XLOOKUP($A28,Centrum[Индекс],Centrum[Transportation total amount / Общая стоимость перевозки],0,0,1)</f>
        <v>0</v>
      </c>
      <c r="U28" s="12" cm="1">
        <f t="array" ref="U2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8" s="16">
        <f>_xlfn.XLOOKUP(Шаблон_Формулы[[#This Row],[21]],Курс_USD[Дата],Курс_USD[Курс],,0,1)</f>
        <v>12228.05</v>
      </c>
      <c r="W28" s="16">
        <f>Шаблон_Формулы!$T28*Шаблон_Формулы!$V28</f>
        <v>0</v>
      </c>
      <c r="Y28" s="16">
        <f>Шаблон_Формулы!$W28+Шаблон_Формулы!$X28</f>
        <v>0</v>
      </c>
      <c r="Z28" s="14" t="str">
        <f>_xlfn.XLOOKUP($A28,Centrum[Индекс],Centrum[Transport co invoice no/ 
Номер инвойса ТК],"",0,1)</f>
        <v/>
      </c>
    </row>
    <row r="29" spans="1:26" s="11" customFormat="1" x14ac:dyDescent="0.3">
      <c r="A29" s="14">
        <v>25</v>
      </c>
      <c r="B29" s="11" t="str">
        <f>_xlfn.XLOOKUP($A29,Centrum[Индекс],Centrum[Carrier/ Перевозчик],"",0,1)</f>
        <v/>
      </c>
      <c r="C29" s="11" t="str">
        <f>_xlfn.XLOOKUP($A29,Centrum[Индекс],Centrum[Country /  Страна],"",0,1)</f>
        <v/>
      </c>
      <c r="D29" s="11" t="str">
        <f>_xlfn.XLOOKUP($A29,Centrum[Индекс],Centrum[Container num./ 
№ контейнера],"",0,1)</f>
        <v/>
      </c>
      <c r="E29" s="11" t="str">
        <f>_xlfn.XLOOKUP($A29,Centrum[Индекс],Centrum[Supplier/
Поставщик],"",0,1)</f>
        <v/>
      </c>
      <c r="F29" s="11" t="str">
        <f>_xlfn.XLOOKUP($A29,Centrum[Индекс],Centrum[Shippers invoice no/ 
Номер инвойса поставщика],"",1)</f>
        <v/>
      </c>
      <c r="G29" s="15" t="str">
        <f>_xlfn.XLOOKUP($A29,Centrum[Индекс],Centrum[Invoice value / Стоимость груза в к-ре по инвойсу],"",0,1)</f>
        <v/>
      </c>
      <c r="H29" s="14" t="s">
        <v>40</v>
      </c>
      <c r="I29" s="11" t="str">
        <f>_xlfn.XLOOKUP($A29,Centrum[Индекс],Centrum[CBM on the shipper/ 
CBM по поставщику],"",0,1)</f>
        <v/>
      </c>
      <c r="J29" s="16" t="str">
        <f>_xlfn.XLOOKUP($A29,Centrum[Индекс],Centrum[Gross weight of cont// 
Гросс.вес по конт.],"",0,1)</f>
        <v/>
      </c>
      <c r="K29" s="17" t="str">
        <f>_xlfn.XLOOKUP($A29,Centrum[Индекс],Centrum[Route/ Маршрут (TSR/TCR)],"",0,1)</f>
        <v/>
      </c>
      <c r="L29" s="11" t="str">
        <f>_xlfn.XLOOKUP($A29,Centrum[Индекс],Centrum[Условия поставки],"",0,1)</f>
        <v/>
      </c>
      <c r="M29" s="11" t="str">
        <f>_xlfn.XLOOKUP($A29,Centrum[Индекс],Centrum[№ HBL date / 
№/ дата коносамента],"",0,1)</f>
        <v/>
      </c>
      <c r="N29" s="11" t="str">
        <f>_xlfn.XLOOKUP($A29,Centrum[Индекс],Centrum[№ MBL / 
№/ коносамента],"",0,1)</f>
        <v/>
      </c>
      <c r="O29" s="8" t="e">
        <f>(_xlfn.XLOOKUP($A29,Centrum[Индекс],Centrum[Date on board / Дата погрузки на судно],"",0,1))*1</f>
        <v>#VALUE!</v>
      </c>
      <c r="P29" s="8" t="e">
        <f>(_xlfn.XLOOKUP($A29,Centrum[Индекс],Centrum[Date of arrival to Sary-Agach/ Дата прибытия на Сары-Агач],"",0,1))*1</f>
        <v>#VALUE!</v>
      </c>
      <c r="Q29" s="14" t="str">
        <f>_xlfn.XLOOKUP($A29,Centrum[Индекс],Centrum[Container type/ 
Тип контейнера],"",0,1)</f>
        <v/>
      </c>
      <c r="R29" s="16">
        <f>_xlfn.XLOOKUP($A29,Centrum[Индекс],Centrum[Transportation cost per supplier/ 
Cтоимость перевозки по поставщикам],0,0,1)</f>
        <v>0</v>
      </c>
      <c r="S29" s="16">
        <f>Шаблон_Формулы!$T29-Шаблон_Формулы!$R29</f>
        <v>0</v>
      </c>
      <c r="T29" s="16">
        <f>_xlfn.XLOOKUP($A29,Centrum[Индекс],Centrum[Transportation total amount / Общая стоимость перевозки],0,0,1)</f>
        <v>0</v>
      </c>
      <c r="U29" s="12" cm="1">
        <f t="array" ref="U2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29" s="16">
        <f>_xlfn.XLOOKUP(Шаблон_Формулы[[#This Row],[21]],Курс_USD[Дата],Курс_USD[Курс],,0,1)</f>
        <v>12228.05</v>
      </c>
      <c r="W29" s="16">
        <f>Шаблон_Формулы!$T29*Шаблон_Формулы!$V29</f>
        <v>0</v>
      </c>
      <c r="Y29" s="16">
        <f>Шаблон_Формулы!$W29+Шаблон_Формулы!$X29</f>
        <v>0</v>
      </c>
      <c r="Z29" s="14" t="str">
        <f>_xlfn.XLOOKUP($A29,Centrum[Индекс],Centrum[Transport co invoice no/ 
Номер инвойса ТК],"",0,1)</f>
        <v/>
      </c>
    </row>
    <row r="30" spans="1:26" s="11" customFormat="1" x14ac:dyDescent="0.3">
      <c r="A30" s="14">
        <v>26</v>
      </c>
      <c r="B30" s="11" t="str">
        <f>_xlfn.XLOOKUP($A30,Centrum[Индекс],Centrum[Carrier/ Перевозчик],"",0,1)</f>
        <v/>
      </c>
      <c r="C30" s="11" t="str">
        <f>_xlfn.XLOOKUP($A30,Centrum[Индекс],Centrum[Country /  Страна],"",0,1)</f>
        <v/>
      </c>
      <c r="D30" s="11" t="str">
        <f>_xlfn.XLOOKUP($A30,Centrum[Индекс],Centrum[Container num./ 
№ контейнера],"",0,1)</f>
        <v/>
      </c>
      <c r="E30" s="11" t="str">
        <f>_xlfn.XLOOKUP($A30,Centrum[Индекс],Centrum[Supplier/
Поставщик],"",0,1)</f>
        <v/>
      </c>
      <c r="F30" s="11" t="str">
        <f>_xlfn.XLOOKUP($A30,Centrum[Индекс],Centrum[Shippers invoice no/ 
Номер инвойса поставщика],"",1)</f>
        <v/>
      </c>
      <c r="G30" s="15" t="str">
        <f>_xlfn.XLOOKUP($A30,Centrum[Индекс],Centrum[Invoice value / Стоимость груза в к-ре по инвойсу],"",0,1)</f>
        <v/>
      </c>
      <c r="H30" s="14" t="s">
        <v>40</v>
      </c>
      <c r="I30" s="11" t="str">
        <f>_xlfn.XLOOKUP($A30,Centrum[Индекс],Centrum[CBM on the shipper/ 
CBM по поставщику],"",0,1)</f>
        <v/>
      </c>
      <c r="J30" s="16" t="str">
        <f>_xlfn.XLOOKUP($A30,Centrum[Индекс],Centrum[Gross weight of cont// 
Гросс.вес по конт.],"",0,1)</f>
        <v/>
      </c>
      <c r="K30" s="17" t="str">
        <f>_xlfn.XLOOKUP($A30,Centrum[Индекс],Centrum[Route/ Маршрут (TSR/TCR)],"",0,1)</f>
        <v/>
      </c>
      <c r="L30" s="11" t="str">
        <f>_xlfn.XLOOKUP($A30,Centrum[Индекс],Centrum[Условия поставки],"",0,1)</f>
        <v/>
      </c>
      <c r="M30" s="11" t="str">
        <f>_xlfn.XLOOKUP($A30,Centrum[Индекс],Centrum[№ HBL date / 
№/ дата коносамента],"",0,1)</f>
        <v/>
      </c>
      <c r="N30" s="11" t="str">
        <f>_xlfn.XLOOKUP($A30,Centrum[Индекс],Centrum[№ MBL / 
№/ коносамента],"",0,1)</f>
        <v/>
      </c>
      <c r="O30" s="8" t="e">
        <f>(_xlfn.XLOOKUP($A30,Centrum[Индекс],Centrum[Date on board / Дата погрузки на судно],"",0,1))*1</f>
        <v>#VALUE!</v>
      </c>
      <c r="P30" s="8" t="e">
        <f>(_xlfn.XLOOKUP($A30,Centrum[Индекс],Centrum[Date of arrival to Sary-Agach/ Дата прибытия на Сары-Агач],"",0,1))*1</f>
        <v>#VALUE!</v>
      </c>
      <c r="Q30" s="14" t="str">
        <f>_xlfn.XLOOKUP($A30,Centrum[Индекс],Centrum[Container type/ 
Тип контейнера],"",0,1)</f>
        <v/>
      </c>
      <c r="R30" s="16">
        <f>_xlfn.XLOOKUP($A30,Centrum[Индекс],Centrum[Transportation cost per supplier/ 
Cтоимость перевозки по поставщикам],0,0,1)</f>
        <v>0</v>
      </c>
      <c r="S30" s="16">
        <f>Шаблон_Формулы!$T30-Шаблон_Формулы!$R30</f>
        <v>0</v>
      </c>
      <c r="T30" s="16">
        <f>_xlfn.XLOOKUP($A30,Centrum[Индекс],Centrum[Transportation total amount / Общая стоимость перевозки],0,0,1)</f>
        <v>0</v>
      </c>
      <c r="U30" s="12" cm="1">
        <f t="array" ref="U3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0" s="16">
        <f>_xlfn.XLOOKUP(Шаблон_Формулы[[#This Row],[21]],Курс_USD[Дата],Курс_USD[Курс],,0,1)</f>
        <v>12228.05</v>
      </c>
      <c r="W30" s="16">
        <f>Шаблон_Формулы!$T30*Шаблон_Формулы!$V30</f>
        <v>0</v>
      </c>
      <c r="Y30" s="16">
        <f>Шаблон_Формулы!$W30+Шаблон_Формулы!$X30</f>
        <v>0</v>
      </c>
      <c r="Z30" s="14" t="str">
        <f>_xlfn.XLOOKUP($A30,Centrum[Индекс],Centrum[Transport co invoice no/ 
Номер инвойса ТК],"",0,1)</f>
        <v/>
      </c>
    </row>
    <row r="31" spans="1:26" s="11" customFormat="1" x14ac:dyDescent="0.3">
      <c r="A31" s="14">
        <v>27</v>
      </c>
      <c r="B31" s="11" t="str">
        <f>_xlfn.XLOOKUP($A31,Centrum[Индекс],Centrum[Carrier/ Перевозчик],"",0,1)</f>
        <v/>
      </c>
      <c r="C31" s="11" t="str">
        <f>_xlfn.XLOOKUP($A31,Centrum[Индекс],Centrum[Country /  Страна],"",0,1)</f>
        <v/>
      </c>
      <c r="D31" s="11" t="str">
        <f>_xlfn.XLOOKUP($A31,Centrum[Индекс],Centrum[Container num./ 
№ контейнера],"",0,1)</f>
        <v/>
      </c>
      <c r="E31" s="11" t="str">
        <f>_xlfn.XLOOKUP($A31,Centrum[Индекс],Centrum[Supplier/
Поставщик],"",0,1)</f>
        <v/>
      </c>
      <c r="F31" s="11" t="str">
        <f>_xlfn.XLOOKUP($A31,Centrum[Индекс],Centrum[Shippers invoice no/ 
Номер инвойса поставщика],"",1)</f>
        <v/>
      </c>
      <c r="G31" s="15" t="str">
        <f>_xlfn.XLOOKUP($A31,Centrum[Индекс],Centrum[Invoice value / Стоимость груза в к-ре по инвойсу],"",0,1)</f>
        <v/>
      </c>
      <c r="H31" s="14" t="s">
        <v>40</v>
      </c>
      <c r="I31" s="11" t="str">
        <f>_xlfn.XLOOKUP($A31,Centrum[Индекс],Centrum[CBM on the shipper/ 
CBM по поставщику],"",0,1)</f>
        <v/>
      </c>
      <c r="J31" s="16" t="str">
        <f>_xlfn.XLOOKUP($A31,Centrum[Индекс],Centrum[Gross weight of cont// 
Гросс.вес по конт.],"",0,1)</f>
        <v/>
      </c>
      <c r="K31" s="17" t="str">
        <f>_xlfn.XLOOKUP($A31,Centrum[Индекс],Centrum[Route/ Маршрут (TSR/TCR)],"",0,1)</f>
        <v/>
      </c>
      <c r="L31" s="11" t="str">
        <f>_xlfn.XLOOKUP($A31,Centrum[Индекс],Centrum[Условия поставки],"",0,1)</f>
        <v/>
      </c>
      <c r="M31" s="11" t="str">
        <f>_xlfn.XLOOKUP($A31,Centrum[Индекс],Centrum[№ HBL date / 
№/ дата коносамента],"",0,1)</f>
        <v/>
      </c>
      <c r="N31" s="11" t="str">
        <f>_xlfn.XLOOKUP($A31,Centrum[Индекс],Centrum[№ MBL / 
№/ коносамента],"",0,1)</f>
        <v/>
      </c>
      <c r="O31" s="8" t="e">
        <f>(_xlfn.XLOOKUP($A31,Centrum[Индекс],Centrum[Date on board / Дата погрузки на судно],"",0,1))*1</f>
        <v>#VALUE!</v>
      </c>
      <c r="P31" s="8" t="e">
        <f>(_xlfn.XLOOKUP($A31,Centrum[Индекс],Centrum[Date of arrival to Sary-Agach/ Дата прибытия на Сары-Агач],"",0,1))*1</f>
        <v>#VALUE!</v>
      </c>
      <c r="Q31" s="14" t="str">
        <f>_xlfn.XLOOKUP($A31,Centrum[Индекс],Centrum[Container type/ 
Тип контейнера],"",0,1)</f>
        <v/>
      </c>
      <c r="R31" s="16">
        <f>_xlfn.XLOOKUP($A31,Centrum[Индекс],Centrum[Transportation cost per supplier/ 
Cтоимость перевозки по поставщикам],0,0,1)</f>
        <v>0</v>
      </c>
      <c r="S31" s="16">
        <f>Шаблон_Формулы!$T31-Шаблон_Формулы!$R31</f>
        <v>0</v>
      </c>
      <c r="T31" s="16">
        <f>_xlfn.XLOOKUP($A31,Centrum[Индекс],Centrum[Transportation total amount / Общая стоимость перевозки],0,0,1)</f>
        <v>0</v>
      </c>
      <c r="U31" s="12" cm="1">
        <f t="array" ref="U3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1" s="16">
        <f>_xlfn.XLOOKUP(Шаблон_Формулы[[#This Row],[21]],Курс_USD[Дата],Курс_USD[Курс],,0,1)</f>
        <v>12228.05</v>
      </c>
      <c r="W31" s="16">
        <f>Шаблон_Формулы!$T31*Шаблон_Формулы!$V31</f>
        <v>0</v>
      </c>
      <c r="Y31" s="16">
        <f>Шаблон_Формулы!$W31+Шаблон_Формулы!$X31</f>
        <v>0</v>
      </c>
      <c r="Z31" s="14" t="str">
        <f>_xlfn.XLOOKUP($A31,Centrum[Индекс],Centrum[Transport co invoice no/ 
Номер инвойса ТК],"",0,1)</f>
        <v/>
      </c>
    </row>
    <row r="32" spans="1:26" s="11" customFormat="1" x14ac:dyDescent="0.3">
      <c r="A32" s="14">
        <v>28</v>
      </c>
      <c r="B32" s="11" t="str">
        <f>_xlfn.XLOOKUP($A32,Centrum[Индекс],Centrum[Carrier/ Перевозчик],"",0,1)</f>
        <v/>
      </c>
      <c r="C32" s="11" t="str">
        <f>_xlfn.XLOOKUP($A32,Centrum[Индекс],Centrum[Country /  Страна],"",0,1)</f>
        <v/>
      </c>
      <c r="D32" s="11" t="str">
        <f>_xlfn.XLOOKUP($A32,Centrum[Индекс],Centrum[Container num./ 
№ контейнера],"",0,1)</f>
        <v/>
      </c>
      <c r="E32" s="11" t="str">
        <f>_xlfn.XLOOKUP($A32,Centrum[Индекс],Centrum[Supplier/
Поставщик],"",0,1)</f>
        <v/>
      </c>
      <c r="F32" s="11" t="str">
        <f>_xlfn.XLOOKUP($A32,Centrum[Индекс],Centrum[Shippers invoice no/ 
Номер инвойса поставщика],"",1)</f>
        <v/>
      </c>
      <c r="G32" s="15" t="str">
        <f>_xlfn.XLOOKUP($A32,Centrum[Индекс],Centrum[Invoice value / Стоимость груза в к-ре по инвойсу],"",0,1)</f>
        <v/>
      </c>
      <c r="H32" s="14" t="s">
        <v>40</v>
      </c>
      <c r="I32" s="11" t="str">
        <f>_xlfn.XLOOKUP($A32,Centrum[Индекс],Centrum[CBM on the shipper/ 
CBM по поставщику],"",0,1)</f>
        <v/>
      </c>
      <c r="J32" s="16" t="str">
        <f>_xlfn.XLOOKUP($A32,Centrum[Индекс],Centrum[Gross weight of cont// 
Гросс.вес по конт.],"",0,1)</f>
        <v/>
      </c>
      <c r="K32" s="17" t="str">
        <f>_xlfn.XLOOKUP($A32,Centrum[Индекс],Centrum[Route/ Маршрут (TSR/TCR)],"",0,1)</f>
        <v/>
      </c>
      <c r="L32" s="11" t="str">
        <f>_xlfn.XLOOKUP($A32,Centrum[Индекс],Centrum[Условия поставки],"",0,1)</f>
        <v/>
      </c>
      <c r="M32" s="11" t="str">
        <f>_xlfn.XLOOKUP($A32,Centrum[Индекс],Centrum[№ HBL date / 
№/ дата коносамента],"",0,1)</f>
        <v/>
      </c>
      <c r="N32" s="11" t="str">
        <f>_xlfn.XLOOKUP($A32,Centrum[Индекс],Centrum[№ MBL / 
№/ коносамента],"",0,1)</f>
        <v/>
      </c>
      <c r="O32" s="8" t="e">
        <f>(_xlfn.XLOOKUP($A32,Centrum[Индекс],Centrum[Date on board / Дата погрузки на судно],"",0,1))*1</f>
        <v>#VALUE!</v>
      </c>
      <c r="P32" s="8" t="e">
        <f>(_xlfn.XLOOKUP($A32,Centrum[Индекс],Centrum[Date of arrival to Sary-Agach/ Дата прибытия на Сары-Агач],"",0,1))*1</f>
        <v>#VALUE!</v>
      </c>
      <c r="Q32" s="14" t="str">
        <f>_xlfn.XLOOKUP($A32,Centrum[Индекс],Centrum[Container type/ 
Тип контейнера],"",0,1)</f>
        <v/>
      </c>
      <c r="R32" s="16">
        <f>_xlfn.XLOOKUP($A32,Centrum[Индекс],Centrum[Transportation cost per supplier/ 
Cтоимость перевозки по поставщикам],0,0,1)</f>
        <v>0</v>
      </c>
      <c r="S32" s="16">
        <f>Шаблон_Формулы!$T32-Шаблон_Формулы!$R32</f>
        <v>0</v>
      </c>
      <c r="T32" s="16">
        <f>_xlfn.XLOOKUP($A32,Centrum[Индекс],Centrum[Transportation total amount / Общая стоимость перевозки],0,0,1)</f>
        <v>0</v>
      </c>
      <c r="U32" s="12" cm="1">
        <f t="array" ref="U3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2" s="16">
        <f>_xlfn.XLOOKUP(Шаблон_Формулы[[#This Row],[21]],Курс_USD[Дата],Курс_USD[Курс],,0,1)</f>
        <v>12228.05</v>
      </c>
      <c r="W32" s="16">
        <f>Шаблон_Формулы!$T32*Шаблон_Формулы!$V32</f>
        <v>0</v>
      </c>
      <c r="Y32" s="16">
        <f>Шаблон_Формулы!$W32+Шаблон_Формулы!$X32</f>
        <v>0</v>
      </c>
      <c r="Z32" s="14" t="str">
        <f>_xlfn.XLOOKUP($A32,Centrum[Индекс],Centrum[Transport co invoice no/ 
Номер инвойса ТК],"",0,1)</f>
        <v/>
      </c>
    </row>
    <row r="33" spans="1:26" s="11" customFormat="1" x14ac:dyDescent="0.3">
      <c r="A33" s="14">
        <v>29</v>
      </c>
      <c r="B33" s="11" t="str">
        <f>_xlfn.XLOOKUP($A33,Centrum[Индекс],Centrum[Carrier/ Перевозчик],"",0,1)</f>
        <v/>
      </c>
      <c r="C33" s="11" t="str">
        <f>_xlfn.XLOOKUP($A33,Centrum[Индекс],Centrum[Country /  Страна],"",0,1)</f>
        <v/>
      </c>
      <c r="D33" s="11" t="str">
        <f>_xlfn.XLOOKUP($A33,Centrum[Индекс],Centrum[Container num./ 
№ контейнера],"",0,1)</f>
        <v/>
      </c>
      <c r="E33" s="11" t="str">
        <f>_xlfn.XLOOKUP($A33,Centrum[Индекс],Centrum[Supplier/
Поставщик],"",0,1)</f>
        <v/>
      </c>
      <c r="F33" s="11" t="str">
        <f>_xlfn.XLOOKUP($A33,Centrum[Индекс],Centrum[Shippers invoice no/ 
Номер инвойса поставщика],"",1)</f>
        <v/>
      </c>
      <c r="G33" s="15" t="str">
        <f>_xlfn.XLOOKUP($A33,Centrum[Индекс],Centrum[Invoice value / Стоимость груза в к-ре по инвойсу],"",0,1)</f>
        <v/>
      </c>
      <c r="H33" s="14" t="s">
        <v>40</v>
      </c>
      <c r="I33" s="11" t="str">
        <f>_xlfn.XLOOKUP($A33,Centrum[Индекс],Centrum[CBM on the shipper/ 
CBM по поставщику],"",0,1)</f>
        <v/>
      </c>
      <c r="J33" s="16" t="str">
        <f>_xlfn.XLOOKUP($A33,Centrum[Индекс],Centrum[Gross weight of cont// 
Гросс.вес по конт.],"",0,1)</f>
        <v/>
      </c>
      <c r="K33" s="17" t="str">
        <f>_xlfn.XLOOKUP($A33,Centrum[Индекс],Centrum[Route/ Маршрут (TSR/TCR)],"",0,1)</f>
        <v/>
      </c>
      <c r="L33" s="11" t="str">
        <f>_xlfn.XLOOKUP($A33,Centrum[Индекс],Centrum[Условия поставки],"",0,1)</f>
        <v/>
      </c>
      <c r="M33" s="11" t="str">
        <f>_xlfn.XLOOKUP($A33,Centrum[Индекс],Centrum[№ HBL date / 
№/ дата коносамента],"",0,1)</f>
        <v/>
      </c>
      <c r="N33" s="11" t="str">
        <f>_xlfn.XLOOKUP($A33,Centrum[Индекс],Centrum[№ MBL / 
№/ коносамента],"",0,1)</f>
        <v/>
      </c>
      <c r="O33" s="8" t="e">
        <f>(_xlfn.XLOOKUP($A33,Centrum[Индекс],Centrum[Date on board / Дата погрузки на судно],"",0,1))*1</f>
        <v>#VALUE!</v>
      </c>
      <c r="P33" s="8" t="e">
        <f>(_xlfn.XLOOKUP($A33,Centrum[Индекс],Centrum[Date of arrival to Sary-Agach/ Дата прибытия на Сары-Агач],"",0,1))*1</f>
        <v>#VALUE!</v>
      </c>
      <c r="Q33" s="14" t="str">
        <f>_xlfn.XLOOKUP($A33,Centrum[Индекс],Centrum[Container type/ 
Тип контейнера],"",0,1)</f>
        <v/>
      </c>
      <c r="R33" s="16">
        <f>_xlfn.XLOOKUP($A33,Centrum[Индекс],Centrum[Transportation cost per supplier/ 
Cтоимость перевозки по поставщикам],0,0,1)</f>
        <v>0</v>
      </c>
      <c r="S33" s="16">
        <f>Шаблон_Формулы!$T33-Шаблон_Формулы!$R33</f>
        <v>0</v>
      </c>
      <c r="T33" s="16">
        <f>_xlfn.XLOOKUP($A33,Centrum[Индекс],Centrum[Transportation total amount / Общая стоимость перевозки],0,0,1)</f>
        <v>0</v>
      </c>
      <c r="U33" s="12" cm="1">
        <f t="array" ref="U3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3" s="16">
        <f>_xlfn.XLOOKUP(Шаблон_Формулы[[#This Row],[21]],Курс_USD[Дата],Курс_USD[Курс],,0,1)</f>
        <v>12228.05</v>
      </c>
      <c r="W33" s="16">
        <f>Шаблон_Формулы!$T33*Шаблон_Формулы!$V33</f>
        <v>0</v>
      </c>
      <c r="Y33" s="16">
        <f>Шаблон_Формулы!$W33+Шаблон_Формулы!$X33</f>
        <v>0</v>
      </c>
      <c r="Z33" s="14" t="str">
        <f>_xlfn.XLOOKUP($A33,Centrum[Индекс],Centrum[Transport co invoice no/ 
Номер инвойса ТК],"",0,1)</f>
        <v/>
      </c>
    </row>
    <row r="34" spans="1:26" s="11" customFormat="1" x14ac:dyDescent="0.3">
      <c r="A34" s="14">
        <v>30</v>
      </c>
      <c r="B34" s="11" t="str">
        <f>_xlfn.XLOOKUP($A34,Centrum[Индекс],Centrum[Carrier/ Перевозчик],"",0,1)</f>
        <v/>
      </c>
      <c r="C34" s="11" t="str">
        <f>_xlfn.XLOOKUP($A34,Centrum[Индекс],Centrum[Country /  Страна],"",0,1)</f>
        <v/>
      </c>
      <c r="D34" s="11" t="str">
        <f>_xlfn.XLOOKUP($A34,Centrum[Индекс],Centrum[Container num./ 
№ контейнера],"",0,1)</f>
        <v/>
      </c>
      <c r="E34" s="11" t="str">
        <f>_xlfn.XLOOKUP($A34,Centrum[Индекс],Centrum[Supplier/
Поставщик],"",0,1)</f>
        <v/>
      </c>
      <c r="F34" s="11" t="str">
        <f>_xlfn.XLOOKUP($A34,Centrum[Индекс],Centrum[Shippers invoice no/ 
Номер инвойса поставщика],"",1)</f>
        <v/>
      </c>
      <c r="G34" s="15" t="str">
        <f>_xlfn.XLOOKUP($A34,Centrum[Индекс],Centrum[Invoice value / Стоимость груза в к-ре по инвойсу],"",0,1)</f>
        <v/>
      </c>
      <c r="H34" s="14" t="s">
        <v>40</v>
      </c>
      <c r="I34" s="11" t="str">
        <f>_xlfn.XLOOKUP($A34,Centrum[Индекс],Centrum[CBM on the shipper/ 
CBM по поставщику],"",0,1)</f>
        <v/>
      </c>
      <c r="J34" s="16" t="str">
        <f>_xlfn.XLOOKUP($A34,Centrum[Индекс],Centrum[Gross weight of cont// 
Гросс.вес по конт.],"",0,1)</f>
        <v/>
      </c>
      <c r="K34" s="17" t="str">
        <f>_xlfn.XLOOKUP($A34,Centrum[Индекс],Centrum[Route/ Маршрут (TSR/TCR)],"",0,1)</f>
        <v/>
      </c>
      <c r="L34" s="11" t="str">
        <f>_xlfn.XLOOKUP($A34,Centrum[Индекс],Centrum[Условия поставки],"",0,1)</f>
        <v/>
      </c>
      <c r="M34" s="11" t="str">
        <f>_xlfn.XLOOKUP($A34,Centrum[Индекс],Centrum[№ HBL date / 
№/ дата коносамента],"",0,1)</f>
        <v/>
      </c>
      <c r="N34" s="11" t="str">
        <f>_xlfn.XLOOKUP($A34,Centrum[Индекс],Centrum[№ MBL / 
№/ коносамента],"",0,1)</f>
        <v/>
      </c>
      <c r="O34" s="8" t="e">
        <f>(_xlfn.XLOOKUP($A34,Centrum[Индекс],Centrum[Date on board / Дата погрузки на судно],"",0,1))*1</f>
        <v>#VALUE!</v>
      </c>
      <c r="P34" s="8" t="e">
        <f>(_xlfn.XLOOKUP($A34,Centrum[Индекс],Centrum[Date of arrival to Sary-Agach/ Дата прибытия на Сары-Агач],"",0,1))*1</f>
        <v>#VALUE!</v>
      </c>
      <c r="Q34" s="14" t="str">
        <f>_xlfn.XLOOKUP($A34,Centrum[Индекс],Centrum[Container type/ 
Тип контейнера],"",0,1)</f>
        <v/>
      </c>
      <c r="R34" s="16">
        <f>_xlfn.XLOOKUP($A34,Centrum[Индекс],Centrum[Transportation cost per supplier/ 
Cтоимость перевозки по поставщикам],0,0,1)</f>
        <v>0</v>
      </c>
      <c r="S34" s="16">
        <f>Шаблон_Формулы!$T34-Шаблон_Формулы!$R34</f>
        <v>0</v>
      </c>
      <c r="T34" s="16">
        <f>_xlfn.XLOOKUP($A34,Centrum[Индекс],Centrum[Transportation total amount / Общая стоимость перевозки],0,0,1)</f>
        <v>0</v>
      </c>
      <c r="U34" s="12" cm="1">
        <f t="array" ref="U3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4" s="16">
        <f>_xlfn.XLOOKUP(Шаблон_Формулы[[#This Row],[21]],Курс_USD[Дата],Курс_USD[Курс],,0,1)</f>
        <v>12228.05</v>
      </c>
      <c r="W34" s="16">
        <f>Шаблон_Формулы!$T34*Шаблон_Формулы!$V34</f>
        <v>0</v>
      </c>
      <c r="Y34" s="16">
        <f>Шаблон_Формулы!$W34+Шаблон_Формулы!$X34</f>
        <v>0</v>
      </c>
      <c r="Z34" s="14" t="str">
        <f>_xlfn.XLOOKUP($A34,Centrum[Индекс],Centrum[Transport co invoice no/ 
Номер инвойса ТК],"",0,1)</f>
        <v/>
      </c>
    </row>
    <row r="35" spans="1:26" s="11" customFormat="1" x14ac:dyDescent="0.3">
      <c r="A35" s="14">
        <v>31</v>
      </c>
      <c r="B35" s="11" t="str">
        <f>_xlfn.XLOOKUP($A35,Centrum[Индекс],Centrum[Carrier/ Перевозчик],"",0,1)</f>
        <v/>
      </c>
      <c r="C35" s="11" t="str">
        <f>_xlfn.XLOOKUP($A35,Centrum[Индекс],Centrum[Country /  Страна],"",0,1)</f>
        <v/>
      </c>
      <c r="D35" s="11" t="str">
        <f>_xlfn.XLOOKUP($A35,Centrum[Индекс],Centrum[Container num./ 
№ контейнера],"",0,1)</f>
        <v/>
      </c>
      <c r="E35" s="11" t="str">
        <f>_xlfn.XLOOKUP($A35,Centrum[Индекс],Centrum[Supplier/
Поставщик],"",0,1)</f>
        <v/>
      </c>
      <c r="F35" s="11" t="str">
        <f>_xlfn.XLOOKUP($A35,Centrum[Индекс],Centrum[Shippers invoice no/ 
Номер инвойса поставщика],"",1)</f>
        <v/>
      </c>
      <c r="G35" s="15" t="str">
        <f>_xlfn.XLOOKUP($A35,Centrum[Индекс],Centrum[Invoice value / Стоимость груза в к-ре по инвойсу],"",0,1)</f>
        <v/>
      </c>
      <c r="H35" s="14" t="s">
        <v>40</v>
      </c>
      <c r="I35" s="11" t="str">
        <f>_xlfn.XLOOKUP($A35,Centrum[Индекс],Centrum[CBM on the shipper/ 
CBM по поставщику],"",0,1)</f>
        <v/>
      </c>
      <c r="J35" s="16" t="str">
        <f>_xlfn.XLOOKUP($A35,Centrum[Индекс],Centrum[Gross weight of cont// 
Гросс.вес по конт.],"",0,1)</f>
        <v/>
      </c>
      <c r="K35" s="17" t="str">
        <f>_xlfn.XLOOKUP($A35,Centrum[Индекс],Centrum[Route/ Маршрут (TSR/TCR)],"",0,1)</f>
        <v/>
      </c>
      <c r="L35" s="11" t="str">
        <f>_xlfn.XLOOKUP($A35,Centrum[Индекс],Centrum[Условия поставки],"",0,1)</f>
        <v/>
      </c>
      <c r="M35" s="11" t="str">
        <f>_xlfn.XLOOKUP($A35,Centrum[Индекс],Centrum[№ HBL date / 
№/ дата коносамента],"",0,1)</f>
        <v/>
      </c>
      <c r="N35" s="11" t="str">
        <f>_xlfn.XLOOKUP($A35,Centrum[Индекс],Centrum[№ MBL / 
№/ коносамента],"",0,1)</f>
        <v/>
      </c>
      <c r="O35" s="8" t="e">
        <f>(_xlfn.XLOOKUP($A35,Centrum[Индекс],Centrum[Date on board / Дата погрузки на судно],"",0,1))*1</f>
        <v>#VALUE!</v>
      </c>
      <c r="P35" s="8" t="e">
        <f>(_xlfn.XLOOKUP($A35,Centrum[Индекс],Centrum[Date of arrival to Sary-Agach/ Дата прибытия на Сары-Агач],"",0,1))*1</f>
        <v>#VALUE!</v>
      </c>
      <c r="Q35" s="14" t="str">
        <f>_xlfn.XLOOKUP($A35,Centrum[Индекс],Centrum[Container type/ 
Тип контейнера],"",0,1)</f>
        <v/>
      </c>
      <c r="R35" s="16">
        <f>_xlfn.XLOOKUP($A35,Centrum[Индекс],Centrum[Transportation cost per supplier/ 
Cтоимость перевозки по поставщикам],0,0,1)</f>
        <v>0</v>
      </c>
      <c r="S35" s="16">
        <f>Шаблон_Формулы!$T35-Шаблон_Формулы!$R35</f>
        <v>0</v>
      </c>
      <c r="T35" s="16">
        <f>_xlfn.XLOOKUP($A35,Centrum[Индекс],Centrum[Transportation total amount / Общая стоимость перевозки],0,0,1)</f>
        <v>0</v>
      </c>
      <c r="U35" s="12" cm="1">
        <f t="array" ref="U3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5" s="16">
        <f>_xlfn.XLOOKUP(Шаблон_Формулы[[#This Row],[21]],Курс_USD[Дата],Курс_USD[Курс],,0,1)</f>
        <v>12228.05</v>
      </c>
      <c r="W35" s="16">
        <f>Шаблон_Формулы!$T35*Шаблон_Формулы!$V35</f>
        <v>0</v>
      </c>
      <c r="Y35" s="16">
        <f>Шаблон_Формулы!$W35+Шаблон_Формулы!$X35</f>
        <v>0</v>
      </c>
      <c r="Z35" s="14" t="str">
        <f>_xlfn.XLOOKUP($A35,Centrum[Индекс],Centrum[Transport co invoice no/ 
Номер инвойса ТК],"",0,1)</f>
        <v/>
      </c>
    </row>
    <row r="36" spans="1:26" s="11" customFormat="1" x14ac:dyDescent="0.3">
      <c r="A36" s="14">
        <v>32</v>
      </c>
      <c r="B36" s="11" t="str">
        <f>_xlfn.XLOOKUP($A36,Centrum[Индекс],Centrum[Carrier/ Перевозчик],"",0,1)</f>
        <v/>
      </c>
      <c r="C36" s="11" t="str">
        <f>_xlfn.XLOOKUP($A36,Centrum[Индекс],Centrum[Country /  Страна],"",0,1)</f>
        <v/>
      </c>
      <c r="D36" s="11" t="str">
        <f>_xlfn.XLOOKUP($A36,Centrum[Индекс],Centrum[Container num./ 
№ контейнера],"",0,1)</f>
        <v/>
      </c>
      <c r="E36" s="11" t="str">
        <f>_xlfn.XLOOKUP($A36,Centrum[Индекс],Centrum[Supplier/
Поставщик],"",0,1)</f>
        <v/>
      </c>
      <c r="F36" s="11" t="str">
        <f>_xlfn.XLOOKUP($A36,Centrum[Индекс],Centrum[Shippers invoice no/ 
Номер инвойса поставщика],"",1)</f>
        <v/>
      </c>
      <c r="G36" s="15" t="str">
        <f>_xlfn.XLOOKUP($A36,Centrum[Индекс],Centrum[Invoice value / Стоимость груза в к-ре по инвойсу],"",0,1)</f>
        <v/>
      </c>
      <c r="H36" s="14" t="s">
        <v>40</v>
      </c>
      <c r="I36" s="11" t="str">
        <f>_xlfn.XLOOKUP($A36,Centrum[Индекс],Centrum[CBM on the shipper/ 
CBM по поставщику],"",0,1)</f>
        <v/>
      </c>
      <c r="J36" s="16" t="str">
        <f>_xlfn.XLOOKUP($A36,Centrum[Индекс],Centrum[Gross weight of cont// 
Гросс.вес по конт.],"",0,1)</f>
        <v/>
      </c>
      <c r="K36" s="17" t="str">
        <f>_xlfn.XLOOKUP($A36,Centrum[Индекс],Centrum[Route/ Маршрут (TSR/TCR)],"",0,1)</f>
        <v/>
      </c>
      <c r="L36" s="11" t="str">
        <f>_xlfn.XLOOKUP($A36,Centrum[Индекс],Centrum[Условия поставки],"",0,1)</f>
        <v/>
      </c>
      <c r="M36" s="11" t="str">
        <f>_xlfn.XLOOKUP($A36,Centrum[Индекс],Centrum[№ HBL date / 
№/ дата коносамента],"",0,1)</f>
        <v/>
      </c>
      <c r="N36" s="11" t="str">
        <f>_xlfn.XLOOKUP($A36,Centrum[Индекс],Centrum[№ MBL / 
№/ коносамента],"",0,1)</f>
        <v/>
      </c>
      <c r="O36" s="8" t="e">
        <f>(_xlfn.XLOOKUP($A36,Centrum[Индекс],Centrum[Date on board / Дата погрузки на судно],"",0,1))*1</f>
        <v>#VALUE!</v>
      </c>
      <c r="P36" s="8" t="e">
        <f>(_xlfn.XLOOKUP($A36,Centrum[Индекс],Centrum[Date of arrival to Sary-Agach/ Дата прибытия на Сары-Агач],"",0,1))*1</f>
        <v>#VALUE!</v>
      </c>
      <c r="Q36" s="14" t="str">
        <f>_xlfn.XLOOKUP($A36,Centrum[Индекс],Centrum[Container type/ 
Тип контейнера],"",0,1)</f>
        <v/>
      </c>
      <c r="R36" s="16">
        <f>_xlfn.XLOOKUP($A36,Centrum[Индекс],Centrum[Transportation cost per supplier/ 
Cтоимость перевозки по поставщикам],0,0,1)</f>
        <v>0</v>
      </c>
      <c r="S36" s="16">
        <f>Шаблон_Формулы!$T36-Шаблон_Формулы!$R36</f>
        <v>0</v>
      </c>
      <c r="T36" s="16">
        <f>_xlfn.XLOOKUP($A36,Centrum[Индекс],Centrum[Transportation total amount / Общая стоимость перевозки],0,0,1)</f>
        <v>0</v>
      </c>
      <c r="U36" s="12" cm="1">
        <f t="array" ref="U3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6" s="16">
        <f>_xlfn.XLOOKUP(Шаблон_Формулы[[#This Row],[21]],Курс_USD[Дата],Курс_USD[Курс],,0,1)</f>
        <v>12228.05</v>
      </c>
      <c r="W36" s="16">
        <f>Шаблон_Формулы!$T36*Шаблон_Формулы!$V36</f>
        <v>0</v>
      </c>
      <c r="Y36" s="16">
        <f>Шаблон_Формулы!$W36+Шаблон_Формулы!$X36</f>
        <v>0</v>
      </c>
      <c r="Z36" s="14" t="str">
        <f>_xlfn.XLOOKUP($A36,Centrum[Индекс],Centrum[Transport co invoice no/ 
Номер инвойса ТК],"",0,1)</f>
        <v/>
      </c>
    </row>
    <row r="37" spans="1:26" s="11" customFormat="1" x14ac:dyDescent="0.3">
      <c r="A37" s="14">
        <v>33</v>
      </c>
      <c r="B37" s="11" t="str">
        <f>_xlfn.XLOOKUP($A37,Centrum[Индекс],Centrum[Carrier/ Перевозчик],"",0,1)</f>
        <v/>
      </c>
      <c r="C37" s="11" t="str">
        <f>_xlfn.XLOOKUP($A37,Centrum[Индекс],Centrum[Country /  Страна],"",0,1)</f>
        <v/>
      </c>
      <c r="D37" s="11" t="str">
        <f>_xlfn.XLOOKUP($A37,Centrum[Индекс],Centrum[Container num./ 
№ контейнера],"",0,1)</f>
        <v/>
      </c>
      <c r="E37" s="11" t="str">
        <f>_xlfn.XLOOKUP($A37,Centrum[Индекс],Centrum[Supplier/
Поставщик],"",0,1)</f>
        <v/>
      </c>
      <c r="F37" s="11" t="str">
        <f>_xlfn.XLOOKUP($A37,Centrum[Индекс],Centrum[Shippers invoice no/ 
Номер инвойса поставщика],"",1)</f>
        <v/>
      </c>
      <c r="G37" s="15" t="str">
        <f>_xlfn.XLOOKUP($A37,Centrum[Индекс],Centrum[Invoice value / Стоимость груза в к-ре по инвойсу],"",0,1)</f>
        <v/>
      </c>
      <c r="H37" s="14" t="s">
        <v>40</v>
      </c>
      <c r="I37" s="11" t="str">
        <f>_xlfn.XLOOKUP($A37,Centrum[Индекс],Centrum[CBM on the shipper/ 
CBM по поставщику],"",0,1)</f>
        <v/>
      </c>
      <c r="J37" s="16" t="str">
        <f>_xlfn.XLOOKUP($A37,Centrum[Индекс],Centrum[Gross weight of cont// 
Гросс.вес по конт.],"",0,1)</f>
        <v/>
      </c>
      <c r="K37" s="17" t="str">
        <f>_xlfn.XLOOKUP($A37,Centrum[Индекс],Centrum[Route/ Маршрут (TSR/TCR)],"",0,1)</f>
        <v/>
      </c>
      <c r="L37" s="11" t="str">
        <f>_xlfn.XLOOKUP($A37,Centrum[Индекс],Centrum[Условия поставки],"",0,1)</f>
        <v/>
      </c>
      <c r="M37" s="11" t="str">
        <f>_xlfn.XLOOKUP($A37,Centrum[Индекс],Centrum[№ HBL date / 
№/ дата коносамента],"",0,1)</f>
        <v/>
      </c>
      <c r="N37" s="11" t="str">
        <f>_xlfn.XLOOKUP($A37,Centrum[Индекс],Centrum[№ MBL / 
№/ коносамента],"",0,1)</f>
        <v/>
      </c>
      <c r="O37" s="8" t="e">
        <f>(_xlfn.XLOOKUP($A37,Centrum[Индекс],Centrum[Date on board / Дата погрузки на судно],"",0,1))*1</f>
        <v>#VALUE!</v>
      </c>
      <c r="P37" s="8" t="e">
        <f>(_xlfn.XLOOKUP($A37,Centrum[Индекс],Centrum[Date of arrival to Sary-Agach/ Дата прибытия на Сары-Агач],"",0,1))*1</f>
        <v>#VALUE!</v>
      </c>
      <c r="Q37" s="14" t="str">
        <f>_xlfn.XLOOKUP($A37,Centrum[Индекс],Centrum[Container type/ 
Тип контейнера],"",0,1)</f>
        <v/>
      </c>
      <c r="R37" s="16">
        <f>_xlfn.XLOOKUP($A37,Centrum[Индекс],Centrum[Transportation cost per supplier/ 
Cтоимость перевозки по поставщикам],0,0,1)</f>
        <v>0</v>
      </c>
      <c r="S37" s="16">
        <f>Шаблон_Формулы!$T37-Шаблон_Формулы!$R37</f>
        <v>0</v>
      </c>
      <c r="T37" s="16">
        <f>_xlfn.XLOOKUP($A37,Centrum[Индекс],Centrum[Transportation total amount / Общая стоимость перевозки],0,0,1)</f>
        <v>0</v>
      </c>
      <c r="U37" s="12" cm="1">
        <f t="array" ref="U3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7" s="16">
        <f>_xlfn.XLOOKUP(Шаблон_Формулы[[#This Row],[21]],Курс_USD[Дата],Курс_USD[Курс],,0,1)</f>
        <v>12228.05</v>
      </c>
      <c r="W37" s="16">
        <f>Шаблон_Формулы!$T37*Шаблон_Формулы!$V37</f>
        <v>0</v>
      </c>
      <c r="Y37" s="16">
        <f>Шаблон_Формулы!$W37+Шаблон_Формулы!$X37</f>
        <v>0</v>
      </c>
      <c r="Z37" s="14" t="str">
        <f>_xlfn.XLOOKUP($A37,Centrum[Индекс],Centrum[Transport co invoice no/ 
Номер инвойса ТК],"",0,1)</f>
        <v/>
      </c>
    </row>
    <row r="38" spans="1:26" s="11" customFormat="1" x14ac:dyDescent="0.3">
      <c r="A38" s="14">
        <v>34</v>
      </c>
      <c r="B38" s="11" t="str">
        <f>_xlfn.XLOOKUP($A38,Centrum[Индекс],Centrum[Carrier/ Перевозчик],"",0,1)</f>
        <v/>
      </c>
      <c r="C38" s="11" t="str">
        <f>_xlfn.XLOOKUP($A38,Centrum[Индекс],Centrum[Country /  Страна],"",0,1)</f>
        <v/>
      </c>
      <c r="D38" s="11" t="str">
        <f>_xlfn.XLOOKUP($A38,Centrum[Индекс],Centrum[Container num./ 
№ контейнера],"",0,1)</f>
        <v/>
      </c>
      <c r="E38" s="11" t="str">
        <f>_xlfn.XLOOKUP($A38,Centrum[Индекс],Centrum[Supplier/
Поставщик],"",0,1)</f>
        <v/>
      </c>
      <c r="F38" s="11" t="str">
        <f>_xlfn.XLOOKUP($A38,Centrum[Индекс],Centrum[Shippers invoice no/ 
Номер инвойса поставщика],"",1)</f>
        <v/>
      </c>
      <c r="G38" s="15" t="str">
        <f>_xlfn.XLOOKUP($A38,Centrum[Индекс],Centrum[Invoice value / Стоимость груза в к-ре по инвойсу],"",0,1)</f>
        <v/>
      </c>
      <c r="H38" s="14" t="s">
        <v>40</v>
      </c>
      <c r="I38" s="11" t="str">
        <f>_xlfn.XLOOKUP($A38,Centrum[Индекс],Centrum[CBM on the shipper/ 
CBM по поставщику],"",0,1)</f>
        <v/>
      </c>
      <c r="J38" s="16" t="str">
        <f>_xlfn.XLOOKUP($A38,Centrum[Индекс],Centrum[Gross weight of cont// 
Гросс.вес по конт.],"",0,1)</f>
        <v/>
      </c>
      <c r="K38" s="17" t="str">
        <f>_xlfn.XLOOKUP($A38,Centrum[Индекс],Centrum[Route/ Маршрут (TSR/TCR)],"",0,1)</f>
        <v/>
      </c>
      <c r="L38" s="11" t="str">
        <f>_xlfn.XLOOKUP($A38,Centrum[Индекс],Centrum[Условия поставки],"",0,1)</f>
        <v/>
      </c>
      <c r="M38" s="11" t="str">
        <f>_xlfn.XLOOKUP($A38,Centrum[Индекс],Centrum[№ HBL date / 
№/ дата коносамента],"",0,1)</f>
        <v/>
      </c>
      <c r="N38" s="11" t="str">
        <f>_xlfn.XLOOKUP($A38,Centrum[Индекс],Centrum[№ MBL / 
№/ коносамента],"",0,1)</f>
        <v/>
      </c>
      <c r="O38" s="8" t="e">
        <f>(_xlfn.XLOOKUP($A38,Centrum[Индекс],Centrum[Date on board / Дата погрузки на судно],"",0,1))*1</f>
        <v>#VALUE!</v>
      </c>
      <c r="P38" s="8" t="e">
        <f>(_xlfn.XLOOKUP($A38,Centrum[Индекс],Centrum[Date of arrival to Sary-Agach/ Дата прибытия на Сары-Агач],"",0,1))*1</f>
        <v>#VALUE!</v>
      </c>
      <c r="Q38" s="14" t="str">
        <f>_xlfn.XLOOKUP($A38,Centrum[Индекс],Centrum[Container type/ 
Тип контейнера],"",0,1)</f>
        <v/>
      </c>
      <c r="R38" s="16">
        <f>_xlfn.XLOOKUP($A38,Centrum[Индекс],Centrum[Transportation cost per supplier/ 
Cтоимость перевозки по поставщикам],0,0,1)</f>
        <v>0</v>
      </c>
      <c r="S38" s="16">
        <f>Шаблон_Формулы!$T38-Шаблон_Формулы!$R38</f>
        <v>0</v>
      </c>
      <c r="T38" s="16">
        <f>_xlfn.XLOOKUP($A38,Centrum[Индекс],Centrum[Transportation total amount / Общая стоимость перевозки],0,0,1)</f>
        <v>0</v>
      </c>
      <c r="U38" s="12" cm="1">
        <f t="array" ref="U3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8" s="16">
        <f>_xlfn.XLOOKUP(Шаблон_Формулы[[#This Row],[21]],Курс_USD[Дата],Курс_USD[Курс],,0,1)</f>
        <v>12228.05</v>
      </c>
      <c r="W38" s="16">
        <f>Шаблон_Формулы!$T38*Шаблон_Формулы!$V38</f>
        <v>0</v>
      </c>
      <c r="Y38" s="16">
        <f>Шаблон_Формулы!$W38+Шаблон_Формулы!$X38</f>
        <v>0</v>
      </c>
      <c r="Z38" s="14" t="str">
        <f>_xlfn.XLOOKUP($A38,Centrum[Индекс],Centrum[Transport co invoice no/ 
Номер инвойса ТК],"",0,1)</f>
        <v/>
      </c>
    </row>
    <row r="39" spans="1:26" s="11" customFormat="1" x14ac:dyDescent="0.3">
      <c r="A39" s="14">
        <v>35</v>
      </c>
      <c r="B39" s="11" t="str">
        <f>_xlfn.XLOOKUP($A39,Centrum[Индекс],Centrum[Carrier/ Перевозчик],"",0,1)</f>
        <v/>
      </c>
      <c r="C39" s="11" t="str">
        <f>_xlfn.XLOOKUP($A39,Centrum[Индекс],Centrum[Country /  Страна],"",0,1)</f>
        <v/>
      </c>
      <c r="D39" s="11" t="str">
        <f>_xlfn.XLOOKUP($A39,Centrum[Индекс],Centrum[Container num./ 
№ контейнера],"",0,1)</f>
        <v/>
      </c>
      <c r="E39" s="11" t="str">
        <f>_xlfn.XLOOKUP($A39,Centrum[Индекс],Centrum[Supplier/
Поставщик],"",0,1)</f>
        <v/>
      </c>
      <c r="F39" s="11" t="str">
        <f>_xlfn.XLOOKUP($A39,Centrum[Индекс],Centrum[Shippers invoice no/ 
Номер инвойса поставщика],"",1)</f>
        <v/>
      </c>
      <c r="G39" s="15" t="str">
        <f>_xlfn.XLOOKUP($A39,Centrum[Индекс],Centrum[Invoice value / Стоимость груза в к-ре по инвойсу],"",0,1)</f>
        <v/>
      </c>
      <c r="H39" s="14" t="s">
        <v>40</v>
      </c>
      <c r="I39" s="11" t="str">
        <f>_xlfn.XLOOKUP($A39,Centrum[Индекс],Centrum[CBM on the shipper/ 
CBM по поставщику],"",0,1)</f>
        <v/>
      </c>
      <c r="J39" s="16" t="str">
        <f>_xlfn.XLOOKUP($A39,Centrum[Индекс],Centrum[Gross weight of cont// 
Гросс.вес по конт.],"",0,1)</f>
        <v/>
      </c>
      <c r="K39" s="17" t="str">
        <f>_xlfn.XLOOKUP($A39,Centrum[Индекс],Centrum[Route/ Маршрут (TSR/TCR)],"",0,1)</f>
        <v/>
      </c>
      <c r="L39" s="11" t="str">
        <f>_xlfn.XLOOKUP($A39,Centrum[Индекс],Centrum[Условия поставки],"",0,1)</f>
        <v/>
      </c>
      <c r="M39" s="11" t="str">
        <f>_xlfn.XLOOKUP($A39,Centrum[Индекс],Centrum[№ HBL date / 
№/ дата коносамента],"",0,1)</f>
        <v/>
      </c>
      <c r="N39" s="11" t="str">
        <f>_xlfn.XLOOKUP($A39,Centrum[Индекс],Centrum[№ MBL / 
№/ коносамента],"",0,1)</f>
        <v/>
      </c>
      <c r="O39" s="8" t="e">
        <f>(_xlfn.XLOOKUP($A39,Centrum[Индекс],Centrum[Date on board / Дата погрузки на судно],"",0,1))*1</f>
        <v>#VALUE!</v>
      </c>
      <c r="P39" s="8" t="e">
        <f>(_xlfn.XLOOKUP($A39,Centrum[Индекс],Centrum[Date of arrival to Sary-Agach/ Дата прибытия на Сары-Агач],"",0,1))*1</f>
        <v>#VALUE!</v>
      </c>
      <c r="Q39" s="14" t="str">
        <f>_xlfn.XLOOKUP($A39,Centrum[Индекс],Centrum[Container type/ 
Тип контейнера],"",0,1)</f>
        <v/>
      </c>
      <c r="R39" s="16">
        <f>_xlfn.XLOOKUP($A39,Centrum[Индекс],Centrum[Transportation cost per supplier/ 
Cтоимость перевозки по поставщикам],0,0,1)</f>
        <v>0</v>
      </c>
      <c r="S39" s="16">
        <f>Шаблон_Формулы!$T39-Шаблон_Формулы!$R39</f>
        <v>0</v>
      </c>
      <c r="T39" s="16">
        <f>_xlfn.XLOOKUP($A39,Centrum[Индекс],Centrum[Transportation total amount / Общая стоимость перевозки],0,0,1)</f>
        <v>0</v>
      </c>
      <c r="U39" s="12" cm="1">
        <f t="array" ref="U3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39" s="16">
        <f>_xlfn.XLOOKUP(Шаблон_Формулы[[#This Row],[21]],Курс_USD[Дата],Курс_USD[Курс],,0,1)</f>
        <v>12228.05</v>
      </c>
      <c r="W39" s="16">
        <f>Шаблон_Формулы!$T39*Шаблон_Формулы!$V39</f>
        <v>0</v>
      </c>
      <c r="Y39" s="16">
        <f>Шаблон_Формулы!$W39+Шаблон_Формулы!$X39</f>
        <v>0</v>
      </c>
      <c r="Z39" s="14" t="str">
        <f>_xlfn.XLOOKUP($A39,Centrum[Индекс],Centrum[Transport co invoice no/ 
Номер инвойса ТК],"",0,1)</f>
        <v/>
      </c>
    </row>
    <row r="40" spans="1:26" s="11" customFormat="1" x14ac:dyDescent="0.3">
      <c r="A40" s="14">
        <v>36</v>
      </c>
      <c r="B40" s="11" t="str">
        <f>_xlfn.XLOOKUP($A40,Centrum[Индекс],Centrum[Carrier/ Перевозчик],"",0,1)</f>
        <v/>
      </c>
      <c r="C40" s="11" t="str">
        <f>_xlfn.XLOOKUP($A40,Centrum[Индекс],Centrum[Country /  Страна],"",0,1)</f>
        <v/>
      </c>
      <c r="D40" s="11" t="str">
        <f>_xlfn.XLOOKUP($A40,Centrum[Индекс],Centrum[Container num./ 
№ контейнера],"",0,1)</f>
        <v/>
      </c>
      <c r="E40" s="11" t="str">
        <f>_xlfn.XLOOKUP($A40,Centrum[Индекс],Centrum[Supplier/
Поставщик],"",0,1)</f>
        <v/>
      </c>
      <c r="F40" s="11" t="str">
        <f>_xlfn.XLOOKUP($A40,Centrum[Индекс],Centrum[Shippers invoice no/ 
Номер инвойса поставщика],"",1)</f>
        <v/>
      </c>
      <c r="G40" s="15" t="str">
        <f>_xlfn.XLOOKUP($A40,Centrum[Индекс],Centrum[Invoice value / Стоимость груза в к-ре по инвойсу],"",0,1)</f>
        <v/>
      </c>
      <c r="H40" s="14" t="s">
        <v>40</v>
      </c>
      <c r="I40" s="11" t="str">
        <f>_xlfn.XLOOKUP($A40,Centrum[Индекс],Centrum[CBM on the shipper/ 
CBM по поставщику],"",0,1)</f>
        <v/>
      </c>
      <c r="J40" s="16" t="str">
        <f>_xlfn.XLOOKUP($A40,Centrum[Индекс],Centrum[Gross weight of cont// 
Гросс.вес по конт.],"",0,1)</f>
        <v/>
      </c>
      <c r="K40" s="17" t="str">
        <f>_xlfn.XLOOKUP($A40,Centrum[Индекс],Centrum[Route/ Маршрут (TSR/TCR)],"",0,1)</f>
        <v/>
      </c>
      <c r="L40" s="11" t="str">
        <f>_xlfn.XLOOKUP($A40,Centrum[Индекс],Centrum[Условия поставки],"",0,1)</f>
        <v/>
      </c>
      <c r="M40" s="11" t="str">
        <f>_xlfn.XLOOKUP($A40,Centrum[Индекс],Centrum[№ HBL date / 
№/ дата коносамента],"",0,1)</f>
        <v/>
      </c>
      <c r="N40" s="11" t="str">
        <f>_xlfn.XLOOKUP($A40,Centrum[Индекс],Centrum[№ MBL / 
№/ коносамента],"",0,1)</f>
        <v/>
      </c>
      <c r="O40" s="8" t="e">
        <f>(_xlfn.XLOOKUP($A40,Centrum[Индекс],Centrum[Date on board / Дата погрузки на судно],"",0,1))*1</f>
        <v>#VALUE!</v>
      </c>
      <c r="P40" s="8" t="e">
        <f>(_xlfn.XLOOKUP($A40,Centrum[Индекс],Centrum[Date of arrival to Sary-Agach/ Дата прибытия на Сары-Агач],"",0,1))*1</f>
        <v>#VALUE!</v>
      </c>
      <c r="Q40" s="14" t="str">
        <f>_xlfn.XLOOKUP($A40,Centrum[Индекс],Centrum[Container type/ 
Тип контейнера],"",0,1)</f>
        <v/>
      </c>
      <c r="R40" s="16">
        <f>_xlfn.XLOOKUP($A40,Centrum[Индекс],Centrum[Transportation cost per supplier/ 
Cтоимость перевозки по поставщикам],0,0,1)</f>
        <v>0</v>
      </c>
      <c r="S40" s="16">
        <f>Шаблон_Формулы!$T40-Шаблон_Формулы!$R40</f>
        <v>0</v>
      </c>
      <c r="T40" s="16">
        <f>_xlfn.XLOOKUP($A40,Centrum[Индекс],Centrum[Transportation total amount / Общая стоимость перевозки],0,0,1)</f>
        <v>0</v>
      </c>
      <c r="U40" s="12" cm="1">
        <f t="array" ref="U4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0" s="16">
        <f>_xlfn.XLOOKUP(Шаблон_Формулы[[#This Row],[21]],Курс_USD[Дата],Курс_USD[Курс],,0,1)</f>
        <v>12228.05</v>
      </c>
      <c r="W40" s="16">
        <f>Шаблон_Формулы!$T40*Шаблон_Формулы!$V40</f>
        <v>0</v>
      </c>
      <c r="Y40" s="16">
        <f>Шаблон_Формулы!$W40+Шаблон_Формулы!$X40</f>
        <v>0</v>
      </c>
      <c r="Z40" s="14" t="str">
        <f>_xlfn.XLOOKUP($A40,Centrum[Индекс],Centrum[Transport co invoice no/ 
Номер инвойса ТК],"",0,1)</f>
        <v/>
      </c>
    </row>
    <row r="41" spans="1:26" s="11" customFormat="1" x14ac:dyDescent="0.3">
      <c r="A41" s="14">
        <v>37</v>
      </c>
      <c r="B41" s="11" t="str">
        <f>_xlfn.XLOOKUP($A41,Centrum[Индекс],Centrum[Carrier/ Перевозчик],"",0,1)</f>
        <v/>
      </c>
      <c r="C41" s="11" t="str">
        <f>_xlfn.XLOOKUP($A41,Centrum[Индекс],Centrum[Country /  Страна],"",0,1)</f>
        <v/>
      </c>
      <c r="D41" s="11" t="str">
        <f>_xlfn.XLOOKUP($A41,Centrum[Индекс],Centrum[Container num./ 
№ контейнера],"",0,1)</f>
        <v/>
      </c>
      <c r="E41" s="11" t="str">
        <f>_xlfn.XLOOKUP($A41,Centrum[Индекс],Centrum[Supplier/
Поставщик],"",0,1)</f>
        <v/>
      </c>
      <c r="F41" s="11" t="str">
        <f>_xlfn.XLOOKUP($A41,Centrum[Индекс],Centrum[Shippers invoice no/ 
Номер инвойса поставщика],"",1)</f>
        <v/>
      </c>
      <c r="G41" s="15" t="str">
        <f>_xlfn.XLOOKUP($A41,Centrum[Индекс],Centrum[Invoice value / Стоимость груза в к-ре по инвойсу],"",0,1)</f>
        <v/>
      </c>
      <c r="H41" s="14" t="s">
        <v>40</v>
      </c>
      <c r="I41" s="11" t="str">
        <f>_xlfn.XLOOKUP($A41,Centrum[Индекс],Centrum[CBM on the shipper/ 
CBM по поставщику],"",0,1)</f>
        <v/>
      </c>
      <c r="J41" s="16" t="str">
        <f>_xlfn.XLOOKUP($A41,Centrum[Индекс],Centrum[Gross weight of cont// 
Гросс.вес по конт.],"",0,1)</f>
        <v/>
      </c>
      <c r="K41" s="17" t="str">
        <f>_xlfn.XLOOKUP($A41,Centrum[Индекс],Centrum[Route/ Маршрут (TSR/TCR)],"",0,1)</f>
        <v/>
      </c>
      <c r="L41" s="11" t="str">
        <f>_xlfn.XLOOKUP($A41,Centrum[Индекс],Centrum[Условия поставки],"",0,1)</f>
        <v/>
      </c>
      <c r="M41" s="11" t="str">
        <f>_xlfn.XLOOKUP($A41,Centrum[Индекс],Centrum[№ HBL date / 
№/ дата коносамента],"",0,1)</f>
        <v/>
      </c>
      <c r="N41" s="11" t="str">
        <f>_xlfn.XLOOKUP($A41,Centrum[Индекс],Centrum[№ MBL / 
№/ коносамента],"",0,1)</f>
        <v/>
      </c>
      <c r="O41" s="8" t="e">
        <f>(_xlfn.XLOOKUP($A41,Centrum[Индекс],Centrum[Date on board / Дата погрузки на судно],"",0,1))*1</f>
        <v>#VALUE!</v>
      </c>
      <c r="P41" s="8" t="e">
        <f>(_xlfn.XLOOKUP($A41,Centrum[Индекс],Centrum[Date of arrival to Sary-Agach/ Дата прибытия на Сары-Агач],"",0,1))*1</f>
        <v>#VALUE!</v>
      </c>
      <c r="Q41" s="14" t="str">
        <f>_xlfn.XLOOKUP($A41,Centrum[Индекс],Centrum[Container type/ 
Тип контейнера],"",0,1)</f>
        <v/>
      </c>
      <c r="R41" s="16">
        <f>_xlfn.XLOOKUP($A41,Centrum[Индекс],Centrum[Transportation cost per supplier/ 
Cтоимость перевозки по поставщикам],0,0,1)</f>
        <v>0</v>
      </c>
      <c r="S41" s="16">
        <f>Шаблон_Формулы!$T41-Шаблон_Формулы!$R41</f>
        <v>0</v>
      </c>
      <c r="T41" s="16">
        <f>_xlfn.XLOOKUP($A41,Centrum[Индекс],Centrum[Transportation total amount / Общая стоимость перевозки],0,0,1)</f>
        <v>0</v>
      </c>
      <c r="U41" s="12" cm="1">
        <f t="array" ref="U4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1" s="16">
        <f>_xlfn.XLOOKUP(Шаблон_Формулы[[#This Row],[21]],Курс_USD[Дата],Курс_USD[Курс],,0,1)</f>
        <v>12228.05</v>
      </c>
      <c r="W41" s="16">
        <f>Шаблон_Формулы!$T41*Шаблон_Формулы!$V41</f>
        <v>0</v>
      </c>
      <c r="Y41" s="16">
        <f>Шаблон_Формулы!$W41+Шаблон_Формулы!$X41</f>
        <v>0</v>
      </c>
      <c r="Z41" s="14" t="str">
        <f>_xlfn.XLOOKUP($A41,Centrum[Индекс],Centrum[Transport co invoice no/ 
Номер инвойса ТК],"",0,1)</f>
        <v/>
      </c>
    </row>
    <row r="42" spans="1:26" s="11" customFormat="1" x14ac:dyDescent="0.3">
      <c r="A42" s="14">
        <v>38</v>
      </c>
      <c r="B42" s="11" t="str">
        <f>_xlfn.XLOOKUP($A42,Centrum[Индекс],Centrum[Carrier/ Перевозчик],"",0,1)</f>
        <v/>
      </c>
      <c r="C42" s="11" t="str">
        <f>_xlfn.XLOOKUP($A42,Centrum[Индекс],Centrum[Country /  Страна],"",0,1)</f>
        <v/>
      </c>
      <c r="D42" s="11" t="str">
        <f>_xlfn.XLOOKUP($A42,Centrum[Индекс],Centrum[Container num./ 
№ контейнера],"",0,1)</f>
        <v/>
      </c>
      <c r="E42" s="11" t="str">
        <f>_xlfn.XLOOKUP($A42,Centrum[Индекс],Centrum[Supplier/
Поставщик],"",0,1)</f>
        <v/>
      </c>
      <c r="F42" s="11" t="str">
        <f>_xlfn.XLOOKUP($A42,Centrum[Индекс],Centrum[Shippers invoice no/ 
Номер инвойса поставщика],"",1)</f>
        <v/>
      </c>
      <c r="G42" s="15" t="str">
        <f>_xlfn.XLOOKUP($A42,Centrum[Индекс],Centrum[Invoice value / Стоимость груза в к-ре по инвойсу],"",0,1)</f>
        <v/>
      </c>
      <c r="H42" s="14" t="s">
        <v>40</v>
      </c>
      <c r="I42" s="11" t="str">
        <f>_xlfn.XLOOKUP($A42,Centrum[Индекс],Centrum[CBM on the shipper/ 
CBM по поставщику],"",0,1)</f>
        <v/>
      </c>
      <c r="J42" s="16" t="str">
        <f>_xlfn.XLOOKUP($A42,Centrum[Индекс],Centrum[Gross weight of cont// 
Гросс.вес по конт.],"",0,1)</f>
        <v/>
      </c>
      <c r="K42" s="17" t="str">
        <f>_xlfn.XLOOKUP($A42,Centrum[Индекс],Centrum[Route/ Маршрут (TSR/TCR)],"",0,1)</f>
        <v/>
      </c>
      <c r="L42" s="11" t="str">
        <f>_xlfn.XLOOKUP($A42,Centrum[Индекс],Centrum[Условия поставки],"",0,1)</f>
        <v/>
      </c>
      <c r="M42" s="11" t="str">
        <f>_xlfn.XLOOKUP($A42,Centrum[Индекс],Centrum[№ HBL date / 
№/ дата коносамента],"",0,1)</f>
        <v/>
      </c>
      <c r="N42" s="11" t="str">
        <f>_xlfn.XLOOKUP($A42,Centrum[Индекс],Centrum[№ MBL / 
№/ коносамента],"",0,1)</f>
        <v/>
      </c>
      <c r="O42" s="8" t="e">
        <f>(_xlfn.XLOOKUP($A42,Centrum[Индекс],Centrum[Date on board / Дата погрузки на судно],"",0,1))*1</f>
        <v>#VALUE!</v>
      </c>
      <c r="P42" s="8" t="e">
        <f>(_xlfn.XLOOKUP($A42,Centrum[Индекс],Centrum[Date of arrival to Sary-Agach/ Дата прибытия на Сары-Агач],"",0,1))*1</f>
        <v>#VALUE!</v>
      </c>
      <c r="Q42" s="14" t="str">
        <f>_xlfn.XLOOKUP($A42,Centrum[Индекс],Centrum[Container type/ 
Тип контейнера],"",0,1)</f>
        <v/>
      </c>
      <c r="R42" s="16">
        <f>_xlfn.XLOOKUP($A42,Centrum[Индекс],Centrum[Transportation cost per supplier/ 
Cтоимость перевозки по поставщикам],0,0,1)</f>
        <v>0</v>
      </c>
      <c r="S42" s="16">
        <f>Шаблон_Формулы!$T42-Шаблон_Формулы!$R42</f>
        <v>0</v>
      </c>
      <c r="T42" s="16">
        <f>_xlfn.XLOOKUP($A42,Centrum[Индекс],Centrum[Transportation total amount / Общая стоимость перевозки],0,0,1)</f>
        <v>0</v>
      </c>
      <c r="U42" s="12" cm="1">
        <f t="array" ref="U4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2" s="16">
        <f>_xlfn.XLOOKUP(Шаблон_Формулы[[#This Row],[21]],Курс_USD[Дата],Курс_USD[Курс],,0,1)</f>
        <v>12228.05</v>
      </c>
      <c r="W42" s="16">
        <f>Шаблон_Формулы!$T42*Шаблон_Формулы!$V42</f>
        <v>0</v>
      </c>
      <c r="Y42" s="16">
        <f>Шаблон_Формулы!$W42+Шаблон_Формулы!$X42</f>
        <v>0</v>
      </c>
      <c r="Z42" s="14" t="str">
        <f>_xlfn.XLOOKUP($A42,Centrum[Индекс],Centrum[Transport co invoice no/ 
Номер инвойса ТК],"",0,1)</f>
        <v/>
      </c>
    </row>
    <row r="43" spans="1:26" s="11" customFormat="1" x14ac:dyDescent="0.3">
      <c r="A43" s="14">
        <v>39</v>
      </c>
      <c r="B43" s="11" t="str">
        <f>_xlfn.XLOOKUP($A43,Centrum[Индекс],Centrum[Carrier/ Перевозчик],"",0,1)</f>
        <v/>
      </c>
      <c r="C43" s="11" t="str">
        <f>_xlfn.XLOOKUP($A43,Centrum[Индекс],Centrum[Country /  Страна],"",0,1)</f>
        <v/>
      </c>
      <c r="D43" s="11" t="str">
        <f>_xlfn.XLOOKUP($A43,Centrum[Индекс],Centrum[Container num./ 
№ контейнера],"",0,1)</f>
        <v/>
      </c>
      <c r="E43" s="11" t="str">
        <f>_xlfn.XLOOKUP($A43,Centrum[Индекс],Centrum[Supplier/
Поставщик],"",0,1)</f>
        <v/>
      </c>
      <c r="F43" s="11" t="str">
        <f>_xlfn.XLOOKUP($A43,Centrum[Индекс],Centrum[Shippers invoice no/ 
Номер инвойса поставщика],"",1)</f>
        <v/>
      </c>
      <c r="G43" s="15" t="str">
        <f>_xlfn.XLOOKUP($A43,Centrum[Индекс],Centrum[Invoice value / Стоимость груза в к-ре по инвойсу],"",0,1)</f>
        <v/>
      </c>
      <c r="H43" s="14" t="s">
        <v>40</v>
      </c>
      <c r="I43" s="11" t="str">
        <f>_xlfn.XLOOKUP($A43,Centrum[Индекс],Centrum[CBM on the shipper/ 
CBM по поставщику],"",0,1)</f>
        <v/>
      </c>
      <c r="J43" s="16" t="str">
        <f>_xlfn.XLOOKUP($A43,Centrum[Индекс],Centrum[Gross weight of cont// 
Гросс.вес по конт.],"",0,1)</f>
        <v/>
      </c>
      <c r="K43" s="17" t="str">
        <f>_xlfn.XLOOKUP($A43,Centrum[Индекс],Centrum[Route/ Маршрут (TSR/TCR)],"",0,1)</f>
        <v/>
      </c>
      <c r="L43" s="11" t="str">
        <f>_xlfn.XLOOKUP($A43,Centrum[Индекс],Centrum[Условия поставки],"",0,1)</f>
        <v/>
      </c>
      <c r="M43" s="11" t="str">
        <f>_xlfn.XLOOKUP($A43,Centrum[Индекс],Centrum[№ HBL date / 
№/ дата коносамента],"",0,1)</f>
        <v/>
      </c>
      <c r="N43" s="11" t="str">
        <f>_xlfn.XLOOKUP($A43,Centrum[Индекс],Centrum[№ MBL / 
№/ коносамента],"",0,1)</f>
        <v/>
      </c>
      <c r="O43" s="8" t="e">
        <f>(_xlfn.XLOOKUP($A43,Centrum[Индекс],Centrum[Date on board / Дата погрузки на судно],"",0,1))*1</f>
        <v>#VALUE!</v>
      </c>
      <c r="P43" s="8" t="e">
        <f>(_xlfn.XLOOKUP($A43,Centrum[Индекс],Centrum[Date of arrival to Sary-Agach/ Дата прибытия на Сары-Агач],"",0,1))*1</f>
        <v>#VALUE!</v>
      </c>
      <c r="Q43" s="14" t="str">
        <f>_xlfn.XLOOKUP($A43,Centrum[Индекс],Centrum[Container type/ 
Тип контейнера],"",0,1)</f>
        <v/>
      </c>
      <c r="R43" s="16">
        <f>_xlfn.XLOOKUP($A43,Centrum[Индекс],Centrum[Transportation cost per supplier/ 
Cтоимость перевозки по поставщикам],0,0,1)</f>
        <v>0</v>
      </c>
      <c r="S43" s="16">
        <f>Шаблон_Формулы!$T43-Шаблон_Формулы!$R43</f>
        <v>0</v>
      </c>
      <c r="T43" s="16">
        <f>_xlfn.XLOOKUP($A43,Centrum[Индекс],Centrum[Transportation total amount / Общая стоимость перевозки],0,0,1)</f>
        <v>0</v>
      </c>
      <c r="U43" s="12" cm="1">
        <f t="array" ref="U4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3" s="16">
        <f>_xlfn.XLOOKUP(Шаблон_Формулы[[#This Row],[21]],Курс_USD[Дата],Курс_USD[Курс],,0,1)</f>
        <v>12228.05</v>
      </c>
      <c r="W43" s="16">
        <f>Шаблон_Формулы!$T43*Шаблон_Формулы!$V43</f>
        <v>0</v>
      </c>
      <c r="Y43" s="16">
        <f>Шаблон_Формулы!$W43+Шаблон_Формулы!$X43</f>
        <v>0</v>
      </c>
      <c r="Z43" s="14" t="str">
        <f>_xlfn.XLOOKUP($A43,Centrum[Индекс],Centrum[Transport co invoice no/ 
Номер инвойса ТК],"",0,1)</f>
        <v/>
      </c>
    </row>
    <row r="44" spans="1:26" s="11" customFormat="1" x14ac:dyDescent="0.3">
      <c r="A44" s="14">
        <v>40</v>
      </c>
      <c r="B44" s="11" t="str">
        <f>_xlfn.XLOOKUP($A44,Centrum[Индекс],Centrum[Carrier/ Перевозчик],"",0,1)</f>
        <v/>
      </c>
      <c r="C44" s="11" t="str">
        <f>_xlfn.XLOOKUP($A44,Centrum[Индекс],Centrum[Country /  Страна],"",0,1)</f>
        <v/>
      </c>
      <c r="D44" s="11" t="str">
        <f>_xlfn.XLOOKUP($A44,Centrum[Индекс],Centrum[Container num./ 
№ контейнера],"",0,1)</f>
        <v/>
      </c>
      <c r="E44" s="11" t="str">
        <f>_xlfn.XLOOKUP($A44,Centrum[Индекс],Centrum[Supplier/
Поставщик],"",0,1)</f>
        <v/>
      </c>
      <c r="F44" s="11" t="str">
        <f>_xlfn.XLOOKUP($A44,Centrum[Индекс],Centrum[Shippers invoice no/ 
Номер инвойса поставщика],"",1)</f>
        <v/>
      </c>
      <c r="G44" s="15" t="str">
        <f>_xlfn.XLOOKUP($A44,Centrum[Индекс],Centrum[Invoice value / Стоимость груза в к-ре по инвойсу],"",0,1)</f>
        <v/>
      </c>
      <c r="H44" s="14" t="s">
        <v>40</v>
      </c>
      <c r="I44" s="11" t="str">
        <f>_xlfn.XLOOKUP($A44,Centrum[Индекс],Centrum[CBM on the shipper/ 
CBM по поставщику],"",0,1)</f>
        <v/>
      </c>
      <c r="J44" s="16" t="str">
        <f>_xlfn.XLOOKUP($A44,Centrum[Индекс],Centrum[Gross weight of cont// 
Гросс.вес по конт.],"",0,1)</f>
        <v/>
      </c>
      <c r="K44" s="17" t="str">
        <f>_xlfn.XLOOKUP($A44,Centrum[Индекс],Centrum[Route/ Маршрут (TSR/TCR)],"",0,1)</f>
        <v/>
      </c>
      <c r="L44" s="11" t="str">
        <f>_xlfn.XLOOKUP($A44,Centrum[Индекс],Centrum[Условия поставки],"",0,1)</f>
        <v/>
      </c>
      <c r="M44" s="11" t="str">
        <f>_xlfn.XLOOKUP($A44,Centrum[Индекс],Centrum[№ HBL date / 
№/ дата коносамента],"",0,1)</f>
        <v/>
      </c>
      <c r="N44" s="11" t="str">
        <f>_xlfn.XLOOKUP($A44,Centrum[Индекс],Centrum[№ MBL / 
№/ коносамента],"",0,1)</f>
        <v/>
      </c>
      <c r="O44" s="8" t="e">
        <f>(_xlfn.XLOOKUP($A44,Centrum[Индекс],Centrum[Date on board / Дата погрузки на судно],"",0,1))*1</f>
        <v>#VALUE!</v>
      </c>
      <c r="P44" s="8" t="e">
        <f>(_xlfn.XLOOKUP($A44,Centrum[Индекс],Centrum[Date of arrival to Sary-Agach/ Дата прибытия на Сары-Агач],"",0,1))*1</f>
        <v>#VALUE!</v>
      </c>
      <c r="Q44" s="14" t="str">
        <f>_xlfn.XLOOKUP($A44,Centrum[Индекс],Centrum[Container type/ 
Тип контейнера],"",0,1)</f>
        <v/>
      </c>
      <c r="R44" s="16">
        <f>_xlfn.XLOOKUP($A44,Centrum[Индекс],Centrum[Transportation cost per supplier/ 
Cтоимость перевозки по поставщикам],0,0,1)</f>
        <v>0</v>
      </c>
      <c r="S44" s="16">
        <f>Шаблон_Формулы!$T44-Шаблон_Формулы!$R44</f>
        <v>0</v>
      </c>
      <c r="T44" s="16">
        <f>_xlfn.XLOOKUP($A44,Centrum[Индекс],Centrum[Transportation total amount / Общая стоимость перевозки],0,0,1)</f>
        <v>0</v>
      </c>
      <c r="U44" s="12" cm="1">
        <f t="array" ref="U4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4" s="16">
        <f>_xlfn.XLOOKUP(Шаблон_Формулы[[#This Row],[21]],Курс_USD[Дата],Курс_USD[Курс],,0,1)</f>
        <v>12228.05</v>
      </c>
      <c r="W44" s="16">
        <f>Шаблон_Формулы!$T44*Шаблон_Формулы!$V44</f>
        <v>0</v>
      </c>
      <c r="Y44" s="16">
        <f>Шаблон_Формулы!$W44+Шаблон_Формулы!$X44</f>
        <v>0</v>
      </c>
      <c r="Z44" s="14" t="str">
        <f>_xlfn.XLOOKUP($A44,Centrum[Индекс],Centrum[Transport co invoice no/ 
Номер инвойса ТК],"",0,1)</f>
        <v/>
      </c>
    </row>
    <row r="45" spans="1:26" s="11" customFormat="1" x14ac:dyDescent="0.3">
      <c r="A45" s="14">
        <v>41</v>
      </c>
      <c r="B45" s="11" t="str">
        <f>_xlfn.XLOOKUP($A45,Centrum[Индекс],Centrum[Carrier/ Перевозчик],"",0,1)</f>
        <v/>
      </c>
      <c r="C45" s="11" t="str">
        <f>_xlfn.XLOOKUP($A45,Centrum[Индекс],Centrum[Country /  Страна],"",0,1)</f>
        <v/>
      </c>
      <c r="D45" s="11" t="str">
        <f>_xlfn.XLOOKUP($A45,Centrum[Индекс],Centrum[Container num./ 
№ контейнера],"",0,1)</f>
        <v/>
      </c>
      <c r="E45" s="11" t="str">
        <f>_xlfn.XLOOKUP($A45,Centrum[Индекс],Centrum[Supplier/
Поставщик],"",0,1)</f>
        <v/>
      </c>
      <c r="F45" s="11" t="str">
        <f>_xlfn.XLOOKUP($A45,Centrum[Индекс],Centrum[Shippers invoice no/ 
Номер инвойса поставщика],"",1)</f>
        <v/>
      </c>
      <c r="G45" s="15" t="str">
        <f>_xlfn.XLOOKUP($A45,Centrum[Индекс],Centrum[Invoice value / Стоимость груза в к-ре по инвойсу],"",0,1)</f>
        <v/>
      </c>
      <c r="H45" s="14" t="s">
        <v>40</v>
      </c>
      <c r="I45" s="11" t="str">
        <f>_xlfn.XLOOKUP($A45,Centrum[Индекс],Centrum[CBM on the shipper/ 
CBM по поставщику],"",0,1)</f>
        <v/>
      </c>
      <c r="J45" s="16" t="str">
        <f>_xlfn.XLOOKUP($A45,Centrum[Индекс],Centrum[Gross weight of cont// 
Гросс.вес по конт.],"",0,1)</f>
        <v/>
      </c>
      <c r="K45" s="17" t="str">
        <f>_xlfn.XLOOKUP($A45,Centrum[Индекс],Centrum[Route/ Маршрут (TSR/TCR)],"",0,1)</f>
        <v/>
      </c>
      <c r="L45" s="11" t="str">
        <f>_xlfn.XLOOKUP($A45,Centrum[Индекс],Centrum[Условия поставки],"",0,1)</f>
        <v/>
      </c>
      <c r="M45" s="11" t="str">
        <f>_xlfn.XLOOKUP($A45,Centrum[Индекс],Centrum[№ HBL date / 
№/ дата коносамента],"",0,1)</f>
        <v/>
      </c>
      <c r="N45" s="11" t="str">
        <f>_xlfn.XLOOKUP($A45,Centrum[Индекс],Centrum[№ MBL / 
№/ коносамента],"",0,1)</f>
        <v/>
      </c>
      <c r="O45" s="8" t="e">
        <f>(_xlfn.XLOOKUP($A45,Centrum[Индекс],Centrum[Date on board / Дата погрузки на судно],"",0,1))*1</f>
        <v>#VALUE!</v>
      </c>
      <c r="P45" s="8" t="e">
        <f>(_xlfn.XLOOKUP($A45,Centrum[Индекс],Centrum[Date of arrival to Sary-Agach/ Дата прибытия на Сары-Агач],"",0,1))*1</f>
        <v>#VALUE!</v>
      </c>
      <c r="Q45" s="14" t="str">
        <f>_xlfn.XLOOKUP($A45,Centrum[Индекс],Centrum[Container type/ 
Тип контейнера],"",0,1)</f>
        <v/>
      </c>
      <c r="R45" s="16">
        <f>_xlfn.XLOOKUP($A45,Centrum[Индекс],Centrum[Transportation cost per supplier/ 
Cтоимость перевозки по поставщикам],0,0,1)</f>
        <v>0</v>
      </c>
      <c r="S45" s="16">
        <f>Шаблон_Формулы!$T45-Шаблон_Формулы!$R45</f>
        <v>0</v>
      </c>
      <c r="T45" s="16">
        <f>_xlfn.XLOOKUP($A45,Centrum[Индекс],Centrum[Transportation total amount / Общая стоимость перевозки],0,0,1)</f>
        <v>0</v>
      </c>
      <c r="U45" s="12" cm="1">
        <f t="array" ref="U4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5" s="16">
        <f>_xlfn.XLOOKUP(Шаблон_Формулы[[#This Row],[21]],Курс_USD[Дата],Курс_USD[Курс],,0,1)</f>
        <v>12228.05</v>
      </c>
      <c r="W45" s="16">
        <f>Шаблон_Формулы!$T45*Шаблон_Формулы!$V45</f>
        <v>0</v>
      </c>
      <c r="Y45" s="16">
        <f>Шаблон_Формулы!$W45+Шаблон_Формулы!$X45</f>
        <v>0</v>
      </c>
      <c r="Z45" s="14" t="str">
        <f>_xlfn.XLOOKUP($A45,Centrum[Индекс],Centrum[Transport co invoice no/ 
Номер инвойса ТК],"",0,1)</f>
        <v/>
      </c>
    </row>
    <row r="46" spans="1:26" s="11" customFormat="1" x14ac:dyDescent="0.3">
      <c r="A46" s="14">
        <v>42</v>
      </c>
      <c r="B46" s="11" t="str">
        <f>_xlfn.XLOOKUP($A46,Centrum[Индекс],Centrum[Carrier/ Перевозчик],"",0,1)</f>
        <v/>
      </c>
      <c r="C46" s="11" t="str">
        <f>_xlfn.XLOOKUP($A46,Centrum[Индекс],Centrum[Country /  Страна],"",0,1)</f>
        <v/>
      </c>
      <c r="D46" s="11" t="str">
        <f>_xlfn.XLOOKUP($A46,Centrum[Индекс],Centrum[Container num./ 
№ контейнера],"",0,1)</f>
        <v/>
      </c>
      <c r="E46" s="11" t="str">
        <f>_xlfn.XLOOKUP($A46,Centrum[Индекс],Centrum[Supplier/
Поставщик],"",0,1)</f>
        <v/>
      </c>
      <c r="F46" s="11" t="str">
        <f>_xlfn.XLOOKUP($A46,Centrum[Индекс],Centrum[Shippers invoice no/ 
Номер инвойса поставщика],"",1)</f>
        <v/>
      </c>
      <c r="G46" s="15" t="str">
        <f>_xlfn.XLOOKUP($A46,Centrum[Индекс],Centrum[Invoice value / Стоимость груза в к-ре по инвойсу],"",0,1)</f>
        <v/>
      </c>
      <c r="H46" s="14" t="s">
        <v>40</v>
      </c>
      <c r="I46" s="11" t="str">
        <f>_xlfn.XLOOKUP($A46,Centrum[Индекс],Centrum[CBM on the shipper/ 
CBM по поставщику],"",0,1)</f>
        <v/>
      </c>
      <c r="J46" s="16" t="str">
        <f>_xlfn.XLOOKUP($A46,Centrum[Индекс],Centrum[Gross weight of cont// 
Гросс.вес по конт.],"",0,1)</f>
        <v/>
      </c>
      <c r="K46" s="17" t="str">
        <f>_xlfn.XLOOKUP($A46,Centrum[Индекс],Centrum[Route/ Маршрут (TSR/TCR)],"",0,1)</f>
        <v/>
      </c>
      <c r="L46" s="11" t="str">
        <f>_xlfn.XLOOKUP($A46,Centrum[Индекс],Centrum[Условия поставки],"",0,1)</f>
        <v/>
      </c>
      <c r="M46" s="11" t="str">
        <f>_xlfn.XLOOKUP($A46,Centrum[Индекс],Centrum[№ HBL date / 
№/ дата коносамента],"",0,1)</f>
        <v/>
      </c>
      <c r="N46" s="11" t="str">
        <f>_xlfn.XLOOKUP($A46,Centrum[Индекс],Centrum[№ MBL / 
№/ коносамента],"",0,1)</f>
        <v/>
      </c>
      <c r="O46" s="8" t="e">
        <f>(_xlfn.XLOOKUP($A46,Centrum[Индекс],Centrum[Date on board / Дата погрузки на судно],"",0,1))*1</f>
        <v>#VALUE!</v>
      </c>
      <c r="P46" s="8" t="e">
        <f>(_xlfn.XLOOKUP($A46,Centrum[Индекс],Centrum[Date of arrival to Sary-Agach/ Дата прибытия на Сары-Агач],"",0,1))*1</f>
        <v>#VALUE!</v>
      </c>
      <c r="Q46" s="14" t="str">
        <f>_xlfn.XLOOKUP($A46,Centrum[Индекс],Centrum[Container type/ 
Тип контейнера],"",0,1)</f>
        <v/>
      </c>
      <c r="R46" s="16">
        <f>_xlfn.XLOOKUP($A46,Centrum[Индекс],Centrum[Transportation cost per supplier/ 
Cтоимость перевозки по поставщикам],0,0,1)</f>
        <v>0</v>
      </c>
      <c r="S46" s="16">
        <f>Шаблон_Формулы!$T46-Шаблон_Формулы!$R46</f>
        <v>0</v>
      </c>
      <c r="T46" s="16">
        <f>_xlfn.XLOOKUP($A46,Centrum[Индекс],Centrum[Transportation total amount / Общая стоимость перевозки],0,0,1)</f>
        <v>0</v>
      </c>
      <c r="U46" s="12" cm="1">
        <f t="array" ref="U4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6" s="16">
        <f>_xlfn.XLOOKUP(Шаблон_Формулы[[#This Row],[21]],Курс_USD[Дата],Курс_USD[Курс],,0,1)</f>
        <v>12228.05</v>
      </c>
      <c r="W46" s="16">
        <f>Шаблон_Формулы!$T46*Шаблон_Формулы!$V46</f>
        <v>0</v>
      </c>
      <c r="Y46" s="16">
        <f>Шаблон_Формулы!$W46+Шаблон_Формулы!$X46</f>
        <v>0</v>
      </c>
      <c r="Z46" s="14" t="str">
        <f>_xlfn.XLOOKUP($A46,Centrum[Индекс],Centrum[Transport co invoice no/ 
Номер инвойса ТК],"",0,1)</f>
        <v/>
      </c>
    </row>
    <row r="47" spans="1:26" s="11" customFormat="1" x14ac:dyDescent="0.3">
      <c r="A47" s="14">
        <v>43</v>
      </c>
      <c r="B47" s="11" t="str">
        <f>_xlfn.XLOOKUP($A47,Centrum[Индекс],Centrum[Carrier/ Перевозчик],"",0,1)</f>
        <v/>
      </c>
      <c r="C47" s="11" t="str">
        <f>_xlfn.XLOOKUP($A47,Centrum[Индекс],Centrum[Country /  Страна],"",0,1)</f>
        <v/>
      </c>
      <c r="D47" s="11" t="str">
        <f>_xlfn.XLOOKUP($A47,Centrum[Индекс],Centrum[Container num./ 
№ контейнера],"",0,1)</f>
        <v/>
      </c>
      <c r="E47" s="11" t="str">
        <f>_xlfn.XLOOKUP($A47,Centrum[Индекс],Centrum[Supplier/
Поставщик],"",0,1)</f>
        <v/>
      </c>
      <c r="F47" s="11" t="str">
        <f>_xlfn.XLOOKUP($A47,Centrum[Индекс],Centrum[Shippers invoice no/ 
Номер инвойса поставщика],"",1)</f>
        <v/>
      </c>
      <c r="G47" s="15" t="str">
        <f>_xlfn.XLOOKUP($A47,Centrum[Индекс],Centrum[Invoice value / Стоимость груза в к-ре по инвойсу],"",0,1)</f>
        <v/>
      </c>
      <c r="H47" s="14" t="s">
        <v>40</v>
      </c>
      <c r="I47" s="11" t="str">
        <f>_xlfn.XLOOKUP($A47,Centrum[Индекс],Centrum[CBM on the shipper/ 
CBM по поставщику],"",0,1)</f>
        <v/>
      </c>
      <c r="J47" s="16" t="str">
        <f>_xlfn.XLOOKUP($A47,Centrum[Индекс],Centrum[Gross weight of cont// 
Гросс.вес по конт.],"",0,1)</f>
        <v/>
      </c>
      <c r="K47" s="17" t="str">
        <f>_xlfn.XLOOKUP($A47,Centrum[Индекс],Centrum[Route/ Маршрут (TSR/TCR)],"",0,1)</f>
        <v/>
      </c>
      <c r="L47" s="11" t="str">
        <f>_xlfn.XLOOKUP($A47,Centrum[Индекс],Centrum[Условия поставки],"",0,1)</f>
        <v/>
      </c>
      <c r="M47" s="11" t="str">
        <f>_xlfn.XLOOKUP($A47,Centrum[Индекс],Centrum[№ HBL date / 
№/ дата коносамента],"",0,1)</f>
        <v/>
      </c>
      <c r="N47" s="11" t="str">
        <f>_xlfn.XLOOKUP($A47,Centrum[Индекс],Centrum[№ MBL / 
№/ коносамента],"",0,1)</f>
        <v/>
      </c>
      <c r="O47" s="8" t="e">
        <f>(_xlfn.XLOOKUP($A47,Centrum[Индекс],Centrum[Date on board / Дата погрузки на судно],"",0,1))*1</f>
        <v>#VALUE!</v>
      </c>
      <c r="P47" s="8" t="e">
        <f>(_xlfn.XLOOKUP($A47,Centrum[Индекс],Centrum[Date of arrival to Sary-Agach/ Дата прибытия на Сары-Агач],"",0,1))*1</f>
        <v>#VALUE!</v>
      </c>
      <c r="Q47" s="14" t="str">
        <f>_xlfn.XLOOKUP($A47,Centrum[Индекс],Centrum[Container type/ 
Тип контейнера],"",0,1)</f>
        <v/>
      </c>
      <c r="R47" s="16">
        <f>_xlfn.XLOOKUP($A47,Centrum[Индекс],Centrum[Transportation cost per supplier/ 
Cтоимость перевозки по поставщикам],0,0,1)</f>
        <v>0</v>
      </c>
      <c r="S47" s="16">
        <f>Шаблон_Формулы!$T47-Шаблон_Формулы!$R47</f>
        <v>0</v>
      </c>
      <c r="T47" s="16">
        <f>_xlfn.XLOOKUP($A47,Centrum[Индекс],Centrum[Transportation total amount / Общая стоимость перевозки],0,0,1)</f>
        <v>0</v>
      </c>
      <c r="U47" s="12" cm="1">
        <f t="array" ref="U4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7" s="16">
        <f>_xlfn.XLOOKUP(Шаблон_Формулы[[#This Row],[21]],Курс_USD[Дата],Курс_USD[Курс],,0,1)</f>
        <v>12228.05</v>
      </c>
      <c r="W47" s="16">
        <f>Шаблон_Формулы!$T47*Шаблон_Формулы!$V47</f>
        <v>0</v>
      </c>
      <c r="Y47" s="16">
        <f>Шаблон_Формулы!$W47+Шаблон_Формулы!$X47</f>
        <v>0</v>
      </c>
      <c r="Z47" s="14" t="str">
        <f>_xlfn.XLOOKUP($A47,Centrum[Индекс],Centrum[Transport co invoice no/ 
Номер инвойса ТК],"",0,1)</f>
        <v/>
      </c>
    </row>
    <row r="48" spans="1:26" s="11" customFormat="1" x14ac:dyDescent="0.3">
      <c r="A48" s="14">
        <v>44</v>
      </c>
      <c r="B48" s="11" t="str">
        <f>_xlfn.XLOOKUP($A48,Centrum[Индекс],Centrum[Carrier/ Перевозчик],"",0,1)</f>
        <v/>
      </c>
      <c r="C48" s="11" t="str">
        <f>_xlfn.XLOOKUP($A48,Centrum[Индекс],Centrum[Country /  Страна],"",0,1)</f>
        <v/>
      </c>
      <c r="D48" s="11" t="str">
        <f>_xlfn.XLOOKUP($A48,Centrum[Индекс],Centrum[Container num./ 
№ контейнера],"",0,1)</f>
        <v/>
      </c>
      <c r="E48" s="11" t="str">
        <f>_xlfn.XLOOKUP($A48,Centrum[Индекс],Centrum[Supplier/
Поставщик],"",0,1)</f>
        <v/>
      </c>
      <c r="F48" s="11" t="str">
        <f>_xlfn.XLOOKUP($A48,Centrum[Индекс],Centrum[Shippers invoice no/ 
Номер инвойса поставщика],"",1)</f>
        <v/>
      </c>
      <c r="G48" s="15" t="str">
        <f>_xlfn.XLOOKUP($A48,Centrum[Индекс],Centrum[Invoice value / Стоимость груза в к-ре по инвойсу],"",0,1)</f>
        <v/>
      </c>
      <c r="H48" s="14" t="s">
        <v>40</v>
      </c>
      <c r="I48" s="11" t="str">
        <f>_xlfn.XLOOKUP($A48,Centrum[Индекс],Centrum[CBM on the shipper/ 
CBM по поставщику],"",0,1)</f>
        <v/>
      </c>
      <c r="J48" s="16" t="str">
        <f>_xlfn.XLOOKUP($A48,Centrum[Индекс],Centrum[Gross weight of cont// 
Гросс.вес по конт.],"",0,1)</f>
        <v/>
      </c>
      <c r="K48" s="17" t="str">
        <f>_xlfn.XLOOKUP($A48,Centrum[Индекс],Centrum[Route/ Маршрут (TSR/TCR)],"",0,1)</f>
        <v/>
      </c>
      <c r="L48" s="11" t="str">
        <f>_xlfn.XLOOKUP($A48,Centrum[Индекс],Centrum[Условия поставки],"",0,1)</f>
        <v/>
      </c>
      <c r="M48" s="11" t="str">
        <f>_xlfn.XLOOKUP($A48,Centrum[Индекс],Centrum[№ HBL date / 
№/ дата коносамента],"",0,1)</f>
        <v/>
      </c>
      <c r="N48" s="11" t="str">
        <f>_xlfn.XLOOKUP($A48,Centrum[Индекс],Centrum[№ MBL / 
№/ коносамента],"",0,1)</f>
        <v/>
      </c>
      <c r="O48" s="8" t="e">
        <f>(_xlfn.XLOOKUP($A48,Centrum[Индекс],Centrum[Date on board / Дата погрузки на судно],"",0,1))*1</f>
        <v>#VALUE!</v>
      </c>
      <c r="P48" s="8" t="e">
        <f>(_xlfn.XLOOKUP($A48,Centrum[Индекс],Centrum[Date of arrival to Sary-Agach/ Дата прибытия на Сары-Агач],"",0,1))*1</f>
        <v>#VALUE!</v>
      </c>
      <c r="Q48" s="14" t="str">
        <f>_xlfn.XLOOKUP($A48,Centrum[Индекс],Centrum[Container type/ 
Тип контейнера],"",0,1)</f>
        <v/>
      </c>
      <c r="R48" s="16">
        <f>_xlfn.XLOOKUP($A48,Centrum[Индекс],Centrum[Transportation cost per supplier/ 
Cтоимость перевозки по поставщикам],0,0,1)</f>
        <v>0</v>
      </c>
      <c r="S48" s="16">
        <f>Шаблон_Формулы!$T48-Шаблон_Формулы!$R48</f>
        <v>0</v>
      </c>
      <c r="T48" s="16">
        <f>_xlfn.XLOOKUP($A48,Centrum[Индекс],Centrum[Transportation total amount / Общая стоимость перевозки],0,0,1)</f>
        <v>0</v>
      </c>
      <c r="U48" s="12" cm="1">
        <f t="array" ref="U4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8" s="16">
        <f>_xlfn.XLOOKUP(Шаблон_Формулы[[#This Row],[21]],Курс_USD[Дата],Курс_USD[Курс],,0,1)</f>
        <v>12228.05</v>
      </c>
      <c r="W48" s="16">
        <f>Шаблон_Формулы!$T48*Шаблон_Формулы!$V48</f>
        <v>0</v>
      </c>
      <c r="Y48" s="16">
        <f>Шаблон_Формулы!$W48+Шаблон_Формулы!$X48</f>
        <v>0</v>
      </c>
      <c r="Z48" s="14" t="str">
        <f>_xlfn.XLOOKUP($A48,Centrum[Индекс],Centrum[Transport co invoice no/ 
Номер инвойса ТК],"",0,1)</f>
        <v/>
      </c>
    </row>
    <row r="49" spans="1:26" s="11" customFormat="1" x14ac:dyDescent="0.3">
      <c r="A49" s="14">
        <v>45</v>
      </c>
      <c r="B49" s="11" t="str">
        <f>_xlfn.XLOOKUP($A49,Centrum[Индекс],Centrum[Carrier/ Перевозчик],"",0,1)</f>
        <v/>
      </c>
      <c r="C49" s="11" t="str">
        <f>_xlfn.XLOOKUP($A49,Centrum[Индекс],Centrum[Country /  Страна],"",0,1)</f>
        <v/>
      </c>
      <c r="D49" s="11" t="str">
        <f>_xlfn.XLOOKUP($A49,Centrum[Индекс],Centrum[Container num./ 
№ контейнера],"",0,1)</f>
        <v/>
      </c>
      <c r="E49" s="11" t="str">
        <f>_xlfn.XLOOKUP($A49,Centrum[Индекс],Centrum[Supplier/
Поставщик],"",0,1)</f>
        <v/>
      </c>
      <c r="F49" s="11" t="str">
        <f>_xlfn.XLOOKUP($A49,Centrum[Индекс],Centrum[Shippers invoice no/ 
Номер инвойса поставщика],"",1)</f>
        <v/>
      </c>
      <c r="G49" s="15" t="str">
        <f>_xlfn.XLOOKUP($A49,Centrum[Индекс],Centrum[Invoice value / Стоимость груза в к-ре по инвойсу],"",0,1)</f>
        <v/>
      </c>
      <c r="H49" s="14" t="s">
        <v>40</v>
      </c>
      <c r="I49" s="11" t="str">
        <f>_xlfn.XLOOKUP($A49,Centrum[Индекс],Centrum[CBM on the shipper/ 
CBM по поставщику],"",0,1)</f>
        <v/>
      </c>
      <c r="J49" s="16" t="str">
        <f>_xlfn.XLOOKUP($A49,Centrum[Индекс],Centrum[Gross weight of cont// 
Гросс.вес по конт.],"",0,1)</f>
        <v/>
      </c>
      <c r="K49" s="17" t="str">
        <f>_xlfn.XLOOKUP($A49,Centrum[Индекс],Centrum[Route/ Маршрут (TSR/TCR)],"",0,1)</f>
        <v/>
      </c>
      <c r="L49" s="11" t="str">
        <f>_xlfn.XLOOKUP($A49,Centrum[Индекс],Centrum[Условия поставки],"",0,1)</f>
        <v/>
      </c>
      <c r="M49" s="11" t="str">
        <f>_xlfn.XLOOKUP($A49,Centrum[Индекс],Centrum[№ HBL date / 
№/ дата коносамента],"",0,1)</f>
        <v/>
      </c>
      <c r="N49" s="11" t="str">
        <f>_xlfn.XLOOKUP($A49,Centrum[Индекс],Centrum[№ MBL / 
№/ коносамента],"",0,1)</f>
        <v/>
      </c>
      <c r="O49" s="8" t="e">
        <f>(_xlfn.XLOOKUP($A49,Centrum[Индекс],Centrum[Date on board / Дата погрузки на судно],"",0,1))*1</f>
        <v>#VALUE!</v>
      </c>
      <c r="P49" s="8" t="e">
        <f>(_xlfn.XLOOKUP($A49,Centrum[Индекс],Centrum[Date of arrival to Sary-Agach/ Дата прибытия на Сары-Агач],"",0,1))*1</f>
        <v>#VALUE!</v>
      </c>
      <c r="Q49" s="14" t="str">
        <f>_xlfn.XLOOKUP($A49,Centrum[Индекс],Centrum[Container type/ 
Тип контейнера],"",0,1)</f>
        <v/>
      </c>
      <c r="R49" s="16">
        <f>_xlfn.XLOOKUP($A49,Centrum[Индекс],Centrum[Transportation cost per supplier/ 
Cтоимость перевозки по поставщикам],0,0,1)</f>
        <v>0</v>
      </c>
      <c r="S49" s="16">
        <f>Шаблон_Формулы!$T49-Шаблон_Формулы!$R49</f>
        <v>0</v>
      </c>
      <c r="T49" s="16">
        <f>_xlfn.XLOOKUP($A49,Centrum[Индекс],Centrum[Transportation total amount / Общая стоимость перевозки],0,0,1)</f>
        <v>0</v>
      </c>
      <c r="U49" s="12" cm="1">
        <f t="array" ref="U4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49" s="16">
        <f>_xlfn.XLOOKUP(Шаблон_Формулы[[#This Row],[21]],Курс_USD[Дата],Курс_USD[Курс],,0,1)</f>
        <v>12228.05</v>
      </c>
      <c r="W49" s="16">
        <f>Шаблон_Формулы!$T49*Шаблон_Формулы!$V49</f>
        <v>0</v>
      </c>
      <c r="Y49" s="16">
        <f>Шаблон_Формулы!$W49+Шаблон_Формулы!$X49</f>
        <v>0</v>
      </c>
      <c r="Z49" s="14" t="str">
        <f>_xlfn.XLOOKUP($A49,Centrum[Индекс],Centrum[Transport co invoice no/ 
Номер инвойса ТК],"",0,1)</f>
        <v/>
      </c>
    </row>
    <row r="50" spans="1:26" s="11" customFormat="1" x14ac:dyDescent="0.3">
      <c r="A50" s="14">
        <v>46</v>
      </c>
      <c r="B50" s="11" t="str">
        <f>_xlfn.XLOOKUP($A50,Centrum[Индекс],Centrum[Carrier/ Перевозчик],"",0,1)</f>
        <v/>
      </c>
      <c r="C50" s="11" t="str">
        <f>_xlfn.XLOOKUP($A50,Centrum[Индекс],Centrum[Country /  Страна],"",0,1)</f>
        <v/>
      </c>
      <c r="D50" s="11" t="str">
        <f>_xlfn.XLOOKUP($A50,Centrum[Индекс],Centrum[Container num./ 
№ контейнера],"",0,1)</f>
        <v/>
      </c>
      <c r="E50" s="11" t="str">
        <f>_xlfn.XLOOKUP($A50,Centrum[Индекс],Centrum[Supplier/
Поставщик],"",0,1)</f>
        <v/>
      </c>
      <c r="F50" s="11" t="str">
        <f>_xlfn.XLOOKUP($A50,Centrum[Индекс],Centrum[Shippers invoice no/ 
Номер инвойса поставщика],"",1)</f>
        <v/>
      </c>
      <c r="G50" s="15" t="str">
        <f>_xlfn.XLOOKUP($A50,Centrum[Индекс],Centrum[Invoice value / Стоимость груза в к-ре по инвойсу],"",0,1)</f>
        <v/>
      </c>
      <c r="H50" s="14" t="s">
        <v>40</v>
      </c>
      <c r="I50" s="11" t="str">
        <f>_xlfn.XLOOKUP($A50,Centrum[Индекс],Centrum[CBM on the shipper/ 
CBM по поставщику],"",0,1)</f>
        <v/>
      </c>
      <c r="J50" s="16" t="str">
        <f>_xlfn.XLOOKUP($A50,Centrum[Индекс],Centrum[Gross weight of cont// 
Гросс.вес по конт.],"",0,1)</f>
        <v/>
      </c>
      <c r="K50" s="17" t="str">
        <f>_xlfn.XLOOKUP($A50,Centrum[Индекс],Centrum[Route/ Маршрут (TSR/TCR)],"",0,1)</f>
        <v/>
      </c>
      <c r="L50" s="11" t="str">
        <f>_xlfn.XLOOKUP($A50,Centrum[Индекс],Centrum[Условия поставки],"",0,1)</f>
        <v/>
      </c>
      <c r="M50" s="11" t="str">
        <f>_xlfn.XLOOKUP($A50,Centrum[Индекс],Centrum[№ HBL date / 
№/ дата коносамента],"",0,1)</f>
        <v/>
      </c>
      <c r="N50" s="11" t="str">
        <f>_xlfn.XLOOKUP($A50,Centrum[Индекс],Centrum[№ MBL / 
№/ коносамента],"",0,1)</f>
        <v/>
      </c>
      <c r="O50" s="8" t="e">
        <f>(_xlfn.XLOOKUP($A50,Centrum[Индекс],Centrum[Date on board / Дата погрузки на судно],"",0,1))*1</f>
        <v>#VALUE!</v>
      </c>
      <c r="P50" s="8" t="e">
        <f>(_xlfn.XLOOKUP($A50,Centrum[Индекс],Centrum[Date of arrival to Sary-Agach/ Дата прибытия на Сары-Агач],"",0,1))*1</f>
        <v>#VALUE!</v>
      </c>
      <c r="Q50" s="14" t="str">
        <f>_xlfn.XLOOKUP($A50,Centrum[Индекс],Centrum[Container type/ 
Тип контейнера],"",0,1)</f>
        <v/>
      </c>
      <c r="R50" s="16">
        <f>_xlfn.XLOOKUP($A50,Centrum[Индекс],Centrum[Transportation cost per supplier/ 
Cтоимость перевозки по поставщикам],0,0,1)</f>
        <v>0</v>
      </c>
      <c r="S50" s="16">
        <f>Шаблон_Формулы!$T50-Шаблон_Формулы!$R50</f>
        <v>0</v>
      </c>
      <c r="T50" s="16">
        <f>_xlfn.XLOOKUP($A50,Centrum[Индекс],Centrum[Transportation total amount / Общая стоимость перевозки],0,0,1)</f>
        <v>0</v>
      </c>
      <c r="U50" s="12" cm="1">
        <f t="array" ref="U5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0" s="16">
        <f>_xlfn.XLOOKUP(Шаблон_Формулы[[#This Row],[21]],Курс_USD[Дата],Курс_USD[Курс],,0,1)</f>
        <v>12228.05</v>
      </c>
      <c r="W50" s="16">
        <f>Шаблон_Формулы!$T50*Шаблон_Формулы!$V50</f>
        <v>0</v>
      </c>
      <c r="Y50" s="16">
        <f>Шаблон_Формулы!$W50+Шаблон_Формулы!$X50</f>
        <v>0</v>
      </c>
      <c r="Z50" s="14" t="str">
        <f>_xlfn.XLOOKUP($A50,Centrum[Индекс],Centrum[Transport co invoice no/ 
Номер инвойса ТК],"",0,1)</f>
        <v/>
      </c>
    </row>
    <row r="51" spans="1:26" s="11" customFormat="1" x14ac:dyDescent="0.3">
      <c r="A51" s="14">
        <v>47</v>
      </c>
      <c r="B51" s="11" t="str">
        <f>_xlfn.XLOOKUP($A51,Centrum[Индекс],Centrum[Carrier/ Перевозчик],"",0,1)</f>
        <v/>
      </c>
      <c r="C51" s="11" t="str">
        <f>_xlfn.XLOOKUP($A51,Centrum[Индекс],Centrum[Country /  Страна],"",0,1)</f>
        <v/>
      </c>
      <c r="D51" s="11" t="str">
        <f>_xlfn.XLOOKUP($A51,Centrum[Индекс],Centrum[Container num./ 
№ контейнера],"",0,1)</f>
        <v/>
      </c>
      <c r="E51" s="11" t="str">
        <f>_xlfn.XLOOKUP($A51,Centrum[Индекс],Centrum[Supplier/
Поставщик],"",0,1)</f>
        <v/>
      </c>
      <c r="F51" s="11" t="str">
        <f>_xlfn.XLOOKUP($A51,Centrum[Индекс],Centrum[Shippers invoice no/ 
Номер инвойса поставщика],"",1)</f>
        <v/>
      </c>
      <c r="G51" s="15" t="str">
        <f>_xlfn.XLOOKUP($A51,Centrum[Индекс],Centrum[Invoice value / Стоимость груза в к-ре по инвойсу],"",0,1)</f>
        <v/>
      </c>
      <c r="H51" s="14" t="s">
        <v>40</v>
      </c>
      <c r="I51" s="11" t="str">
        <f>_xlfn.XLOOKUP($A51,Centrum[Индекс],Centrum[CBM on the shipper/ 
CBM по поставщику],"",0,1)</f>
        <v/>
      </c>
      <c r="J51" s="16" t="str">
        <f>_xlfn.XLOOKUP($A51,Centrum[Индекс],Centrum[Gross weight of cont// 
Гросс.вес по конт.],"",0,1)</f>
        <v/>
      </c>
      <c r="K51" s="17" t="str">
        <f>_xlfn.XLOOKUP($A51,Centrum[Индекс],Centrum[Route/ Маршрут (TSR/TCR)],"",0,1)</f>
        <v/>
      </c>
      <c r="L51" s="11" t="str">
        <f>_xlfn.XLOOKUP($A51,Centrum[Индекс],Centrum[Условия поставки],"",0,1)</f>
        <v/>
      </c>
      <c r="M51" s="11" t="str">
        <f>_xlfn.XLOOKUP($A51,Centrum[Индекс],Centrum[№ HBL date / 
№/ дата коносамента],"",0,1)</f>
        <v/>
      </c>
      <c r="N51" s="11" t="str">
        <f>_xlfn.XLOOKUP($A51,Centrum[Индекс],Centrum[№ MBL / 
№/ коносамента],"",0,1)</f>
        <v/>
      </c>
      <c r="O51" s="8" t="e">
        <f>(_xlfn.XLOOKUP($A51,Centrum[Индекс],Centrum[Date on board / Дата погрузки на судно],"",0,1))*1</f>
        <v>#VALUE!</v>
      </c>
      <c r="P51" s="8" t="e">
        <f>(_xlfn.XLOOKUP($A51,Centrum[Индекс],Centrum[Date of arrival to Sary-Agach/ Дата прибытия на Сары-Агач],"",0,1))*1</f>
        <v>#VALUE!</v>
      </c>
      <c r="Q51" s="14" t="str">
        <f>_xlfn.XLOOKUP($A51,Centrum[Индекс],Centrum[Container type/ 
Тип контейнера],"",0,1)</f>
        <v/>
      </c>
      <c r="R51" s="16">
        <f>_xlfn.XLOOKUP($A51,Centrum[Индекс],Centrum[Transportation cost per supplier/ 
Cтоимость перевозки по поставщикам],0,0,1)</f>
        <v>0</v>
      </c>
      <c r="S51" s="16">
        <f>Шаблон_Формулы!$T51-Шаблон_Формулы!$R51</f>
        <v>0</v>
      </c>
      <c r="T51" s="16">
        <f>_xlfn.XLOOKUP($A51,Centrum[Индекс],Centrum[Transportation total amount / Общая стоимость перевозки],0,0,1)</f>
        <v>0</v>
      </c>
      <c r="U51" s="12" cm="1">
        <f t="array" ref="U5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1" s="16">
        <f>_xlfn.XLOOKUP(Шаблон_Формулы[[#This Row],[21]],Курс_USD[Дата],Курс_USD[Курс],,0,1)</f>
        <v>12228.05</v>
      </c>
      <c r="W51" s="16">
        <f>Шаблон_Формулы!$T51*Шаблон_Формулы!$V51</f>
        <v>0</v>
      </c>
      <c r="Y51" s="16">
        <f>Шаблон_Формулы!$W51+Шаблон_Формулы!$X51</f>
        <v>0</v>
      </c>
      <c r="Z51" s="14" t="str">
        <f>_xlfn.XLOOKUP($A51,Centrum[Индекс],Centrum[Transport co invoice no/ 
Номер инвойса ТК],"",0,1)</f>
        <v/>
      </c>
    </row>
    <row r="52" spans="1:26" s="11" customFormat="1" x14ac:dyDescent="0.3">
      <c r="A52" s="14">
        <v>48</v>
      </c>
      <c r="B52" s="11" t="str">
        <f>_xlfn.XLOOKUP($A52,Centrum[Индекс],Centrum[Carrier/ Перевозчик],"",0,1)</f>
        <v/>
      </c>
      <c r="C52" s="11" t="str">
        <f>_xlfn.XLOOKUP($A52,Centrum[Индекс],Centrum[Country /  Страна],"",0,1)</f>
        <v/>
      </c>
      <c r="D52" s="11" t="str">
        <f>_xlfn.XLOOKUP($A52,Centrum[Индекс],Centrum[Container num./ 
№ контейнера],"",0,1)</f>
        <v/>
      </c>
      <c r="E52" s="11" t="str">
        <f>_xlfn.XLOOKUP($A52,Centrum[Индекс],Centrum[Supplier/
Поставщик],"",0,1)</f>
        <v/>
      </c>
      <c r="F52" s="11" t="str">
        <f>_xlfn.XLOOKUP($A52,Centrum[Индекс],Centrum[Shippers invoice no/ 
Номер инвойса поставщика],"",1)</f>
        <v/>
      </c>
      <c r="G52" s="15" t="str">
        <f>_xlfn.XLOOKUP($A52,Centrum[Индекс],Centrum[Invoice value / Стоимость груза в к-ре по инвойсу],"",0,1)</f>
        <v/>
      </c>
      <c r="H52" s="14" t="s">
        <v>40</v>
      </c>
      <c r="I52" s="11" t="str">
        <f>_xlfn.XLOOKUP($A52,Centrum[Индекс],Centrum[CBM on the shipper/ 
CBM по поставщику],"",0,1)</f>
        <v/>
      </c>
      <c r="J52" s="16" t="str">
        <f>_xlfn.XLOOKUP($A52,Centrum[Индекс],Centrum[Gross weight of cont// 
Гросс.вес по конт.],"",0,1)</f>
        <v/>
      </c>
      <c r="K52" s="17" t="str">
        <f>_xlfn.XLOOKUP($A52,Centrum[Индекс],Centrum[Route/ Маршрут (TSR/TCR)],"",0,1)</f>
        <v/>
      </c>
      <c r="L52" s="11" t="str">
        <f>_xlfn.XLOOKUP($A52,Centrum[Индекс],Centrum[Условия поставки],"",0,1)</f>
        <v/>
      </c>
      <c r="M52" s="11" t="str">
        <f>_xlfn.XLOOKUP($A52,Centrum[Индекс],Centrum[№ HBL date / 
№/ дата коносамента],"",0,1)</f>
        <v/>
      </c>
      <c r="N52" s="11" t="str">
        <f>_xlfn.XLOOKUP($A52,Centrum[Индекс],Centrum[№ MBL / 
№/ коносамента],"",0,1)</f>
        <v/>
      </c>
      <c r="O52" s="8" t="e">
        <f>(_xlfn.XLOOKUP($A52,Centrum[Индекс],Centrum[Date on board / Дата погрузки на судно],"",0,1))*1</f>
        <v>#VALUE!</v>
      </c>
      <c r="P52" s="8" t="e">
        <f>(_xlfn.XLOOKUP($A52,Centrum[Индекс],Centrum[Date of arrival to Sary-Agach/ Дата прибытия на Сары-Агач],"",0,1))*1</f>
        <v>#VALUE!</v>
      </c>
      <c r="Q52" s="14" t="str">
        <f>_xlfn.XLOOKUP($A52,Centrum[Индекс],Centrum[Container type/ 
Тип контейнера],"",0,1)</f>
        <v/>
      </c>
      <c r="R52" s="16">
        <f>_xlfn.XLOOKUP($A52,Centrum[Индекс],Centrum[Transportation cost per supplier/ 
Cтоимость перевозки по поставщикам],0,0,1)</f>
        <v>0</v>
      </c>
      <c r="S52" s="16">
        <f>Шаблон_Формулы!$T52-Шаблон_Формулы!$R52</f>
        <v>0</v>
      </c>
      <c r="T52" s="16">
        <f>_xlfn.XLOOKUP($A52,Centrum[Индекс],Centrum[Transportation total amount / Общая стоимость перевозки],0,0,1)</f>
        <v>0</v>
      </c>
      <c r="U52" s="12" cm="1">
        <f t="array" ref="U5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2" s="16">
        <f>_xlfn.XLOOKUP(Шаблон_Формулы[[#This Row],[21]],Курс_USD[Дата],Курс_USD[Курс],,0,1)</f>
        <v>12228.05</v>
      </c>
      <c r="W52" s="16">
        <f>Шаблон_Формулы!$T52*Шаблон_Формулы!$V52</f>
        <v>0</v>
      </c>
      <c r="Y52" s="16">
        <f>Шаблон_Формулы!$W52+Шаблон_Формулы!$X52</f>
        <v>0</v>
      </c>
      <c r="Z52" s="14" t="str">
        <f>_xlfn.XLOOKUP($A52,Centrum[Индекс],Centrum[Transport co invoice no/ 
Номер инвойса ТК],"",0,1)</f>
        <v/>
      </c>
    </row>
    <row r="53" spans="1:26" s="11" customFormat="1" x14ac:dyDescent="0.3">
      <c r="A53" s="14">
        <v>49</v>
      </c>
      <c r="B53" s="11" t="str">
        <f>_xlfn.XLOOKUP($A53,Centrum[Индекс],Centrum[Carrier/ Перевозчик],"",0,1)</f>
        <v/>
      </c>
      <c r="C53" s="11" t="str">
        <f>_xlfn.XLOOKUP($A53,Centrum[Индекс],Centrum[Country /  Страна],"",0,1)</f>
        <v/>
      </c>
      <c r="D53" s="11" t="str">
        <f>_xlfn.XLOOKUP($A53,Centrum[Индекс],Centrum[Container num./ 
№ контейнера],"",0,1)</f>
        <v/>
      </c>
      <c r="E53" s="11" t="str">
        <f>_xlfn.XLOOKUP($A53,Centrum[Индекс],Centrum[Supplier/
Поставщик],"",0,1)</f>
        <v/>
      </c>
      <c r="F53" s="11" t="str">
        <f>_xlfn.XLOOKUP($A53,Centrum[Индекс],Centrum[Shippers invoice no/ 
Номер инвойса поставщика],"",1)</f>
        <v/>
      </c>
      <c r="G53" s="15" t="str">
        <f>_xlfn.XLOOKUP($A53,Centrum[Индекс],Centrum[Invoice value / Стоимость груза в к-ре по инвойсу],"",0,1)</f>
        <v/>
      </c>
      <c r="H53" s="14" t="s">
        <v>40</v>
      </c>
      <c r="I53" s="11" t="str">
        <f>_xlfn.XLOOKUP($A53,Centrum[Индекс],Centrum[CBM on the shipper/ 
CBM по поставщику],"",0,1)</f>
        <v/>
      </c>
      <c r="J53" s="16" t="str">
        <f>_xlfn.XLOOKUP($A53,Centrum[Индекс],Centrum[Gross weight of cont// 
Гросс.вес по конт.],"",0,1)</f>
        <v/>
      </c>
      <c r="K53" s="17" t="str">
        <f>_xlfn.XLOOKUP($A53,Centrum[Индекс],Centrum[Route/ Маршрут (TSR/TCR)],"",0,1)</f>
        <v/>
      </c>
      <c r="L53" s="11" t="str">
        <f>_xlfn.XLOOKUP($A53,Centrum[Индекс],Centrum[Условия поставки],"",0,1)</f>
        <v/>
      </c>
      <c r="M53" s="11" t="str">
        <f>_xlfn.XLOOKUP($A53,Centrum[Индекс],Centrum[№ HBL date / 
№/ дата коносамента],"",0,1)</f>
        <v/>
      </c>
      <c r="N53" s="11" t="str">
        <f>_xlfn.XLOOKUP($A53,Centrum[Индекс],Centrum[№ MBL / 
№/ коносамента],"",0,1)</f>
        <v/>
      </c>
      <c r="O53" s="8" t="e">
        <f>(_xlfn.XLOOKUP($A53,Centrum[Индекс],Centrum[Date on board / Дата погрузки на судно],"",0,1))*1</f>
        <v>#VALUE!</v>
      </c>
      <c r="P53" s="8" t="e">
        <f>(_xlfn.XLOOKUP($A53,Centrum[Индекс],Centrum[Date of arrival to Sary-Agach/ Дата прибытия на Сары-Агач],"",0,1))*1</f>
        <v>#VALUE!</v>
      </c>
      <c r="Q53" s="14" t="str">
        <f>_xlfn.XLOOKUP($A53,Centrum[Индекс],Centrum[Container type/ 
Тип контейнера],"",0,1)</f>
        <v/>
      </c>
      <c r="R53" s="16">
        <f>_xlfn.XLOOKUP($A53,Centrum[Индекс],Centrum[Transportation cost per supplier/ 
Cтоимость перевозки по поставщикам],0,0,1)</f>
        <v>0</v>
      </c>
      <c r="S53" s="16">
        <f>Шаблон_Формулы!$T53-Шаблон_Формулы!$R53</f>
        <v>0</v>
      </c>
      <c r="T53" s="16">
        <f>_xlfn.XLOOKUP($A53,Centrum[Индекс],Centrum[Transportation total amount / Общая стоимость перевозки],0,0,1)</f>
        <v>0</v>
      </c>
      <c r="U53" s="12" cm="1">
        <f t="array" ref="U5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3" s="16">
        <f>_xlfn.XLOOKUP(Шаблон_Формулы[[#This Row],[21]],Курс_USD[Дата],Курс_USD[Курс],,0,1)</f>
        <v>12228.05</v>
      </c>
      <c r="W53" s="16">
        <f>Шаблон_Формулы!$T53*Шаблон_Формулы!$V53</f>
        <v>0</v>
      </c>
      <c r="Y53" s="16">
        <f>Шаблон_Формулы!$W53+Шаблон_Формулы!$X53</f>
        <v>0</v>
      </c>
      <c r="Z53" s="14" t="str">
        <f>_xlfn.XLOOKUP($A53,Centrum[Индекс],Centrum[Transport co invoice no/ 
Номер инвойса ТК],"",0,1)</f>
        <v/>
      </c>
    </row>
    <row r="54" spans="1:26" s="11" customFormat="1" x14ac:dyDescent="0.3">
      <c r="A54" s="14">
        <v>50</v>
      </c>
      <c r="B54" s="11" t="str">
        <f>_xlfn.XLOOKUP($A54,Centrum[Индекс],Centrum[Carrier/ Перевозчик],"",0,1)</f>
        <v/>
      </c>
      <c r="C54" s="11" t="str">
        <f>_xlfn.XLOOKUP($A54,Centrum[Индекс],Centrum[Country /  Страна],"",0,1)</f>
        <v/>
      </c>
      <c r="D54" s="11" t="str">
        <f>_xlfn.XLOOKUP($A54,Centrum[Индекс],Centrum[Container num./ 
№ контейнера],"",0,1)</f>
        <v/>
      </c>
      <c r="E54" s="11" t="str">
        <f>_xlfn.XLOOKUP($A54,Centrum[Индекс],Centrum[Supplier/
Поставщик],"",0,1)</f>
        <v/>
      </c>
      <c r="F54" s="11" t="str">
        <f>_xlfn.XLOOKUP($A54,Centrum[Индекс],Centrum[Shippers invoice no/ 
Номер инвойса поставщика],"",1)</f>
        <v/>
      </c>
      <c r="G54" s="15" t="str">
        <f>_xlfn.XLOOKUP($A54,Centrum[Индекс],Centrum[Invoice value / Стоимость груза в к-ре по инвойсу],"",0,1)</f>
        <v/>
      </c>
      <c r="H54" s="14" t="s">
        <v>40</v>
      </c>
      <c r="I54" s="11" t="str">
        <f>_xlfn.XLOOKUP($A54,Centrum[Индекс],Centrum[CBM on the shipper/ 
CBM по поставщику],"",0,1)</f>
        <v/>
      </c>
      <c r="J54" s="16" t="str">
        <f>_xlfn.XLOOKUP($A54,Centrum[Индекс],Centrum[Gross weight of cont// 
Гросс.вес по конт.],"",0,1)</f>
        <v/>
      </c>
      <c r="K54" s="17" t="str">
        <f>_xlfn.XLOOKUP($A54,Centrum[Индекс],Centrum[Route/ Маршрут (TSR/TCR)],"",0,1)</f>
        <v/>
      </c>
      <c r="L54" s="11" t="str">
        <f>_xlfn.XLOOKUP($A54,Centrum[Индекс],Centrum[Условия поставки],"",0,1)</f>
        <v/>
      </c>
      <c r="M54" s="11" t="str">
        <f>_xlfn.XLOOKUP($A54,Centrum[Индекс],Centrum[№ HBL date / 
№/ дата коносамента],"",0,1)</f>
        <v/>
      </c>
      <c r="N54" s="11" t="str">
        <f>_xlfn.XLOOKUP($A54,Centrum[Индекс],Centrum[№ MBL / 
№/ коносамента],"",0,1)</f>
        <v/>
      </c>
      <c r="O54" s="8" t="e">
        <f>(_xlfn.XLOOKUP($A54,Centrum[Индекс],Centrum[Date on board / Дата погрузки на судно],"",0,1))*1</f>
        <v>#VALUE!</v>
      </c>
      <c r="P54" s="8" t="e">
        <f>(_xlfn.XLOOKUP($A54,Centrum[Индекс],Centrum[Date of arrival to Sary-Agach/ Дата прибытия на Сары-Агач],"",0,1))*1</f>
        <v>#VALUE!</v>
      </c>
      <c r="Q54" s="14" t="str">
        <f>_xlfn.XLOOKUP($A54,Centrum[Индекс],Centrum[Container type/ 
Тип контейнера],"",0,1)</f>
        <v/>
      </c>
      <c r="R54" s="16">
        <f>_xlfn.XLOOKUP($A54,Centrum[Индекс],Centrum[Transportation cost per supplier/ 
Cтоимость перевозки по поставщикам],0,0,1)</f>
        <v>0</v>
      </c>
      <c r="S54" s="16">
        <f>Шаблон_Формулы!$T54-Шаблон_Формулы!$R54</f>
        <v>0</v>
      </c>
      <c r="T54" s="16">
        <f>_xlfn.XLOOKUP($A54,Centrum[Индекс],Centrum[Transportation total amount / Общая стоимость перевозки],0,0,1)</f>
        <v>0</v>
      </c>
      <c r="U54" s="12" cm="1">
        <f t="array" ref="U5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4" s="16">
        <f>_xlfn.XLOOKUP(Шаблон_Формулы[[#This Row],[21]],Курс_USD[Дата],Курс_USD[Курс],,0,1)</f>
        <v>12228.05</v>
      </c>
      <c r="W54" s="16">
        <f>Шаблон_Формулы!$T54*Шаблон_Формулы!$V54</f>
        <v>0</v>
      </c>
      <c r="Y54" s="16">
        <f>Шаблон_Формулы!$W54+Шаблон_Формулы!$X54</f>
        <v>0</v>
      </c>
      <c r="Z54" s="14" t="str">
        <f>_xlfn.XLOOKUP($A54,Centrum[Индекс],Centrum[Transport co invoice no/ 
Номер инвойса ТК],"",0,1)</f>
        <v/>
      </c>
    </row>
    <row r="55" spans="1:26" s="11" customFormat="1" x14ac:dyDescent="0.3">
      <c r="A55" s="14">
        <v>51</v>
      </c>
      <c r="B55" s="11" t="str">
        <f>_xlfn.XLOOKUP($A55,Centrum[Индекс],Centrum[Carrier/ Перевозчик],"",0,1)</f>
        <v/>
      </c>
      <c r="C55" s="11" t="str">
        <f>_xlfn.XLOOKUP($A55,Centrum[Индекс],Centrum[Country /  Страна],"",0,1)</f>
        <v/>
      </c>
      <c r="D55" s="11" t="str">
        <f>_xlfn.XLOOKUP($A55,Centrum[Индекс],Centrum[Container num./ 
№ контейнера],"",0,1)</f>
        <v/>
      </c>
      <c r="E55" s="11" t="str">
        <f>_xlfn.XLOOKUP($A55,Centrum[Индекс],Centrum[Supplier/
Поставщик],"",0,1)</f>
        <v/>
      </c>
      <c r="F55" s="11" t="str">
        <f>_xlfn.XLOOKUP($A55,Centrum[Индекс],Centrum[Shippers invoice no/ 
Номер инвойса поставщика],"",1)</f>
        <v/>
      </c>
      <c r="G55" s="15" t="str">
        <f>_xlfn.XLOOKUP($A55,Centrum[Индекс],Centrum[Invoice value / Стоимость груза в к-ре по инвойсу],"",0,1)</f>
        <v/>
      </c>
      <c r="H55" s="14" t="s">
        <v>40</v>
      </c>
      <c r="I55" s="11" t="str">
        <f>_xlfn.XLOOKUP($A55,Centrum[Индекс],Centrum[CBM on the shipper/ 
CBM по поставщику],"",0,1)</f>
        <v/>
      </c>
      <c r="J55" s="16" t="str">
        <f>_xlfn.XLOOKUP($A55,Centrum[Индекс],Centrum[Gross weight of cont// 
Гросс.вес по конт.],"",0,1)</f>
        <v/>
      </c>
      <c r="K55" s="17" t="str">
        <f>_xlfn.XLOOKUP($A55,Centrum[Индекс],Centrum[Route/ Маршрут (TSR/TCR)],"",0,1)</f>
        <v/>
      </c>
      <c r="L55" s="11" t="str">
        <f>_xlfn.XLOOKUP($A55,Centrum[Индекс],Centrum[Условия поставки],"",0,1)</f>
        <v/>
      </c>
      <c r="M55" s="11" t="str">
        <f>_xlfn.XLOOKUP($A55,Centrum[Индекс],Centrum[№ HBL date / 
№/ дата коносамента],"",0,1)</f>
        <v/>
      </c>
      <c r="N55" s="11" t="str">
        <f>_xlfn.XLOOKUP($A55,Centrum[Индекс],Centrum[№ MBL / 
№/ коносамента],"",0,1)</f>
        <v/>
      </c>
      <c r="O55" s="8" t="e">
        <f>(_xlfn.XLOOKUP($A55,Centrum[Индекс],Centrum[Date on board / Дата погрузки на судно],"",0,1))*1</f>
        <v>#VALUE!</v>
      </c>
      <c r="P55" s="8" t="e">
        <f>(_xlfn.XLOOKUP($A55,Centrum[Индекс],Centrum[Date of arrival to Sary-Agach/ Дата прибытия на Сары-Агач],"",0,1))*1</f>
        <v>#VALUE!</v>
      </c>
      <c r="Q55" s="14" t="str">
        <f>_xlfn.XLOOKUP($A55,Centrum[Индекс],Centrum[Container type/ 
Тип контейнера],"",0,1)</f>
        <v/>
      </c>
      <c r="R55" s="16">
        <f>_xlfn.XLOOKUP($A55,Centrum[Индекс],Centrum[Transportation cost per supplier/ 
Cтоимость перевозки по поставщикам],0,0,1)</f>
        <v>0</v>
      </c>
      <c r="S55" s="16">
        <f>Шаблон_Формулы!$T55-Шаблон_Формулы!$R55</f>
        <v>0</v>
      </c>
      <c r="T55" s="16">
        <f>_xlfn.XLOOKUP($A55,Centrum[Индекс],Centrum[Transportation total amount / Общая стоимость перевозки],0,0,1)</f>
        <v>0</v>
      </c>
      <c r="U55" s="12" cm="1">
        <f t="array" ref="U5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5" s="16">
        <f>_xlfn.XLOOKUP(Шаблон_Формулы[[#This Row],[21]],Курс_USD[Дата],Курс_USD[Курс],,0,1)</f>
        <v>12228.05</v>
      </c>
      <c r="W55" s="16">
        <f>Шаблон_Формулы!$T55*Шаблон_Формулы!$V55</f>
        <v>0</v>
      </c>
      <c r="Y55" s="16">
        <f>Шаблон_Формулы!$W55+Шаблон_Формулы!$X55</f>
        <v>0</v>
      </c>
      <c r="Z55" s="14" t="str">
        <f>_xlfn.XLOOKUP($A55,Centrum[Индекс],Centrum[Transport co invoice no/ 
Номер инвойса ТК],"",0,1)</f>
        <v/>
      </c>
    </row>
    <row r="56" spans="1:26" s="11" customFormat="1" x14ac:dyDescent="0.3">
      <c r="A56" s="14">
        <v>52</v>
      </c>
      <c r="B56" s="11" t="str">
        <f>_xlfn.XLOOKUP($A56,Centrum[Индекс],Centrum[Carrier/ Перевозчик],"",0,1)</f>
        <v/>
      </c>
      <c r="C56" s="11" t="str">
        <f>_xlfn.XLOOKUP($A56,Centrum[Индекс],Centrum[Country /  Страна],"",0,1)</f>
        <v/>
      </c>
      <c r="D56" s="11" t="str">
        <f>_xlfn.XLOOKUP($A56,Centrum[Индекс],Centrum[Container num./ 
№ контейнера],"",0,1)</f>
        <v/>
      </c>
      <c r="E56" s="11" t="str">
        <f>_xlfn.XLOOKUP($A56,Centrum[Индекс],Centrum[Supplier/
Поставщик],"",0,1)</f>
        <v/>
      </c>
      <c r="F56" s="11" t="str">
        <f>_xlfn.XLOOKUP($A56,Centrum[Индекс],Centrum[Shippers invoice no/ 
Номер инвойса поставщика],"",1)</f>
        <v/>
      </c>
      <c r="G56" s="15" t="str">
        <f>_xlfn.XLOOKUP($A56,Centrum[Индекс],Centrum[Invoice value / Стоимость груза в к-ре по инвойсу],"",0,1)</f>
        <v/>
      </c>
      <c r="H56" s="14" t="s">
        <v>40</v>
      </c>
      <c r="I56" s="11" t="str">
        <f>_xlfn.XLOOKUP($A56,Centrum[Индекс],Centrum[CBM on the shipper/ 
CBM по поставщику],"",0,1)</f>
        <v/>
      </c>
      <c r="J56" s="16" t="str">
        <f>_xlfn.XLOOKUP($A56,Centrum[Индекс],Centrum[Gross weight of cont// 
Гросс.вес по конт.],"",0,1)</f>
        <v/>
      </c>
      <c r="K56" s="17" t="str">
        <f>_xlfn.XLOOKUP($A56,Centrum[Индекс],Centrum[Route/ Маршрут (TSR/TCR)],"",0,1)</f>
        <v/>
      </c>
      <c r="L56" s="11" t="str">
        <f>_xlfn.XLOOKUP($A56,Centrum[Индекс],Centrum[Условия поставки],"",0,1)</f>
        <v/>
      </c>
      <c r="M56" s="11" t="str">
        <f>_xlfn.XLOOKUP($A56,Centrum[Индекс],Centrum[№ HBL date / 
№/ дата коносамента],"",0,1)</f>
        <v/>
      </c>
      <c r="N56" s="11" t="str">
        <f>_xlfn.XLOOKUP($A56,Centrum[Индекс],Centrum[№ MBL / 
№/ коносамента],"",0,1)</f>
        <v/>
      </c>
      <c r="O56" s="8" t="e">
        <f>(_xlfn.XLOOKUP($A56,Centrum[Индекс],Centrum[Date on board / Дата погрузки на судно],"",0,1))*1</f>
        <v>#VALUE!</v>
      </c>
      <c r="P56" s="8" t="e">
        <f>(_xlfn.XLOOKUP($A56,Centrum[Индекс],Centrum[Date of arrival to Sary-Agach/ Дата прибытия на Сары-Агач],"",0,1))*1</f>
        <v>#VALUE!</v>
      </c>
      <c r="Q56" s="14" t="str">
        <f>_xlfn.XLOOKUP($A56,Centrum[Индекс],Centrum[Container type/ 
Тип контейнера],"",0,1)</f>
        <v/>
      </c>
      <c r="R56" s="16">
        <f>_xlfn.XLOOKUP($A56,Centrum[Индекс],Centrum[Transportation cost per supplier/ 
Cтоимость перевозки по поставщикам],0,0,1)</f>
        <v>0</v>
      </c>
      <c r="S56" s="16">
        <f>Шаблон_Формулы!$T56-Шаблон_Формулы!$R56</f>
        <v>0</v>
      </c>
      <c r="T56" s="16">
        <f>_xlfn.XLOOKUP($A56,Centrum[Индекс],Centrum[Transportation total amount / Общая стоимость перевозки],0,0,1)</f>
        <v>0</v>
      </c>
      <c r="U56" s="12" cm="1">
        <f t="array" ref="U5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6" s="16">
        <f>_xlfn.XLOOKUP(Шаблон_Формулы[[#This Row],[21]],Курс_USD[Дата],Курс_USD[Курс],,0,1)</f>
        <v>12228.05</v>
      </c>
      <c r="W56" s="16">
        <f>Шаблон_Формулы!$T56*Шаблон_Формулы!$V56</f>
        <v>0</v>
      </c>
      <c r="Y56" s="16">
        <f>Шаблон_Формулы!$W56+Шаблон_Формулы!$X56</f>
        <v>0</v>
      </c>
      <c r="Z56" s="14" t="str">
        <f>_xlfn.XLOOKUP($A56,Centrum[Индекс],Centrum[Transport co invoice no/ 
Номер инвойса ТК],"",0,1)</f>
        <v/>
      </c>
    </row>
    <row r="57" spans="1:26" s="11" customFormat="1" x14ac:dyDescent="0.3">
      <c r="A57" s="14">
        <v>53</v>
      </c>
      <c r="B57" s="11" t="str">
        <f>_xlfn.XLOOKUP($A57,Centrum[Индекс],Centrum[Carrier/ Перевозчик],"",0,1)</f>
        <v/>
      </c>
      <c r="C57" s="11" t="str">
        <f>_xlfn.XLOOKUP($A57,Centrum[Индекс],Centrum[Country /  Страна],"",0,1)</f>
        <v/>
      </c>
      <c r="D57" s="11" t="str">
        <f>_xlfn.XLOOKUP($A57,Centrum[Индекс],Centrum[Container num./ 
№ контейнера],"",0,1)</f>
        <v/>
      </c>
      <c r="E57" s="11" t="str">
        <f>_xlfn.XLOOKUP($A57,Centrum[Индекс],Centrum[Supplier/
Поставщик],"",0,1)</f>
        <v/>
      </c>
      <c r="F57" s="11" t="str">
        <f>_xlfn.XLOOKUP($A57,Centrum[Индекс],Centrum[Shippers invoice no/ 
Номер инвойса поставщика],"",1)</f>
        <v/>
      </c>
      <c r="G57" s="15" t="str">
        <f>_xlfn.XLOOKUP($A57,Centrum[Индекс],Centrum[Invoice value / Стоимость груза в к-ре по инвойсу],"",0,1)</f>
        <v/>
      </c>
      <c r="H57" s="14" t="s">
        <v>40</v>
      </c>
      <c r="I57" s="11" t="str">
        <f>_xlfn.XLOOKUP($A57,Centrum[Индекс],Centrum[CBM on the shipper/ 
CBM по поставщику],"",0,1)</f>
        <v/>
      </c>
      <c r="J57" s="16" t="str">
        <f>_xlfn.XLOOKUP($A57,Centrum[Индекс],Centrum[Gross weight of cont// 
Гросс.вес по конт.],"",0,1)</f>
        <v/>
      </c>
      <c r="K57" s="17" t="str">
        <f>_xlfn.XLOOKUP($A57,Centrum[Индекс],Centrum[Route/ Маршрут (TSR/TCR)],"",0,1)</f>
        <v/>
      </c>
      <c r="L57" s="11" t="str">
        <f>_xlfn.XLOOKUP($A57,Centrum[Индекс],Centrum[Условия поставки],"",0,1)</f>
        <v/>
      </c>
      <c r="M57" s="11" t="str">
        <f>_xlfn.XLOOKUP($A57,Centrum[Индекс],Centrum[№ HBL date / 
№/ дата коносамента],"",0,1)</f>
        <v/>
      </c>
      <c r="N57" s="11" t="str">
        <f>_xlfn.XLOOKUP($A57,Centrum[Индекс],Centrum[№ MBL / 
№/ коносамента],"",0,1)</f>
        <v/>
      </c>
      <c r="O57" s="8" t="e">
        <f>(_xlfn.XLOOKUP($A57,Centrum[Индекс],Centrum[Date on board / Дата погрузки на судно],"",0,1))*1</f>
        <v>#VALUE!</v>
      </c>
      <c r="P57" s="8" t="e">
        <f>(_xlfn.XLOOKUP($A57,Centrum[Индекс],Centrum[Date of arrival to Sary-Agach/ Дата прибытия на Сары-Агач],"",0,1))*1</f>
        <v>#VALUE!</v>
      </c>
      <c r="Q57" s="14" t="str">
        <f>_xlfn.XLOOKUP($A57,Centrum[Индекс],Centrum[Container type/ 
Тип контейнера],"",0,1)</f>
        <v/>
      </c>
      <c r="R57" s="16">
        <f>_xlfn.XLOOKUP($A57,Centrum[Индекс],Centrum[Transportation cost per supplier/ 
Cтоимость перевозки по поставщикам],0,0,1)</f>
        <v>0</v>
      </c>
      <c r="S57" s="16">
        <f>Шаблон_Формулы!$T57-Шаблон_Формулы!$R57</f>
        <v>0</v>
      </c>
      <c r="T57" s="16">
        <f>_xlfn.XLOOKUP($A57,Centrum[Индекс],Centrum[Transportation total amount / Общая стоимость перевозки],0,0,1)</f>
        <v>0</v>
      </c>
      <c r="U57" s="12" cm="1">
        <f t="array" ref="U5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7" s="16">
        <f>_xlfn.XLOOKUP(Шаблон_Формулы[[#This Row],[21]],Курс_USD[Дата],Курс_USD[Курс],,0,1)</f>
        <v>12228.05</v>
      </c>
      <c r="W57" s="16">
        <f>Шаблон_Формулы!$T57*Шаблон_Формулы!$V57</f>
        <v>0</v>
      </c>
      <c r="Y57" s="16">
        <f>Шаблон_Формулы!$W57+Шаблон_Формулы!$X57</f>
        <v>0</v>
      </c>
      <c r="Z57" s="14" t="str">
        <f>_xlfn.XLOOKUP($A57,Centrum[Индекс],Centrum[Transport co invoice no/ 
Номер инвойса ТК],"",0,1)</f>
        <v/>
      </c>
    </row>
    <row r="58" spans="1:26" s="11" customFormat="1" x14ac:dyDescent="0.3">
      <c r="A58" s="14">
        <v>54</v>
      </c>
      <c r="B58" s="11" t="str">
        <f>_xlfn.XLOOKUP($A58,Centrum[Индекс],Centrum[Carrier/ Перевозчик],"",0,1)</f>
        <v/>
      </c>
      <c r="C58" s="11" t="str">
        <f>_xlfn.XLOOKUP($A58,Centrum[Индекс],Centrum[Country /  Страна],"",0,1)</f>
        <v/>
      </c>
      <c r="D58" s="11" t="str">
        <f>_xlfn.XLOOKUP($A58,Centrum[Индекс],Centrum[Container num./ 
№ контейнера],"",0,1)</f>
        <v/>
      </c>
      <c r="E58" s="11" t="str">
        <f>_xlfn.XLOOKUP($A58,Centrum[Индекс],Centrum[Supplier/
Поставщик],"",0,1)</f>
        <v/>
      </c>
      <c r="F58" s="11" t="str">
        <f>_xlfn.XLOOKUP($A58,Centrum[Индекс],Centrum[Shippers invoice no/ 
Номер инвойса поставщика],"",1)</f>
        <v/>
      </c>
      <c r="G58" s="15" t="str">
        <f>_xlfn.XLOOKUP($A58,Centrum[Индекс],Centrum[Invoice value / Стоимость груза в к-ре по инвойсу],"",0,1)</f>
        <v/>
      </c>
      <c r="H58" s="14" t="s">
        <v>40</v>
      </c>
      <c r="I58" s="11" t="str">
        <f>_xlfn.XLOOKUP($A58,Centrum[Индекс],Centrum[CBM on the shipper/ 
CBM по поставщику],"",0,1)</f>
        <v/>
      </c>
      <c r="J58" s="16" t="str">
        <f>_xlfn.XLOOKUP($A58,Centrum[Индекс],Centrum[Gross weight of cont// 
Гросс.вес по конт.],"",0,1)</f>
        <v/>
      </c>
      <c r="K58" s="17" t="str">
        <f>_xlfn.XLOOKUP($A58,Centrum[Индекс],Centrum[Route/ Маршрут (TSR/TCR)],"",0,1)</f>
        <v/>
      </c>
      <c r="L58" s="11" t="str">
        <f>_xlfn.XLOOKUP($A58,Centrum[Индекс],Centrum[Условия поставки],"",0,1)</f>
        <v/>
      </c>
      <c r="M58" s="11" t="str">
        <f>_xlfn.XLOOKUP($A58,Centrum[Индекс],Centrum[№ HBL date / 
№/ дата коносамента],"",0,1)</f>
        <v/>
      </c>
      <c r="N58" s="11" t="str">
        <f>_xlfn.XLOOKUP($A58,Centrum[Индекс],Centrum[№ MBL / 
№/ коносамента],"",0,1)</f>
        <v/>
      </c>
      <c r="O58" s="8" t="e">
        <f>(_xlfn.XLOOKUP($A58,Centrum[Индекс],Centrum[Date on board / Дата погрузки на судно],"",0,1))*1</f>
        <v>#VALUE!</v>
      </c>
      <c r="P58" s="8" t="e">
        <f>(_xlfn.XLOOKUP($A58,Centrum[Индекс],Centrum[Date of arrival to Sary-Agach/ Дата прибытия на Сары-Агач],"",0,1))*1</f>
        <v>#VALUE!</v>
      </c>
      <c r="Q58" s="14" t="str">
        <f>_xlfn.XLOOKUP($A58,Centrum[Индекс],Centrum[Container type/ 
Тип контейнера],"",0,1)</f>
        <v/>
      </c>
      <c r="R58" s="16">
        <f>_xlfn.XLOOKUP($A58,Centrum[Индекс],Centrum[Transportation cost per supplier/ 
Cтоимость перевозки по поставщикам],0,0,1)</f>
        <v>0</v>
      </c>
      <c r="S58" s="16">
        <f>Шаблон_Формулы!$T58-Шаблон_Формулы!$R58</f>
        <v>0</v>
      </c>
      <c r="T58" s="16">
        <f>_xlfn.XLOOKUP($A58,Centrum[Индекс],Centrum[Transportation total amount / Общая стоимость перевозки],0,0,1)</f>
        <v>0</v>
      </c>
      <c r="U58" s="12" cm="1">
        <f t="array" ref="U5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8" s="16">
        <f>_xlfn.XLOOKUP(Шаблон_Формулы[[#This Row],[21]],Курс_USD[Дата],Курс_USD[Курс],,0,1)</f>
        <v>12228.05</v>
      </c>
      <c r="W58" s="16">
        <f>Шаблон_Формулы!$T58*Шаблон_Формулы!$V58</f>
        <v>0</v>
      </c>
      <c r="Y58" s="16">
        <f>Шаблон_Формулы!$W58+Шаблон_Формулы!$X58</f>
        <v>0</v>
      </c>
      <c r="Z58" s="14" t="str">
        <f>_xlfn.XLOOKUP($A58,Centrum[Индекс],Centrum[Transport co invoice no/ 
Номер инвойса ТК],"",0,1)</f>
        <v/>
      </c>
    </row>
    <row r="59" spans="1:26" s="11" customFormat="1" x14ac:dyDescent="0.3">
      <c r="A59" s="14">
        <v>55</v>
      </c>
      <c r="B59" s="11" t="str">
        <f>_xlfn.XLOOKUP($A59,Centrum[Индекс],Centrum[Carrier/ Перевозчик],"",0,1)</f>
        <v/>
      </c>
      <c r="C59" s="11" t="str">
        <f>_xlfn.XLOOKUP($A59,Centrum[Индекс],Centrum[Country /  Страна],"",0,1)</f>
        <v/>
      </c>
      <c r="D59" s="11" t="str">
        <f>_xlfn.XLOOKUP($A59,Centrum[Индекс],Centrum[Container num./ 
№ контейнера],"",0,1)</f>
        <v/>
      </c>
      <c r="E59" s="11" t="str">
        <f>_xlfn.XLOOKUP($A59,Centrum[Индекс],Centrum[Supplier/
Поставщик],"",0,1)</f>
        <v/>
      </c>
      <c r="F59" s="11" t="str">
        <f>_xlfn.XLOOKUP($A59,Centrum[Индекс],Centrum[Shippers invoice no/ 
Номер инвойса поставщика],"",1)</f>
        <v/>
      </c>
      <c r="G59" s="15" t="str">
        <f>_xlfn.XLOOKUP($A59,Centrum[Индекс],Centrum[Invoice value / Стоимость груза в к-ре по инвойсу],"",0,1)</f>
        <v/>
      </c>
      <c r="H59" s="14" t="s">
        <v>40</v>
      </c>
      <c r="I59" s="11" t="str">
        <f>_xlfn.XLOOKUP($A59,Centrum[Индекс],Centrum[CBM on the shipper/ 
CBM по поставщику],"",0,1)</f>
        <v/>
      </c>
      <c r="J59" s="16" t="str">
        <f>_xlfn.XLOOKUP($A59,Centrum[Индекс],Centrum[Gross weight of cont// 
Гросс.вес по конт.],"",0,1)</f>
        <v/>
      </c>
      <c r="K59" s="17" t="str">
        <f>_xlfn.XLOOKUP($A59,Centrum[Индекс],Centrum[Route/ Маршрут (TSR/TCR)],"",0,1)</f>
        <v/>
      </c>
      <c r="L59" s="11" t="str">
        <f>_xlfn.XLOOKUP($A59,Centrum[Индекс],Centrum[Условия поставки],"",0,1)</f>
        <v/>
      </c>
      <c r="M59" s="11" t="str">
        <f>_xlfn.XLOOKUP($A59,Centrum[Индекс],Centrum[№ HBL date / 
№/ дата коносамента],"",0,1)</f>
        <v/>
      </c>
      <c r="N59" s="11" t="str">
        <f>_xlfn.XLOOKUP($A59,Centrum[Индекс],Centrum[№ MBL / 
№/ коносамента],"",0,1)</f>
        <v/>
      </c>
      <c r="O59" s="8" t="e">
        <f>(_xlfn.XLOOKUP($A59,Centrum[Индекс],Centrum[Date on board / Дата погрузки на судно],"",0,1))*1</f>
        <v>#VALUE!</v>
      </c>
      <c r="P59" s="8" t="e">
        <f>(_xlfn.XLOOKUP($A59,Centrum[Индекс],Centrum[Date of arrival to Sary-Agach/ Дата прибытия на Сары-Агач],"",0,1))*1</f>
        <v>#VALUE!</v>
      </c>
      <c r="Q59" s="14" t="str">
        <f>_xlfn.XLOOKUP($A59,Centrum[Индекс],Centrum[Container type/ 
Тип контейнера],"",0,1)</f>
        <v/>
      </c>
      <c r="R59" s="16">
        <f>_xlfn.XLOOKUP($A59,Centrum[Индекс],Centrum[Transportation cost per supplier/ 
Cтоимость перевозки по поставщикам],0,0,1)</f>
        <v>0</v>
      </c>
      <c r="S59" s="16">
        <f>Шаблон_Формулы!$T59-Шаблон_Формулы!$R59</f>
        <v>0</v>
      </c>
      <c r="T59" s="16">
        <f>_xlfn.XLOOKUP($A59,Centrum[Индекс],Centrum[Transportation total amount / Общая стоимость перевозки],0,0,1)</f>
        <v>0</v>
      </c>
      <c r="U59" s="12" cm="1">
        <f t="array" ref="U5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59" s="16">
        <f>_xlfn.XLOOKUP(Шаблон_Формулы[[#This Row],[21]],Курс_USD[Дата],Курс_USD[Курс],,0,1)</f>
        <v>12228.05</v>
      </c>
      <c r="W59" s="16">
        <f>Шаблон_Формулы!$T59*Шаблон_Формулы!$V59</f>
        <v>0</v>
      </c>
      <c r="Y59" s="16">
        <f>Шаблон_Формулы!$W59+Шаблон_Формулы!$X59</f>
        <v>0</v>
      </c>
      <c r="Z59" s="14" t="str">
        <f>_xlfn.XLOOKUP($A59,Centrum[Индекс],Centrum[Transport co invoice no/ 
Номер инвойса ТК],"",0,1)</f>
        <v/>
      </c>
    </row>
    <row r="60" spans="1:26" s="11" customFormat="1" x14ac:dyDescent="0.3">
      <c r="A60" s="14">
        <v>56</v>
      </c>
      <c r="B60" s="11" t="str">
        <f>_xlfn.XLOOKUP($A60,Centrum[Индекс],Centrum[Carrier/ Перевозчик],"",0,1)</f>
        <v/>
      </c>
      <c r="C60" s="11" t="str">
        <f>_xlfn.XLOOKUP($A60,Centrum[Индекс],Centrum[Country /  Страна],"",0,1)</f>
        <v/>
      </c>
      <c r="D60" s="11" t="str">
        <f>_xlfn.XLOOKUP($A60,Centrum[Индекс],Centrum[Container num./ 
№ контейнера],"",0,1)</f>
        <v/>
      </c>
      <c r="E60" s="11" t="str">
        <f>_xlfn.XLOOKUP($A60,Centrum[Индекс],Centrum[Supplier/
Поставщик],"",0,1)</f>
        <v/>
      </c>
      <c r="F60" s="11" t="str">
        <f>_xlfn.XLOOKUP($A60,Centrum[Индекс],Centrum[Shippers invoice no/ 
Номер инвойса поставщика],"",1)</f>
        <v/>
      </c>
      <c r="G60" s="15" t="str">
        <f>_xlfn.XLOOKUP($A60,Centrum[Индекс],Centrum[Invoice value / Стоимость груза в к-ре по инвойсу],"",0,1)</f>
        <v/>
      </c>
      <c r="H60" s="14" t="s">
        <v>40</v>
      </c>
      <c r="I60" s="11" t="str">
        <f>_xlfn.XLOOKUP($A60,Centrum[Индекс],Centrum[CBM on the shipper/ 
CBM по поставщику],"",0,1)</f>
        <v/>
      </c>
      <c r="J60" s="16" t="str">
        <f>_xlfn.XLOOKUP($A60,Centrum[Индекс],Centrum[Gross weight of cont// 
Гросс.вес по конт.],"",0,1)</f>
        <v/>
      </c>
      <c r="K60" s="17" t="str">
        <f>_xlfn.XLOOKUP($A60,Centrum[Индекс],Centrum[Route/ Маршрут (TSR/TCR)],"",0,1)</f>
        <v/>
      </c>
      <c r="L60" s="11" t="str">
        <f>_xlfn.XLOOKUP($A60,Centrum[Индекс],Centrum[Условия поставки],"",0,1)</f>
        <v/>
      </c>
      <c r="M60" s="11" t="str">
        <f>_xlfn.XLOOKUP($A60,Centrum[Индекс],Centrum[№ HBL date / 
№/ дата коносамента],"",0,1)</f>
        <v/>
      </c>
      <c r="N60" s="11" t="str">
        <f>_xlfn.XLOOKUP($A60,Centrum[Индекс],Centrum[№ MBL / 
№/ коносамента],"",0,1)</f>
        <v/>
      </c>
      <c r="O60" s="8" t="e">
        <f>(_xlfn.XLOOKUP($A60,Centrum[Индекс],Centrum[Date on board / Дата погрузки на судно],"",0,1))*1</f>
        <v>#VALUE!</v>
      </c>
      <c r="P60" s="8" t="e">
        <f>(_xlfn.XLOOKUP($A60,Centrum[Индекс],Centrum[Date of arrival to Sary-Agach/ Дата прибытия на Сары-Агач],"",0,1))*1</f>
        <v>#VALUE!</v>
      </c>
      <c r="Q60" s="14" t="str">
        <f>_xlfn.XLOOKUP($A60,Centrum[Индекс],Centrum[Container type/ 
Тип контейнера],"",0,1)</f>
        <v/>
      </c>
      <c r="R60" s="16">
        <f>_xlfn.XLOOKUP($A60,Centrum[Индекс],Centrum[Transportation cost per supplier/ 
Cтоимость перевозки по поставщикам],0,0,1)</f>
        <v>0</v>
      </c>
      <c r="S60" s="16">
        <f>Шаблон_Формулы!$T60-Шаблон_Формулы!$R60</f>
        <v>0</v>
      </c>
      <c r="T60" s="16">
        <f>_xlfn.XLOOKUP($A60,Centrum[Индекс],Centrum[Transportation total amount / Общая стоимость перевозки],0,0,1)</f>
        <v>0</v>
      </c>
      <c r="U60" s="12" cm="1">
        <f t="array" ref="U6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0" s="16">
        <f>_xlfn.XLOOKUP(Шаблон_Формулы[[#This Row],[21]],Курс_USD[Дата],Курс_USD[Курс],,0,1)</f>
        <v>12228.05</v>
      </c>
      <c r="W60" s="16">
        <f>Шаблон_Формулы!$T60*Шаблон_Формулы!$V60</f>
        <v>0</v>
      </c>
      <c r="Y60" s="16">
        <f>Шаблон_Формулы!$W60+Шаблон_Формулы!$X60</f>
        <v>0</v>
      </c>
      <c r="Z60" s="14" t="str">
        <f>_xlfn.XLOOKUP($A60,Centrum[Индекс],Centrum[Transport co invoice no/ 
Номер инвойса ТК],"",0,1)</f>
        <v/>
      </c>
    </row>
    <row r="61" spans="1:26" s="11" customFormat="1" x14ac:dyDescent="0.3">
      <c r="A61" s="14">
        <v>57</v>
      </c>
      <c r="B61" s="11" t="str">
        <f>_xlfn.XLOOKUP($A61,Centrum[Индекс],Centrum[Carrier/ Перевозчик],"",0,1)</f>
        <v/>
      </c>
      <c r="C61" s="11" t="str">
        <f>_xlfn.XLOOKUP($A61,Centrum[Индекс],Centrum[Country /  Страна],"",0,1)</f>
        <v/>
      </c>
      <c r="D61" s="11" t="str">
        <f>_xlfn.XLOOKUP($A61,Centrum[Индекс],Centrum[Container num./ 
№ контейнера],"",0,1)</f>
        <v/>
      </c>
      <c r="E61" s="11" t="str">
        <f>_xlfn.XLOOKUP($A61,Centrum[Индекс],Centrum[Supplier/
Поставщик],"",0,1)</f>
        <v/>
      </c>
      <c r="F61" s="11" t="str">
        <f>_xlfn.XLOOKUP($A61,Centrum[Индекс],Centrum[Shippers invoice no/ 
Номер инвойса поставщика],"",1)</f>
        <v/>
      </c>
      <c r="G61" s="15" t="str">
        <f>_xlfn.XLOOKUP($A61,Centrum[Индекс],Centrum[Invoice value / Стоимость груза в к-ре по инвойсу],"",0,1)</f>
        <v/>
      </c>
      <c r="H61" s="14" t="s">
        <v>40</v>
      </c>
      <c r="I61" s="11" t="str">
        <f>_xlfn.XLOOKUP($A61,Centrum[Индекс],Centrum[CBM on the shipper/ 
CBM по поставщику],"",0,1)</f>
        <v/>
      </c>
      <c r="J61" s="16" t="str">
        <f>_xlfn.XLOOKUP($A61,Centrum[Индекс],Centrum[Gross weight of cont// 
Гросс.вес по конт.],"",0,1)</f>
        <v/>
      </c>
      <c r="K61" s="17" t="str">
        <f>_xlfn.XLOOKUP($A61,Centrum[Индекс],Centrum[Route/ Маршрут (TSR/TCR)],"",0,1)</f>
        <v/>
      </c>
      <c r="L61" s="11" t="str">
        <f>_xlfn.XLOOKUP($A61,Centrum[Индекс],Centrum[Условия поставки],"",0,1)</f>
        <v/>
      </c>
      <c r="M61" s="11" t="str">
        <f>_xlfn.XLOOKUP($A61,Centrum[Индекс],Centrum[№ HBL date / 
№/ дата коносамента],"",0,1)</f>
        <v/>
      </c>
      <c r="N61" s="11" t="str">
        <f>_xlfn.XLOOKUP($A61,Centrum[Индекс],Centrum[№ MBL / 
№/ коносамента],"",0,1)</f>
        <v/>
      </c>
      <c r="O61" s="8" t="e">
        <f>(_xlfn.XLOOKUP($A61,Centrum[Индекс],Centrum[Date on board / Дата погрузки на судно],"",0,1))*1</f>
        <v>#VALUE!</v>
      </c>
      <c r="P61" s="8" t="e">
        <f>(_xlfn.XLOOKUP($A61,Centrum[Индекс],Centrum[Date of arrival to Sary-Agach/ Дата прибытия на Сары-Агач],"",0,1))*1</f>
        <v>#VALUE!</v>
      </c>
      <c r="Q61" s="14" t="str">
        <f>_xlfn.XLOOKUP($A61,Centrum[Индекс],Centrum[Container type/ 
Тип контейнера],"",0,1)</f>
        <v/>
      </c>
      <c r="R61" s="16">
        <f>_xlfn.XLOOKUP($A61,Centrum[Индекс],Centrum[Transportation cost per supplier/ 
Cтоимость перевозки по поставщикам],0,0,1)</f>
        <v>0</v>
      </c>
      <c r="S61" s="16">
        <f>Шаблон_Формулы!$T61-Шаблон_Формулы!$R61</f>
        <v>0</v>
      </c>
      <c r="T61" s="16">
        <f>_xlfn.XLOOKUP($A61,Centrum[Индекс],Centrum[Transportation total amount / Общая стоимость перевозки],0,0,1)</f>
        <v>0</v>
      </c>
      <c r="U61" s="12" cm="1">
        <f t="array" ref="U6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1" s="16">
        <f>_xlfn.XLOOKUP(Шаблон_Формулы[[#This Row],[21]],Курс_USD[Дата],Курс_USD[Курс],,0,1)</f>
        <v>12228.05</v>
      </c>
      <c r="W61" s="16">
        <f>Шаблон_Формулы!$T61*Шаблон_Формулы!$V61</f>
        <v>0</v>
      </c>
      <c r="Y61" s="16">
        <f>Шаблон_Формулы!$W61+Шаблон_Формулы!$X61</f>
        <v>0</v>
      </c>
      <c r="Z61" s="14" t="str">
        <f>_xlfn.XLOOKUP($A61,Centrum[Индекс],Centrum[Transport co invoice no/ 
Номер инвойса ТК],"",0,1)</f>
        <v/>
      </c>
    </row>
    <row r="62" spans="1:26" s="11" customFormat="1" x14ac:dyDescent="0.3">
      <c r="A62" s="14">
        <v>58</v>
      </c>
      <c r="B62" s="11" t="str">
        <f>_xlfn.XLOOKUP($A62,Centrum[Индекс],Centrum[Carrier/ Перевозчик],"",0,1)</f>
        <v/>
      </c>
      <c r="C62" s="11" t="str">
        <f>_xlfn.XLOOKUP($A62,Centrum[Индекс],Centrum[Country /  Страна],"",0,1)</f>
        <v/>
      </c>
      <c r="D62" s="11" t="str">
        <f>_xlfn.XLOOKUP($A62,Centrum[Индекс],Centrum[Container num./ 
№ контейнера],"",0,1)</f>
        <v/>
      </c>
      <c r="E62" s="11" t="str">
        <f>_xlfn.XLOOKUP($A62,Centrum[Индекс],Centrum[Supplier/
Поставщик],"",0,1)</f>
        <v/>
      </c>
      <c r="F62" s="11" t="str">
        <f>_xlfn.XLOOKUP($A62,Centrum[Индекс],Centrum[Shippers invoice no/ 
Номер инвойса поставщика],"",1)</f>
        <v/>
      </c>
      <c r="G62" s="15" t="str">
        <f>_xlfn.XLOOKUP($A62,Centrum[Индекс],Centrum[Invoice value / Стоимость груза в к-ре по инвойсу],"",0,1)</f>
        <v/>
      </c>
      <c r="H62" s="14" t="s">
        <v>40</v>
      </c>
      <c r="I62" s="11" t="str">
        <f>_xlfn.XLOOKUP($A62,Centrum[Индекс],Centrum[CBM on the shipper/ 
CBM по поставщику],"",0,1)</f>
        <v/>
      </c>
      <c r="J62" s="16" t="str">
        <f>_xlfn.XLOOKUP($A62,Centrum[Индекс],Centrum[Gross weight of cont// 
Гросс.вес по конт.],"",0,1)</f>
        <v/>
      </c>
      <c r="K62" s="17" t="str">
        <f>_xlfn.XLOOKUP($A62,Centrum[Индекс],Centrum[Route/ Маршрут (TSR/TCR)],"",0,1)</f>
        <v/>
      </c>
      <c r="L62" s="11" t="str">
        <f>_xlfn.XLOOKUP($A62,Centrum[Индекс],Centrum[Условия поставки],"",0,1)</f>
        <v/>
      </c>
      <c r="M62" s="11" t="str">
        <f>_xlfn.XLOOKUP($A62,Centrum[Индекс],Centrum[№ HBL date / 
№/ дата коносамента],"",0,1)</f>
        <v/>
      </c>
      <c r="N62" s="11" t="str">
        <f>_xlfn.XLOOKUP($A62,Centrum[Индекс],Centrum[№ MBL / 
№/ коносамента],"",0,1)</f>
        <v/>
      </c>
      <c r="O62" s="8" t="e">
        <f>(_xlfn.XLOOKUP($A62,Centrum[Индекс],Centrum[Date on board / Дата погрузки на судно],"",0,1))*1</f>
        <v>#VALUE!</v>
      </c>
      <c r="P62" s="8" t="e">
        <f>(_xlfn.XLOOKUP($A62,Centrum[Индекс],Centrum[Date of arrival to Sary-Agach/ Дата прибытия на Сары-Агач],"",0,1))*1</f>
        <v>#VALUE!</v>
      </c>
      <c r="Q62" s="14" t="str">
        <f>_xlfn.XLOOKUP($A62,Centrum[Индекс],Centrum[Container type/ 
Тип контейнера],"",0,1)</f>
        <v/>
      </c>
      <c r="R62" s="16">
        <f>_xlfn.XLOOKUP($A62,Centrum[Индекс],Centrum[Transportation cost per supplier/ 
Cтоимость перевозки по поставщикам],0,0,1)</f>
        <v>0</v>
      </c>
      <c r="S62" s="16">
        <f>Шаблон_Формулы!$T62-Шаблон_Формулы!$R62</f>
        <v>0</v>
      </c>
      <c r="T62" s="16">
        <f>_xlfn.XLOOKUP($A62,Centrum[Индекс],Centrum[Transportation total amount / Общая стоимость перевозки],0,0,1)</f>
        <v>0</v>
      </c>
      <c r="U62" s="12" cm="1">
        <f t="array" ref="U6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2" s="16">
        <f>_xlfn.XLOOKUP(Шаблон_Формулы[[#This Row],[21]],Курс_USD[Дата],Курс_USD[Курс],,0,1)</f>
        <v>12228.05</v>
      </c>
      <c r="W62" s="16">
        <f>Шаблон_Формулы!$T62*Шаблон_Формулы!$V62</f>
        <v>0</v>
      </c>
      <c r="Y62" s="16">
        <f>Шаблон_Формулы!$W62+Шаблон_Формулы!$X62</f>
        <v>0</v>
      </c>
      <c r="Z62" s="14" t="str">
        <f>_xlfn.XLOOKUP($A62,Centrum[Индекс],Centrum[Transport co invoice no/ 
Номер инвойса ТК],"",0,1)</f>
        <v/>
      </c>
    </row>
    <row r="63" spans="1:26" s="11" customFormat="1" x14ac:dyDescent="0.3">
      <c r="A63" s="14">
        <v>59</v>
      </c>
      <c r="B63" s="11" t="str">
        <f>_xlfn.XLOOKUP($A63,Centrum[Индекс],Centrum[Carrier/ Перевозчик],"",0,1)</f>
        <v/>
      </c>
      <c r="C63" s="11" t="str">
        <f>_xlfn.XLOOKUP($A63,Centrum[Индекс],Centrum[Country /  Страна],"",0,1)</f>
        <v/>
      </c>
      <c r="D63" s="11" t="str">
        <f>_xlfn.XLOOKUP($A63,Centrum[Индекс],Centrum[Container num./ 
№ контейнера],"",0,1)</f>
        <v/>
      </c>
      <c r="E63" s="11" t="str">
        <f>_xlfn.XLOOKUP($A63,Centrum[Индекс],Centrum[Supplier/
Поставщик],"",0,1)</f>
        <v/>
      </c>
      <c r="F63" s="11" t="str">
        <f>_xlfn.XLOOKUP($A63,Centrum[Индекс],Centrum[Shippers invoice no/ 
Номер инвойса поставщика],"",1)</f>
        <v/>
      </c>
      <c r="G63" s="15" t="str">
        <f>_xlfn.XLOOKUP($A63,Centrum[Индекс],Centrum[Invoice value / Стоимость груза в к-ре по инвойсу],"",0,1)</f>
        <v/>
      </c>
      <c r="H63" s="14" t="s">
        <v>40</v>
      </c>
      <c r="I63" s="11" t="str">
        <f>_xlfn.XLOOKUP($A63,Centrum[Индекс],Centrum[CBM on the shipper/ 
CBM по поставщику],"",0,1)</f>
        <v/>
      </c>
      <c r="J63" s="16" t="str">
        <f>_xlfn.XLOOKUP($A63,Centrum[Индекс],Centrum[Gross weight of cont// 
Гросс.вес по конт.],"",0,1)</f>
        <v/>
      </c>
      <c r="K63" s="17" t="str">
        <f>_xlfn.XLOOKUP($A63,Centrum[Индекс],Centrum[Route/ Маршрут (TSR/TCR)],"",0,1)</f>
        <v/>
      </c>
      <c r="L63" s="11" t="str">
        <f>_xlfn.XLOOKUP($A63,Centrum[Индекс],Centrum[Условия поставки],"",0,1)</f>
        <v/>
      </c>
      <c r="M63" s="11" t="str">
        <f>_xlfn.XLOOKUP($A63,Centrum[Индекс],Centrum[№ HBL date / 
№/ дата коносамента],"",0,1)</f>
        <v/>
      </c>
      <c r="N63" s="11" t="str">
        <f>_xlfn.XLOOKUP($A63,Centrum[Индекс],Centrum[№ MBL / 
№/ коносамента],"",0,1)</f>
        <v/>
      </c>
      <c r="O63" s="8" t="e">
        <f>(_xlfn.XLOOKUP($A63,Centrum[Индекс],Centrum[Date on board / Дата погрузки на судно],"",0,1))*1</f>
        <v>#VALUE!</v>
      </c>
      <c r="P63" s="8" t="e">
        <f>(_xlfn.XLOOKUP($A63,Centrum[Индекс],Centrum[Date of arrival to Sary-Agach/ Дата прибытия на Сары-Агач],"",0,1))*1</f>
        <v>#VALUE!</v>
      </c>
      <c r="Q63" s="14" t="str">
        <f>_xlfn.XLOOKUP($A63,Centrum[Индекс],Centrum[Container type/ 
Тип контейнера],"",0,1)</f>
        <v/>
      </c>
      <c r="R63" s="16">
        <f>_xlfn.XLOOKUP($A63,Centrum[Индекс],Centrum[Transportation cost per supplier/ 
Cтоимость перевозки по поставщикам],0,0,1)</f>
        <v>0</v>
      </c>
      <c r="S63" s="16">
        <f>Шаблон_Формулы!$T63-Шаблон_Формулы!$R63</f>
        <v>0</v>
      </c>
      <c r="T63" s="16">
        <f>_xlfn.XLOOKUP($A63,Centrum[Индекс],Centrum[Transportation total amount / Общая стоимость перевозки],0,0,1)</f>
        <v>0</v>
      </c>
      <c r="U63" s="12" cm="1">
        <f t="array" ref="U6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3" s="16">
        <f>_xlfn.XLOOKUP(Шаблон_Формулы[[#This Row],[21]],Курс_USD[Дата],Курс_USD[Курс],,0,1)</f>
        <v>12228.05</v>
      </c>
      <c r="W63" s="16">
        <f>Шаблон_Формулы!$T63*Шаблон_Формулы!$V63</f>
        <v>0</v>
      </c>
      <c r="Y63" s="16">
        <f>Шаблон_Формулы!$W63+Шаблон_Формулы!$X63</f>
        <v>0</v>
      </c>
      <c r="Z63" s="14" t="str">
        <f>_xlfn.XLOOKUP($A63,Centrum[Индекс],Centrum[Transport co invoice no/ 
Номер инвойса ТК],"",0,1)</f>
        <v/>
      </c>
    </row>
    <row r="64" spans="1:26" s="11" customFormat="1" x14ac:dyDescent="0.3">
      <c r="A64" s="14">
        <v>60</v>
      </c>
      <c r="B64" s="11" t="str">
        <f>_xlfn.XLOOKUP($A64,Centrum[Индекс],Centrum[Carrier/ Перевозчик],"",0,1)</f>
        <v/>
      </c>
      <c r="C64" s="11" t="str">
        <f>_xlfn.XLOOKUP($A64,Centrum[Индекс],Centrum[Country /  Страна],"",0,1)</f>
        <v/>
      </c>
      <c r="D64" s="11" t="str">
        <f>_xlfn.XLOOKUP($A64,Centrum[Индекс],Centrum[Container num./ 
№ контейнера],"",0,1)</f>
        <v/>
      </c>
      <c r="E64" s="11" t="str">
        <f>_xlfn.XLOOKUP($A64,Centrum[Индекс],Centrum[Supplier/
Поставщик],"",0,1)</f>
        <v/>
      </c>
      <c r="F64" s="11" t="str">
        <f>_xlfn.XLOOKUP($A64,Centrum[Индекс],Centrum[Shippers invoice no/ 
Номер инвойса поставщика],"",1)</f>
        <v/>
      </c>
      <c r="G64" s="15" t="str">
        <f>_xlfn.XLOOKUP($A64,Centrum[Индекс],Centrum[Invoice value / Стоимость груза в к-ре по инвойсу],"",0,1)</f>
        <v/>
      </c>
      <c r="H64" s="14" t="s">
        <v>40</v>
      </c>
      <c r="I64" s="11" t="str">
        <f>_xlfn.XLOOKUP($A64,Centrum[Индекс],Centrum[CBM on the shipper/ 
CBM по поставщику],"",0,1)</f>
        <v/>
      </c>
      <c r="J64" s="16" t="str">
        <f>_xlfn.XLOOKUP($A64,Centrum[Индекс],Centrum[Gross weight of cont// 
Гросс.вес по конт.],"",0,1)</f>
        <v/>
      </c>
      <c r="K64" s="17" t="str">
        <f>_xlfn.XLOOKUP($A64,Centrum[Индекс],Centrum[Route/ Маршрут (TSR/TCR)],"",0,1)</f>
        <v/>
      </c>
      <c r="L64" s="11" t="str">
        <f>_xlfn.XLOOKUP($A64,Centrum[Индекс],Centrum[Условия поставки],"",0,1)</f>
        <v/>
      </c>
      <c r="M64" s="11" t="str">
        <f>_xlfn.XLOOKUP($A64,Centrum[Индекс],Centrum[№ HBL date / 
№/ дата коносамента],"",0,1)</f>
        <v/>
      </c>
      <c r="N64" s="11" t="str">
        <f>_xlfn.XLOOKUP($A64,Centrum[Индекс],Centrum[№ MBL / 
№/ коносамента],"",0,1)</f>
        <v/>
      </c>
      <c r="O64" s="8" t="e">
        <f>(_xlfn.XLOOKUP($A64,Centrum[Индекс],Centrum[Date on board / Дата погрузки на судно],"",0,1))*1</f>
        <v>#VALUE!</v>
      </c>
      <c r="P64" s="8" t="e">
        <f>(_xlfn.XLOOKUP($A64,Centrum[Индекс],Centrum[Date of arrival to Sary-Agach/ Дата прибытия на Сары-Агач],"",0,1))*1</f>
        <v>#VALUE!</v>
      </c>
      <c r="Q64" s="14" t="str">
        <f>_xlfn.XLOOKUP($A64,Centrum[Индекс],Centrum[Container type/ 
Тип контейнера],"",0,1)</f>
        <v/>
      </c>
      <c r="R64" s="16">
        <f>_xlfn.XLOOKUP($A64,Centrum[Индекс],Centrum[Transportation cost per supplier/ 
Cтоимость перевозки по поставщикам],0,0,1)</f>
        <v>0</v>
      </c>
      <c r="S64" s="16">
        <f>Шаблон_Формулы!$T64-Шаблон_Формулы!$R64</f>
        <v>0</v>
      </c>
      <c r="T64" s="16">
        <f>_xlfn.XLOOKUP($A64,Centrum[Индекс],Centrum[Transportation total amount / Общая стоимость перевозки],0,0,1)</f>
        <v>0</v>
      </c>
      <c r="U64" s="12" cm="1">
        <f t="array" ref="U6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4" s="16">
        <f>_xlfn.XLOOKUP(Шаблон_Формулы[[#This Row],[21]],Курс_USD[Дата],Курс_USD[Курс],,0,1)</f>
        <v>12228.05</v>
      </c>
      <c r="W64" s="16">
        <f>Шаблон_Формулы!$T64*Шаблон_Формулы!$V64</f>
        <v>0</v>
      </c>
      <c r="Y64" s="16">
        <f>Шаблон_Формулы!$W64+Шаблон_Формулы!$X64</f>
        <v>0</v>
      </c>
      <c r="Z64" s="14" t="str">
        <f>_xlfn.XLOOKUP($A64,Centrum[Индекс],Centrum[Transport co invoice no/ 
Номер инвойса ТК],"",0,1)</f>
        <v/>
      </c>
    </row>
    <row r="65" spans="1:26" s="11" customFormat="1" x14ac:dyDescent="0.3">
      <c r="A65" s="14">
        <v>61</v>
      </c>
      <c r="B65" s="11" t="str">
        <f>_xlfn.XLOOKUP($A65,Centrum[Индекс],Centrum[Carrier/ Перевозчик],"",0,1)</f>
        <v/>
      </c>
      <c r="C65" s="11" t="str">
        <f>_xlfn.XLOOKUP($A65,Centrum[Индекс],Centrum[Country /  Страна],"",0,1)</f>
        <v/>
      </c>
      <c r="D65" s="11" t="str">
        <f>_xlfn.XLOOKUP($A65,Centrum[Индекс],Centrum[Container num./ 
№ контейнера],"",0,1)</f>
        <v/>
      </c>
      <c r="E65" s="11" t="str">
        <f>_xlfn.XLOOKUP($A65,Centrum[Индекс],Centrum[Supplier/
Поставщик],"",0,1)</f>
        <v/>
      </c>
      <c r="F65" s="11" t="str">
        <f>_xlfn.XLOOKUP($A65,Centrum[Индекс],Centrum[Shippers invoice no/ 
Номер инвойса поставщика],"",1)</f>
        <v/>
      </c>
      <c r="G65" s="15" t="str">
        <f>_xlfn.XLOOKUP($A65,Centrum[Индекс],Centrum[Invoice value / Стоимость груза в к-ре по инвойсу],"",0,1)</f>
        <v/>
      </c>
      <c r="H65" s="14" t="s">
        <v>40</v>
      </c>
      <c r="I65" s="11" t="str">
        <f>_xlfn.XLOOKUP($A65,Centrum[Индекс],Centrum[CBM on the shipper/ 
CBM по поставщику],"",0,1)</f>
        <v/>
      </c>
      <c r="J65" s="16" t="str">
        <f>_xlfn.XLOOKUP($A65,Centrum[Индекс],Centrum[Gross weight of cont// 
Гросс.вес по конт.],"",0,1)</f>
        <v/>
      </c>
      <c r="K65" s="17" t="str">
        <f>_xlfn.XLOOKUP($A65,Centrum[Индекс],Centrum[Route/ Маршрут (TSR/TCR)],"",0,1)</f>
        <v/>
      </c>
      <c r="L65" s="11" t="str">
        <f>_xlfn.XLOOKUP($A65,Centrum[Индекс],Centrum[Условия поставки],"",0,1)</f>
        <v/>
      </c>
      <c r="M65" s="11" t="str">
        <f>_xlfn.XLOOKUP($A65,Centrum[Индекс],Centrum[№ HBL date / 
№/ дата коносамента],"",0,1)</f>
        <v/>
      </c>
      <c r="N65" s="11" t="str">
        <f>_xlfn.XLOOKUP($A65,Centrum[Индекс],Centrum[№ MBL / 
№/ коносамента],"",0,1)</f>
        <v/>
      </c>
      <c r="O65" s="8" t="e">
        <f>(_xlfn.XLOOKUP($A65,Centrum[Индекс],Centrum[Date on board / Дата погрузки на судно],"",0,1))*1</f>
        <v>#VALUE!</v>
      </c>
      <c r="P65" s="8" t="e">
        <f>(_xlfn.XLOOKUP($A65,Centrum[Индекс],Centrum[Date of arrival to Sary-Agach/ Дата прибытия на Сары-Агач],"",0,1))*1</f>
        <v>#VALUE!</v>
      </c>
      <c r="Q65" s="14" t="str">
        <f>_xlfn.XLOOKUP($A65,Centrum[Индекс],Centrum[Container type/ 
Тип контейнера],"",0,1)</f>
        <v/>
      </c>
      <c r="R65" s="16">
        <f>_xlfn.XLOOKUP($A65,Centrum[Индекс],Centrum[Transportation cost per supplier/ 
Cтоимость перевозки по поставщикам],0,0,1)</f>
        <v>0</v>
      </c>
      <c r="S65" s="16">
        <f>Шаблон_Формулы!$T65-Шаблон_Формулы!$R65</f>
        <v>0</v>
      </c>
      <c r="T65" s="16">
        <f>_xlfn.XLOOKUP($A65,Centrum[Индекс],Centrum[Transportation total amount / Общая стоимость перевозки],0,0,1)</f>
        <v>0</v>
      </c>
      <c r="U65" s="12" cm="1">
        <f t="array" ref="U6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5" s="16">
        <f>_xlfn.XLOOKUP(Шаблон_Формулы[[#This Row],[21]],Курс_USD[Дата],Курс_USD[Курс],,0,1)</f>
        <v>12228.05</v>
      </c>
      <c r="W65" s="16">
        <f>Шаблон_Формулы!$T65*Шаблон_Формулы!$V65</f>
        <v>0</v>
      </c>
      <c r="Y65" s="16">
        <f>Шаблон_Формулы!$W65+Шаблон_Формулы!$X65</f>
        <v>0</v>
      </c>
      <c r="Z65" s="14" t="str">
        <f>_xlfn.XLOOKUP($A65,Centrum[Индекс],Centrum[Transport co invoice no/ 
Номер инвойса ТК],"",0,1)</f>
        <v/>
      </c>
    </row>
    <row r="66" spans="1:26" s="11" customFormat="1" x14ac:dyDescent="0.3">
      <c r="A66" s="14">
        <v>62</v>
      </c>
      <c r="B66" s="11" t="str">
        <f>_xlfn.XLOOKUP($A66,Centrum[Индекс],Centrum[Carrier/ Перевозчик],"",0,1)</f>
        <v/>
      </c>
      <c r="C66" s="11" t="str">
        <f>_xlfn.XLOOKUP($A66,Centrum[Индекс],Centrum[Country /  Страна],"",0,1)</f>
        <v/>
      </c>
      <c r="D66" s="11" t="str">
        <f>_xlfn.XLOOKUP($A66,Centrum[Индекс],Centrum[Container num./ 
№ контейнера],"",0,1)</f>
        <v/>
      </c>
      <c r="E66" s="11" t="str">
        <f>_xlfn.XLOOKUP($A66,Centrum[Индекс],Centrum[Supplier/
Поставщик],"",0,1)</f>
        <v/>
      </c>
      <c r="F66" s="11" t="str">
        <f>_xlfn.XLOOKUP($A66,Centrum[Индекс],Centrum[Shippers invoice no/ 
Номер инвойса поставщика],"",1)</f>
        <v/>
      </c>
      <c r="G66" s="15" t="str">
        <f>_xlfn.XLOOKUP($A66,Centrum[Индекс],Centrum[Invoice value / Стоимость груза в к-ре по инвойсу],"",0,1)</f>
        <v/>
      </c>
      <c r="H66" s="14" t="s">
        <v>40</v>
      </c>
      <c r="I66" s="11" t="str">
        <f>_xlfn.XLOOKUP($A66,Centrum[Индекс],Centrum[CBM on the shipper/ 
CBM по поставщику],"",0,1)</f>
        <v/>
      </c>
      <c r="J66" s="16" t="str">
        <f>_xlfn.XLOOKUP($A66,Centrum[Индекс],Centrum[Gross weight of cont// 
Гросс.вес по конт.],"",0,1)</f>
        <v/>
      </c>
      <c r="K66" s="17" t="str">
        <f>_xlfn.XLOOKUP($A66,Centrum[Индекс],Centrum[Route/ Маршрут (TSR/TCR)],"",0,1)</f>
        <v/>
      </c>
      <c r="L66" s="11" t="str">
        <f>_xlfn.XLOOKUP($A66,Centrum[Индекс],Centrum[Условия поставки],"",0,1)</f>
        <v/>
      </c>
      <c r="M66" s="11" t="str">
        <f>_xlfn.XLOOKUP($A66,Centrum[Индекс],Centrum[№ HBL date / 
№/ дата коносамента],"",0,1)</f>
        <v/>
      </c>
      <c r="N66" s="11" t="str">
        <f>_xlfn.XLOOKUP($A66,Centrum[Индекс],Centrum[№ MBL / 
№/ коносамента],"",0,1)</f>
        <v/>
      </c>
      <c r="O66" s="8" t="e">
        <f>(_xlfn.XLOOKUP($A66,Centrum[Индекс],Centrum[Date on board / Дата погрузки на судно],"",0,1))*1</f>
        <v>#VALUE!</v>
      </c>
      <c r="P66" s="8" t="e">
        <f>(_xlfn.XLOOKUP($A66,Centrum[Индекс],Centrum[Date of arrival to Sary-Agach/ Дата прибытия на Сары-Агач],"",0,1))*1</f>
        <v>#VALUE!</v>
      </c>
      <c r="Q66" s="14" t="str">
        <f>_xlfn.XLOOKUP($A66,Centrum[Индекс],Centrum[Container type/ 
Тип контейнера],"",0,1)</f>
        <v/>
      </c>
      <c r="R66" s="16">
        <f>_xlfn.XLOOKUP($A66,Centrum[Индекс],Centrum[Transportation cost per supplier/ 
Cтоимость перевозки по поставщикам],0,0,1)</f>
        <v>0</v>
      </c>
      <c r="S66" s="16">
        <f>Шаблон_Формулы!$T66-Шаблон_Формулы!$R66</f>
        <v>0</v>
      </c>
      <c r="T66" s="16">
        <f>_xlfn.XLOOKUP($A66,Centrum[Индекс],Centrum[Transportation total amount / Общая стоимость перевозки],0,0,1)</f>
        <v>0</v>
      </c>
      <c r="U66" s="12" cm="1">
        <f t="array" ref="U6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6" s="16">
        <f>_xlfn.XLOOKUP(Шаблон_Формулы[[#This Row],[21]],Курс_USD[Дата],Курс_USD[Курс],,0,1)</f>
        <v>12228.05</v>
      </c>
      <c r="W66" s="16">
        <f>Шаблон_Формулы!$T66*Шаблон_Формулы!$V66</f>
        <v>0</v>
      </c>
      <c r="Y66" s="16">
        <f>Шаблон_Формулы!$W66+Шаблон_Формулы!$X66</f>
        <v>0</v>
      </c>
      <c r="Z66" s="14" t="str">
        <f>_xlfn.XLOOKUP($A66,Centrum[Индекс],Centrum[Transport co invoice no/ 
Номер инвойса ТК],"",0,1)</f>
        <v/>
      </c>
    </row>
    <row r="67" spans="1:26" s="11" customFormat="1" x14ac:dyDescent="0.3">
      <c r="A67" s="14">
        <v>63</v>
      </c>
      <c r="B67" s="11" t="str">
        <f>_xlfn.XLOOKUP($A67,Centrum[Индекс],Centrum[Carrier/ Перевозчик],"",0,1)</f>
        <v/>
      </c>
      <c r="C67" s="11" t="str">
        <f>_xlfn.XLOOKUP($A67,Centrum[Индекс],Centrum[Country /  Страна],"",0,1)</f>
        <v/>
      </c>
      <c r="D67" s="11" t="str">
        <f>_xlfn.XLOOKUP($A67,Centrum[Индекс],Centrum[Container num./ 
№ контейнера],"",0,1)</f>
        <v/>
      </c>
      <c r="E67" s="11" t="str">
        <f>_xlfn.XLOOKUP($A67,Centrum[Индекс],Centrum[Supplier/
Поставщик],"",0,1)</f>
        <v/>
      </c>
      <c r="F67" s="11" t="str">
        <f>_xlfn.XLOOKUP($A67,Centrum[Индекс],Centrum[Shippers invoice no/ 
Номер инвойса поставщика],"",1)</f>
        <v/>
      </c>
      <c r="G67" s="15" t="str">
        <f>_xlfn.XLOOKUP($A67,Centrum[Индекс],Centrum[Invoice value / Стоимость груза в к-ре по инвойсу],"",0,1)</f>
        <v/>
      </c>
      <c r="H67" s="14" t="s">
        <v>40</v>
      </c>
      <c r="I67" s="11" t="str">
        <f>_xlfn.XLOOKUP($A67,Centrum[Индекс],Centrum[CBM on the shipper/ 
CBM по поставщику],"",0,1)</f>
        <v/>
      </c>
      <c r="J67" s="16" t="str">
        <f>_xlfn.XLOOKUP($A67,Centrum[Индекс],Centrum[Gross weight of cont// 
Гросс.вес по конт.],"",0,1)</f>
        <v/>
      </c>
      <c r="K67" s="17" t="str">
        <f>_xlfn.XLOOKUP($A67,Centrum[Индекс],Centrum[Route/ Маршрут (TSR/TCR)],"",0,1)</f>
        <v/>
      </c>
      <c r="L67" s="11" t="str">
        <f>_xlfn.XLOOKUP($A67,Centrum[Индекс],Centrum[Условия поставки],"",0,1)</f>
        <v/>
      </c>
      <c r="M67" s="11" t="str">
        <f>_xlfn.XLOOKUP($A67,Centrum[Индекс],Centrum[№ HBL date / 
№/ дата коносамента],"",0,1)</f>
        <v/>
      </c>
      <c r="N67" s="11" t="str">
        <f>_xlfn.XLOOKUP($A67,Centrum[Индекс],Centrum[№ MBL / 
№/ коносамента],"",0,1)</f>
        <v/>
      </c>
      <c r="O67" s="8" t="e">
        <f>(_xlfn.XLOOKUP($A67,Centrum[Индекс],Centrum[Date on board / Дата погрузки на судно],"",0,1))*1</f>
        <v>#VALUE!</v>
      </c>
      <c r="P67" s="8" t="e">
        <f>(_xlfn.XLOOKUP($A67,Centrum[Индекс],Centrum[Date of arrival to Sary-Agach/ Дата прибытия на Сары-Агач],"",0,1))*1</f>
        <v>#VALUE!</v>
      </c>
      <c r="Q67" s="14" t="str">
        <f>_xlfn.XLOOKUP($A67,Centrum[Индекс],Centrum[Container type/ 
Тип контейнера],"",0,1)</f>
        <v/>
      </c>
      <c r="R67" s="16">
        <f>_xlfn.XLOOKUP($A67,Centrum[Индекс],Centrum[Transportation cost per supplier/ 
Cтоимость перевозки по поставщикам],0,0,1)</f>
        <v>0</v>
      </c>
      <c r="S67" s="16">
        <f>Шаблон_Формулы!$T67-Шаблон_Формулы!$R67</f>
        <v>0</v>
      </c>
      <c r="T67" s="16">
        <f>_xlfn.XLOOKUP($A67,Centrum[Индекс],Centrum[Transportation total amount / Общая стоимость перевозки],0,0,1)</f>
        <v>0</v>
      </c>
      <c r="U67" s="12" cm="1">
        <f t="array" ref="U6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7" s="16">
        <f>_xlfn.XLOOKUP(Шаблон_Формулы[[#This Row],[21]],Курс_USD[Дата],Курс_USD[Курс],,0,1)</f>
        <v>12228.05</v>
      </c>
      <c r="W67" s="16">
        <f>Шаблон_Формулы!$T67*Шаблон_Формулы!$V67</f>
        <v>0</v>
      </c>
      <c r="Y67" s="16">
        <f>Шаблон_Формулы!$W67+Шаблон_Формулы!$X67</f>
        <v>0</v>
      </c>
      <c r="Z67" s="14" t="str">
        <f>_xlfn.XLOOKUP($A67,Centrum[Индекс],Centrum[Transport co invoice no/ 
Номер инвойса ТК],"",0,1)</f>
        <v/>
      </c>
    </row>
    <row r="68" spans="1:26" s="11" customFormat="1" x14ac:dyDescent="0.3">
      <c r="A68" s="14">
        <v>64</v>
      </c>
      <c r="B68" s="11" t="str">
        <f>_xlfn.XLOOKUP($A68,Centrum[Индекс],Centrum[Carrier/ Перевозчик],"",0,1)</f>
        <v/>
      </c>
      <c r="C68" s="11" t="str">
        <f>_xlfn.XLOOKUP($A68,Centrum[Индекс],Centrum[Country /  Страна],"",0,1)</f>
        <v/>
      </c>
      <c r="D68" s="11" t="str">
        <f>_xlfn.XLOOKUP($A68,Centrum[Индекс],Centrum[Container num./ 
№ контейнера],"",0,1)</f>
        <v/>
      </c>
      <c r="E68" s="11" t="str">
        <f>_xlfn.XLOOKUP($A68,Centrum[Индекс],Centrum[Supplier/
Поставщик],"",0,1)</f>
        <v/>
      </c>
      <c r="F68" s="11" t="str">
        <f>_xlfn.XLOOKUP($A68,Centrum[Индекс],Centrum[Shippers invoice no/ 
Номер инвойса поставщика],"",1)</f>
        <v/>
      </c>
      <c r="G68" s="15" t="str">
        <f>_xlfn.XLOOKUP($A68,Centrum[Индекс],Centrum[Invoice value / Стоимость груза в к-ре по инвойсу],"",0,1)</f>
        <v/>
      </c>
      <c r="H68" s="14" t="s">
        <v>40</v>
      </c>
      <c r="I68" s="11" t="str">
        <f>_xlfn.XLOOKUP($A68,Centrum[Индекс],Centrum[CBM on the shipper/ 
CBM по поставщику],"",0,1)</f>
        <v/>
      </c>
      <c r="J68" s="16" t="str">
        <f>_xlfn.XLOOKUP($A68,Centrum[Индекс],Centrum[Gross weight of cont// 
Гросс.вес по конт.],"",0,1)</f>
        <v/>
      </c>
      <c r="K68" s="17" t="str">
        <f>_xlfn.XLOOKUP($A68,Centrum[Индекс],Centrum[Route/ Маршрут (TSR/TCR)],"",0,1)</f>
        <v/>
      </c>
      <c r="L68" s="11" t="str">
        <f>_xlfn.XLOOKUP($A68,Centrum[Индекс],Centrum[Условия поставки],"",0,1)</f>
        <v/>
      </c>
      <c r="M68" s="11" t="str">
        <f>_xlfn.XLOOKUP($A68,Centrum[Индекс],Centrum[№ HBL date / 
№/ дата коносамента],"",0,1)</f>
        <v/>
      </c>
      <c r="N68" s="11" t="str">
        <f>_xlfn.XLOOKUP($A68,Centrum[Индекс],Centrum[№ MBL / 
№/ коносамента],"",0,1)</f>
        <v/>
      </c>
      <c r="O68" s="8" t="e">
        <f>(_xlfn.XLOOKUP($A68,Centrum[Индекс],Centrum[Date on board / Дата погрузки на судно],"",0,1))*1</f>
        <v>#VALUE!</v>
      </c>
      <c r="P68" s="8" t="e">
        <f>(_xlfn.XLOOKUP($A68,Centrum[Индекс],Centrum[Date of arrival to Sary-Agach/ Дата прибытия на Сары-Агач],"",0,1))*1</f>
        <v>#VALUE!</v>
      </c>
      <c r="Q68" s="14" t="str">
        <f>_xlfn.XLOOKUP($A68,Centrum[Индекс],Centrum[Container type/ 
Тип контейнера],"",0,1)</f>
        <v/>
      </c>
      <c r="R68" s="16">
        <f>_xlfn.XLOOKUP($A68,Centrum[Индекс],Centrum[Transportation cost per supplier/ 
Cтоимость перевозки по поставщикам],0,0,1)</f>
        <v>0</v>
      </c>
      <c r="S68" s="16">
        <f>Шаблон_Формулы!$T68-Шаблон_Формулы!$R68</f>
        <v>0</v>
      </c>
      <c r="T68" s="16">
        <f>_xlfn.XLOOKUP($A68,Centrum[Индекс],Centrum[Transportation total amount / Общая стоимость перевозки],0,0,1)</f>
        <v>0</v>
      </c>
      <c r="U68" s="12" cm="1">
        <f t="array" ref="U6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8" s="16">
        <f>_xlfn.XLOOKUP(Шаблон_Формулы[[#This Row],[21]],Курс_USD[Дата],Курс_USD[Курс],,0,1)</f>
        <v>12228.05</v>
      </c>
      <c r="W68" s="16">
        <f>Шаблон_Формулы!$T68*Шаблон_Формулы!$V68</f>
        <v>0</v>
      </c>
      <c r="Y68" s="16">
        <f>Шаблон_Формулы!$W68+Шаблон_Формулы!$X68</f>
        <v>0</v>
      </c>
      <c r="Z68" s="14" t="str">
        <f>_xlfn.XLOOKUP($A68,Centrum[Индекс],Centrum[Transport co invoice no/ 
Номер инвойса ТК],"",0,1)</f>
        <v/>
      </c>
    </row>
    <row r="69" spans="1:26" s="11" customFormat="1" x14ac:dyDescent="0.3">
      <c r="A69" s="14">
        <v>65</v>
      </c>
      <c r="B69" s="11" t="str">
        <f>_xlfn.XLOOKUP($A69,Centrum[Индекс],Centrum[Carrier/ Перевозчик],"",0,1)</f>
        <v/>
      </c>
      <c r="C69" s="11" t="str">
        <f>_xlfn.XLOOKUP($A69,Centrum[Индекс],Centrum[Country /  Страна],"",0,1)</f>
        <v/>
      </c>
      <c r="D69" s="11" t="str">
        <f>_xlfn.XLOOKUP($A69,Centrum[Индекс],Centrum[Container num./ 
№ контейнера],"",0,1)</f>
        <v/>
      </c>
      <c r="E69" s="11" t="str">
        <f>_xlfn.XLOOKUP($A69,Centrum[Индекс],Centrum[Supplier/
Поставщик],"",0,1)</f>
        <v/>
      </c>
      <c r="F69" s="11" t="str">
        <f>_xlfn.XLOOKUP($A69,Centrum[Индекс],Centrum[Shippers invoice no/ 
Номер инвойса поставщика],"",1)</f>
        <v/>
      </c>
      <c r="G69" s="15" t="str">
        <f>_xlfn.XLOOKUP($A69,Centrum[Индекс],Centrum[Invoice value / Стоимость груза в к-ре по инвойсу],"",0,1)</f>
        <v/>
      </c>
      <c r="H69" s="14" t="s">
        <v>40</v>
      </c>
      <c r="I69" s="11" t="str">
        <f>_xlfn.XLOOKUP($A69,Centrum[Индекс],Centrum[CBM on the shipper/ 
CBM по поставщику],"",0,1)</f>
        <v/>
      </c>
      <c r="J69" s="16" t="str">
        <f>_xlfn.XLOOKUP($A69,Centrum[Индекс],Centrum[Gross weight of cont// 
Гросс.вес по конт.],"",0,1)</f>
        <v/>
      </c>
      <c r="K69" s="17" t="str">
        <f>_xlfn.XLOOKUP($A69,Centrum[Индекс],Centrum[Route/ Маршрут (TSR/TCR)],"",0,1)</f>
        <v/>
      </c>
      <c r="L69" s="11" t="str">
        <f>_xlfn.XLOOKUP($A69,Centrum[Индекс],Centrum[Условия поставки],"",0,1)</f>
        <v/>
      </c>
      <c r="M69" s="11" t="str">
        <f>_xlfn.XLOOKUP($A69,Centrum[Индекс],Centrum[№ HBL date / 
№/ дата коносамента],"",0,1)</f>
        <v/>
      </c>
      <c r="N69" s="11" t="str">
        <f>_xlfn.XLOOKUP($A69,Centrum[Индекс],Centrum[№ MBL / 
№/ коносамента],"",0,1)</f>
        <v/>
      </c>
      <c r="O69" s="8" t="e">
        <f>(_xlfn.XLOOKUP($A69,Centrum[Индекс],Centrum[Date on board / Дата погрузки на судно],"",0,1))*1</f>
        <v>#VALUE!</v>
      </c>
      <c r="P69" s="8" t="e">
        <f>(_xlfn.XLOOKUP($A69,Centrum[Индекс],Centrum[Date of arrival to Sary-Agach/ Дата прибытия на Сары-Агач],"",0,1))*1</f>
        <v>#VALUE!</v>
      </c>
      <c r="Q69" s="14" t="str">
        <f>_xlfn.XLOOKUP($A69,Centrum[Индекс],Centrum[Container type/ 
Тип контейнера],"",0,1)</f>
        <v/>
      </c>
      <c r="R69" s="16">
        <f>_xlfn.XLOOKUP($A69,Centrum[Индекс],Centrum[Transportation cost per supplier/ 
Cтоимость перевозки по поставщикам],0,0,1)</f>
        <v>0</v>
      </c>
      <c r="S69" s="16">
        <f>Шаблон_Формулы!$T69-Шаблон_Формулы!$R69</f>
        <v>0</v>
      </c>
      <c r="T69" s="16">
        <f>_xlfn.XLOOKUP($A69,Centrum[Индекс],Centrum[Transportation total amount / Общая стоимость перевозки],0,0,1)</f>
        <v>0</v>
      </c>
      <c r="U69" s="12" cm="1">
        <f t="array" ref="U6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69" s="16">
        <f>_xlfn.XLOOKUP(Шаблон_Формулы[[#This Row],[21]],Курс_USD[Дата],Курс_USD[Курс],,0,1)</f>
        <v>12228.05</v>
      </c>
      <c r="W69" s="16">
        <f>Шаблон_Формулы!$T69*Шаблон_Формулы!$V69</f>
        <v>0</v>
      </c>
      <c r="Y69" s="16">
        <f>Шаблон_Формулы!$W69+Шаблон_Формулы!$X69</f>
        <v>0</v>
      </c>
      <c r="Z69" s="14" t="str">
        <f>_xlfn.XLOOKUP($A69,Centrum[Индекс],Centrum[Transport co invoice no/ 
Номер инвойса ТК],"",0,1)</f>
        <v/>
      </c>
    </row>
    <row r="70" spans="1:26" s="11" customFormat="1" x14ac:dyDescent="0.3">
      <c r="A70" s="14">
        <v>66</v>
      </c>
      <c r="B70" s="11" t="str">
        <f>_xlfn.XLOOKUP($A70,Centrum[Индекс],Centrum[Carrier/ Перевозчик],"",0,1)</f>
        <v/>
      </c>
      <c r="C70" s="11" t="str">
        <f>_xlfn.XLOOKUP($A70,Centrum[Индекс],Centrum[Country /  Страна],"",0,1)</f>
        <v/>
      </c>
      <c r="D70" s="11" t="str">
        <f>_xlfn.XLOOKUP($A70,Centrum[Индекс],Centrum[Container num./ 
№ контейнера],"",0,1)</f>
        <v/>
      </c>
      <c r="E70" s="11" t="str">
        <f>_xlfn.XLOOKUP($A70,Centrum[Индекс],Centrum[Supplier/
Поставщик],"",0,1)</f>
        <v/>
      </c>
      <c r="F70" s="11" t="str">
        <f>_xlfn.XLOOKUP($A70,Centrum[Индекс],Centrum[Shippers invoice no/ 
Номер инвойса поставщика],"",1)</f>
        <v/>
      </c>
      <c r="G70" s="15" t="str">
        <f>_xlfn.XLOOKUP($A70,Centrum[Индекс],Centrum[Invoice value / Стоимость груза в к-ре по инвойсу],"",0,1)</f>
        <v/>
      </c>
      <c r="H70" s="14" t="s">
        <v>40</v>
      </c>
      <c r="I70" s="11" t="str">
        <f>_xlfn.XLOOKUP($A70,Centrum[Индекс],Centrum[CBM on the shipper/ 
CBM по поставщику],"",0,1)</f>
        <v/>
      </c>
      <c r="J70" s="16" t="str">
        <f>_xlfn.XLOOKUP($A70,Centrum[Индекс],Centrum[Gross weight of cont// 
Гросс.вес по конт.],"",0,1)</f>
        <v/>
      </c>
      <c r="K70" s="17" t="str">
        <f>_xlfn.XLOOKUP($A70,Centrum[Индекс],Centrum[Route/ Маршрут (TSR/TCR)],"",0,1)</f>
        <v/>
      </c>
      <c r="L70" s="11" t="str">
        <f>_xlfn.XLOOKUP($A70,Centrum[Индекс],Centrum[Условия поставки],"",0,1)</f>
        <v/>
      </c>
      <c r="M70" s="11" t="str">
        <f>_xlfn.XLOOKUP($A70,Centrum[Индекс],Centrum[№ HBL date / 
№/ дата коносамента],"",0,1)</f>
        <v/>
      </c>
      <c r="N70" s="11" t="str">
        <f>_xlfn.XLOOKUP($A70,Centrum[Индекс],Centrum[№ MBL / 
№/ коносамента],"",0,1)</f>
        <v/>
      </c>
      <c r="O70" s="8" t="e">
        <f>(_xlfn.XLOOKUP($A70,Centrum[Индекс],Centrum[Date on board / Дата погрузки на судно],"",0,1))*1</f>
        <v>#VALUE!</v>
      </c>
      <c r="P70" s="8" t="e">
        <f>(_xlfn.XLOOKUP($A70,Centrum[Индекс],Centrum[Date of arrival to Sary-Agach/ Дата прибытия на Сары-Агач],"",0,1))*1</f>
        <v>#VALUE!</v>
      </c>
      <c r="Q70" s="14" t="str">
        <f>_xlfn.XLOOKUP($A70,Centrum[Индекс],Centrum[Container type/ 
Тип контейнера],"",0,1)</f>
        <v/>
      </c>
      <c r="R70" s="16">
        <f>_xlfn.XLOOKUP($A70,Centrum[Индекс],Centrum[Transportation cost per supplier/ 
Cтоимость перевозки по поставщикам],0,0,1)</f>
        <v>0</v>
      </c>
      <c r="S70" s="16">
        <f>Шаблон_Формулы!$T70-Шаблон_Формулы!$R70</f>
        <v>0</v>
      </c>
      <c r="T70" s="16">
        <f>_xlfn.XLOOKUP($A70,Centrum[Индекс],Centrum[Transportation total amount / Общая стоимость перевозки],0,0,1)</f>
        <v>0</v>
      </c>
      <c r="U70" s="12" cm="1">
        <f t="array" ref="U7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0" s="16">
        <f>_xlfn.XLOOKUP(Шаблон_Формулы[[#This Row],[21]],Курс_USD[Дата],Курс_USD[Курс],,0,1)</f>
        <v>12228.05</v>
      </c>
      <c r="W70" s="16">
        <f>Шаблон_Формулы!$T70*Шаблон_Формулы!$V70</f>
        <v>0</v>
      </c>
      <c r="Y70" s="16">
        <f>Шаблон_Формулы!$W70+Шаблон_Формулы!$X70</f>
        <v>0</v>
      </c>
      <c r="Z70" s="14" t="str">
        <f>_xlfn.XLOOKUP($A70,Centrum[Индекс],Centrum[Transport co invoice no/ 
Номер инвойса ТК],"",0,1)</f>
        <v/>
      </c>
    </row>
    <row r="71" spans="1:26" s="11" customFormat="1" x14ac:dyDescent="0.3">
      <c r="A71" s="14">
        <v>67</v>
      </c>
      <c r="B71" s="11" t="str">
        <f>_xlfn.XLOOKUP($A71,Centrum[Индекс],Centrum[Carrier/ Перевозчик],"",0,1)</f>
        <v/>
      </c>
      <c r="C71" s="11" t="str">
        <f>_xlfn.XLOOKUP($A71,Centrum[Индекс],Centrum[Country /  Страна],"",0,1)</f>
        <v/>
      </c>
      <c r="D71" s="11" t="str">
        <f>_xlfn.XLOOKUP($A71,Centrum[Индекс],Centrum[Container num./ 
№ контейнера],"",0,1)</f>
        <v/>
      </c>
      <c r="E71" s="11" t="str">
        <f>_xlfn.XLOOKUP($A71,Centrum[Индекс],Centrum[Supplier/
Поставщик],"",0,1)</f>
        <v/>
      </c>
      <c r="F71" s="11" t="str">
        <f>_xlfn.XLOOKUP($A71,Centrum[Индекс],Centrum[Shippers invoice no/ 
Номер инвойса поставщика],"",1)</f>
        <v/>
      </c>
      <c r="G71" s="15" t="str">
        <f>_xlfn.XLOOKUP($A71,Centrum[Индекс],Centrum[Invoice value / Стоимость груза в к-ре по инвойсу],"",0,1)</f>
        <v/>
      </c>
      <c r="H71" s="14" t="s">
        <v>40</v>
      </c>
      <c r="I71" s="11" t="str">
        <f>_xlfn.XLOOKUP($A71,Centrum[Индекс],Centrum[CBM on the shipper/ 
CBM по поставщику],"",0,1)</f>
        <v/>
      </c>
      <c r="J71" s="16" t="str">
        <f>_xlfn.XLOOKUP($A71,Centrum[Индекс],Centrum[Gross weight of cont// 
Гросс.вес по конт.],"",0,1)</f>
        <v/>
      </c>
      <c r="K71" s="17" t="str">
        <f>_xlfn.XLOOKUP($A71,Centrum[Индекс],Centrum[Route/ Маршрут (TSR/TCR)],"",0,1)</f>
        <v/>
      </c>
      <c r="L71" s="11" t="str">
        <f>_xlfn.XLOOKUP($A71,Centrum[Индекс],Centrum[Условия поставки],"",0,1)</f>
        <v/>
      </c>
      <c r="M71" s="11" t="str">
        <f>_xlfn.XLOOKUP($A71,Centrum[Индекс],Centrum[№ HBL date / 
№/ дата коносамента],"",0,1)</f>
        <v/>
      </c>
      <c r="N71" s="11" t="str">
        <f>_xlfn.XLOOKUP($A71,Centrum[Индекс],Centrum[№ MBL / 
№/ коносамента],"",0,1)</f>
        <v/>
      </c>
      <c r="O71" s="8" t="e">
        <f>(_xlfn.XLOOKUP($A71,Centrum[Индекс],Centrum[Date on board / Дата погрузки на судно],"",0,1))*1</f>
        <v>#VALUE!</v>
      </c>
      <c r="P71" s="8" t="e">
        <f>(_xlfn.XLOOKUP($A71,Centrum[Индекс],Centrum[Date of arrival to Sary-Agach/ Дата прибытия на Сары-Агач],"",0,1))*1</f>
        <v>#VALUE!</v>
      </c>
      <c r="Q71" s="14" t="str">
        <f>_xlfn.XLOOKUP($A71,Centrum[Индекс],Centrum[Container type/ 
Тип контейнера],"",0,1)</f>
        <v/>
      </c>
      <c r="R71" s="16">
        <f>_xlfn.XLOOKUP($A71,Centrum[Индекс],Centrum[Transportation cost per supplier/ 
Cтоимость перевозки по поставщикам],0,0,1)</f>
        <v>0</v>
      </c>
      <c r="S71" s="16">
        <f>Шаблон_Формулы!$T71-Шаблон_Формулы!$R71</f>
        <v>0</v>
      </c>
      <c r="T71" s="16">
        <f>_xlfn.XLOOKUP($A71,Centrum[Индекс],Centrum[Transportation total amount / Общая стоимость перевозки],0,0,1)</f>
        <v>0</v>
      </c>
      <c r="U71" s="12" cm="1">
        <f t="array" ref="U7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1" s="16">
        <f>_xlfn.XLOOKUP(Шаблон_Формулы[[#This Row],[21]],Курс_USD[Дата],Курс_USD[Курс],,0,1)</f>
        <v>12228.05</v>
      </c>
      <c r="W71" s="16">
        <f>Шаблон_Формулы!$T71*Шаблон_Формулы!$V71</f>
        <v>0</v>
      </c>
      <c r="Y71" s="16">
        <f>Шаблон_Формулы!$W71+Шаблон_Формулы!$X71</f>
        <v>0</v>
      </c>
      <c r="Z71" s="14" t="str">
        <f>_xlfn.XLOOKUP($A71,Centrum[Индекс],Centrum[Transport co invoice no/ 
Номер инвойса ТК],"",0,1)</f>
        <v/>
      </c>
    </row>
    <row r="72" spans="1:26" s="11" customFormat="1" x14ac:dyDescent="0.3">
      <c r="A72" s="14">
        <v>68</v>
      </c>
      <c r="B72" s="11" t="str">
        <f>_xlfn.XLOOKUP($A72,Centrum[Индекс],Centrum[Carrier/ Перевозчик],"",0,1)</f>
        <v/>
      </c>
      <c r="C72" s="11" t="str">
        <f>_xlfn.XLOOKUP($A72,Centrum[Индекс],Centrum[Country /  Страна],"",0,1)</f>
        <v/>
      </c>
      <c r="D72" s="11" t="str">
        <f>_xlfn.XLOOKUP($A72,Centrum[Индекс],Centrum[Container num./ 
№ контейнера],"",0,1)</f>
        <v/>
      </c>
      <c r="E72" s="11" t="str">
        <f>_xlfn.XLOOKUP($A72,Centrum[Индекс],Centrum[Supplier/
Поставщик],"",0,1)</f>
        <v/>
      </c>
      <c r="F72" s="11" t="str">
        <f>_xlfn.XLOOKUP($A72,Centrum[Индекс],Centrum[Shippers invoice no/ 
Номер инвойса поставщика],"",1)</f>
        <v/>
      </c>
      <c r="G72" s="15" t="str">
        <f>_xlfn.XLOOKUP($A72,Centrum[Индекс],Centrum[Invoice value / Стоимость груза в к-ре по инвойсу],"",0,1)</f>
        <v/>
      </c>
      <c r="H72" s="14" t="s">
        <v>40</v>
      </c>
      <c r="I72" s="11" t="str">
        <f>_xlfn.XLOOKUP($A72,Centrum[Индекс],Centrum[CBM on the shipper/ 
CBM по поставщику],"",0,1)</f>
        <v/>
      </c>
      <c r="J72" s="16" t="str">
        <f>_xlfn.XLOOKUP($A72,Centrum[Индекс],Centrum[Gross weight of cont// 
Гросс.вес по конт.],"",0,1)</f>
        <v/>
      </c>
      <c r="K72" s="17" t="str">
        <f>_xlfn.XLOOKUP($A72,Centrum[Индекс],Centrum[Route/ Маршрут (TSR/TCR)],"",0,1)</f>
        <v/>
      </c>
      <c r="L72" s="11" t="str">
        <f>_xlfn.XLOOKUP($A72,Centrum[Индекс],Centrum[Условия поставки],"",0,1)</f>
        <v/>
      </c>
      <c r="M72" s="11" t="str">
        <f>_xlfn.XLOOKUP($A72,Centrum[Индекс],Centrum[№ HBL date / 
№/ дата коносамента],"",0,1)</f>
        <v/>
      </c>
      <c r="N72" s="11" t="str">
        <f>_xlfn.XLOOKUP($A72,Centrum[Индекс],Centrum[№ MBL / 
№/ коносамента],"",0,1)</f>
        <v/>
      </c>
      <c r="O72" s="8" t="e">
        <f>(_xlfn.XLOOKUP($A72,Centrum[Индекс],Centrum[Date on board / Дата погрузки на судно],"",0,1))*1</f>
        <v>#VALUE!</v>
      </c>
      <c r="P72" s="8" t="e">
        <f>(_xlfn.XLOOKUP($A72,Centrum[Индекс],Centrum[Date of arrival to Sary-Agach/ Дата прибытия на Сары-Агач],"",0,1))*1</f>
        <v>#VALUE!</v>
      </c>
      <c r="Q72" s="14" t="str">
        <f>_xlfn.XLOOKUP($A72,Centrum[Индекс],Centrum[Container type/ 
Тип контейнера],"",0,1)</f>
        <v/>
      </c>
      <c r="R72" s="16">
        <f>_xlfn.XLOOKUP($A72,Centrum[Индекс],Centrum[Transportation cost per supplier/ 
Cтоимость перевозки по поставщикам],0,0,1)</f>
        <v>0</v>
      </c>
      <c r="S72" s="16">
        <f>Шаблон_Формулы!$T72-Шаблон_Формулы!$R72</f>
        <v>0</v>
      </c>
      <c r="T72" s="16">
        <f>_xlfn.XLOOKUP($A72,Centrum[Индекс],Centrum[Transportation total amount / Общая стоимость перевозки],0,0,1)</f>
        <v>0</v>
      </c>
      <c r="U72" s="12" cm="1">
        <f t="array" ref="U7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2" s="16">
        <f>_xlfn.XLOOKUP(Шаблон_Формулы[[#This Row],[21]],Курс_USD[Дата],Курс_USD[Курс],,0,1)</f>
        <v>12228.05</v>
      </c>
      <c r="W72" s="16">
        <f>Шаблон_Формулы!$T72*Шаблон_Формулы!$V72</f>
        <v>0</v>
      </c>
      <c r="Y72" s="16">
        <f>Шаблон_Формулы!$W72+Шаблон_Формулы!$X72</f>
        <v>0</v>
      </c>
      <c r="Z72" s="14" t="str">
        <f>_xlfn.XLOOKUP($A72,Centrum[Индекс],Centrum[Transport co invoice no/ 
Номер инвойса ТК],"",0,1)</f>
        <v/>
      </c>
    </row>
    <row r="73" spans="1:26" s="11" customFormat="1" x14ac:dyDescent="0.3">
      <c r="A73" s="14">
        <v>69</v>
      </c>
      <c r="B73" s="11" t="str">
        <f>_xlfn.XLOOKUP($A73,Centrum[Индекс],Centrum[Carrier/ Перевозчик],"",0,1)</f>
        <v/>
      </c>
      <c r="C73" s="11" t="str">
        <f>_xlfn.XLOOKUP($A73,Centrum[Индекс],Centrum[Country /  Страна],"",0,1)</f>
        <v/>
      </c>
      <c r="D73" s="11" t="str">
        <f>_xlfn.XLOOKUP($A73,Centrum[Индекс],Centrum[Container num./ 
№ контейнера],"",0,1)</f>
        <v/>
      </c>
      <c r="E73" s="11" t="str">
        <f>_xlfn.XLOOKUP($A73,Centrum[Индекс],Centrum[Supplier/
Поставщик],"",0,1)</f>
        <v/>
      </c>
      <c r="F73" s="11" t="str">
        <f>_xlfn.XLOOKUP($A73,Centrum[Индекс],Centrum[Shippers invoice no/ 
Номер инвойса поставщика],"",1)</f>
        <v/>
      </c>
      <c r="G73" s="15" t="str">
        <f>_xlfn.XLOOKUP($A73,Centrum[Индекс],Centrum[Invoice value / Стоимость груза в к-ре по инвойсу],"",0,1)</f>
        <v/>
      </c>
      <c r="H73" s="14" t="s">
        <v>40</v>
      </c>
      <c r="I73" s="11" t="str">
        <f>_xlfn.XLOOKUP($A73,Centrum[Индекс],Centrum[CBM on the shipper/ 
CBM по поставщику],"",0,1)</f>
        <v/>
      </c>
      <c r="J73" s="16" t="str">
        <f>_xlfn.XLOOKUP($A73,Centrum[Индекс],Centrum[Gross weight of cont// 
Гросс.вес по конт.],"",0,1)</f>
        <v/>
      </c>
      <c r="K73" s="17" t="str">
        <f>_xlfn.XLOOKUP($A73,Centrum[Индекс],Centrum[Route/ Маршрут (TSR/TCR)],"",0,1)</f>
        <v/>
      </c>
      <c r="L73" s="11" t="str">
        <f>_xlfn.XLOOKUP($A73,Centrum[Индекс],Centrum[Условия поставки],"",0,1)</f>
        <v/>
      </c>
      <c r="M73" s="11" t="str">
        <f>_xlfn.XLOOKUP($A73,Centrum[Индекс],Centrum[№ HBL date / 
№/ дата коносамента],"",0,1)</f>
        <v/>
      </c>
      <c r="N73" s="11" t="str">
        <f>_xlfn.XLOOKUP($A73,Centrum[Индекс],Centrum[№ MBL / 
№/ коносамента],"",0,1)</f>
        <v/>
      </c>
      <c r="O73" s="8" t="e">
        <f>(_xlfn.XLOOKUP($A73,Centrum[Индекс],Centrum[Date on board / Дата погрузки на судно],"",0,1))*1</f>
        <v>#VALUE!</v>
      </c>
      <c r="P73" s="8" t="e">
        <f>(_xlfn.XLOOKUP($A73,Centrum[Индекс],Centrum[Date of arrival to Sary-Agach/ Дата прибытия на Сары-Агач],"",0,1))*1</f>
        <v>#VALUE!</v>
      </c>
      <c r="Q73" s="14" t="str">
        <f>_xlfn.XLOOKUP($A73,Centrum[Индекс],Centrum[Container type/ 
Тип контейнера],"",0,1)</f>
        <v/>
      </c>
      <c r="R73" s="16">
        <f>_xlfn.XLOOKUP($A73,Centrum[Индекс],Centrum[Transportation cost per supplier/ 
Cтоимость перевозки по поставщикам],0,0,1)</f>
        <v>0</v>
      </c>
      <c r="S73" s="16">
        <f>Шаблон_Формулы!$T73-Шаблон_Формулы!$R73</f>
        <v>0</v>
      </c>
      <c r="T73" s="16">
        <f>_xlfn.XLOOKUP($A73,Centrum[Индекс],Centrum[Transportation total amount / Общая стоимость перевозки],0,0,1)</f>
        <v>0</v>
      </c>
      <c r="U73" s="12" cm="1">
        <f t="array" ref="U7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3" s="16">
        <f>_xlfn.XLOOKUP(Шаблон_Формулы[[#This Row],[21]],Курс_USD[Дата],Курс_USD[Курс],,0,1)</f>
        <v>12228.05</v>
      </c>
      <c r="W73" s="16">
        <f>Шаблон_Формулы!$T73*Шаблон_Формулы!$V73</f>
        <v>0</v>
      </c>
      <c r="Y73" s="16">
        <f>Шаблон_Формулы!$W73+Шаблон_Формулы!$X73</f>
        <v>0</v>
      </c>
      <c r="Z73" s="14" t="str">
        <f>_xlfn.XLOOKUP($A73,Centrum[Индекс],Centrum[Transport co invoice no/ 
Номер инвойса ТК],"",0,1)</f>
        <v/>
      </c>
    </row>
    <row r="74" spans="1:26" s="11" customFormat="1" x14ac:dyDescent="0.3">
      <c r="A74" s="14">
        <v>70</v>
      </c>
      <c r="B74" s="11" t="str">
        <f>_xlfn.XLOOKUP($A74,Centrum[Индекс],Centrum[Carrier/ Перевозчик],"",0,1)</f>
        <v/>
      </c>
      <c r="C74" s="11" t="str">
        <f>_xlfn.XLOOKUP($A74,Centrum[Индекс],Centrum[Country /  Страна],"",0,1)</f>
        <v/>
      </c>
      <c r="D74" s="11" t="str">
        <f>_xlfn.XLOOKUP($A74,Centrum[Индекс],Centrum[Container num./ 
№ контейнера],"",0,1)</f>
        <v/>
      </c>
      <c r="E74" s="11" t="str">
        <f>_xlfn.XLOOKUP($A74,Centrum[Индекс],Centrum[Supplier/
Поставщик],"",0,1)</f>
        <v/>
      </c>
      <c r="F74" s="11" t="str">
        <f>_xlfn.XLOOKUP($A74,Centrum[Индекс],Centrum[Shippers invoice no/ 
Номер инвойса поставщика],"",1)</f>
        <v/>
      </c>
      <c r="G74" s="15" t="str">
        <f>_xlfn.XLOOKUP($A74,Centrum[Индекс],Centrum[Invoice value / Стоимость груза в к-ре по инвойсу],"",0,1)</f>
        <v/>
      </c>
      <c r="H74" s="14" t="s">
        <v>40</v>
      </c>
      <c r="I74" s="11" t="str">
        <f>_xlfn.XLOOKUP($A74,Centrum[Индекс],Centrum[CBM on the shipper/ 
CBM по поставщику],"",0,1)</f>
        <v/>
      </c>
      <c r="J74" s="16" t="str">
        <f>_xlfn.XLOOKUP($A74,Centrum[Индекс],Centrum[Gross weight of cont// 
Гросс.вес по конт.],"",0,1)</f>
        <v/>
      </c>
      <c r="K74" s="17" t="str">
        <f>_xlfn.XLOOKUP($A74,Centrum[Индекс],Centrum[Route/ Маршрут (TSR/TCR)],"",0,1)</f>
        <v/>
      </c>
      <c r="L74" s="11" t="str">
        <f>_xlfn.XLOOKUP($A74,Centrum[Индекс],Centrum[Условия поставки],"",0,1)</f>
        <v/>
      </c>
      <c r="M74" s="11" t="str">
        <f>_xlfn.XLOOKUP($A74,Centrum[Индекс],Centrum[№ HBL date / 
№/ дата коносамента],"",0,1)</f>
        <v/>
      </c>
      <c r="N74" s="11" t="str">
        <f>_xlfn.XLOOKUP($A74,Centrum[Индекс],Centrum[№ MBL / 
№/ коносамента],"",0,1)</f>
        <v/>
      </c>
      <c r="O74" s="8" t="e">
        <f>(_xlfn.XLOOKUP($A74,Centrum[Индекс],Centrum[Date on board / Дата погрузки на судно],"",0,1))*1</f>
        <v>#VALUE!</v>
      </c>
      <c r="P74" s="8" t="e">
        <f>(_xlfn.XLOOKUP($A74,Centrum[Индекс],Centrum[Date of arrival to Sary-Agach/ Дата прибытия на Сары-Агач],"",0,1))*1</f>
        <v>#VALUE!</v>
      </c>
      <c r="Q74" s="14" t="str">
        <f>_xlfn.XLOOKUP($A74,Centrum[Индекс],Centrum[Container type/ 
Тип контейнера],"",0,1)</f>
        <v/>
      </c>
      <c r="R74" s="16">
        <f>_xlfn.XLOOKUP($A74,Centrum[Индекс],Centrum[Transportation cost per supplier/ 
Cтоимость перевозки по поставщикам],0,0,1)</f>
        <v>0</v>
      </c>
      <c r="S74" s="16">
        <f>Шаблон_Формулы!$T74-Шаблон_Формулы!$R74</f>
        <v>0</v>
      </c>
      <c r="T74" s="16">
        <f>_xlfn.XLOOKUP($A74,Centrum[Индекс],Centrum[Transportation total amount / Общая стоимость перевозки],0,0,1)</f>
        <v>0</v>
      </c>
      <c r="U74" s="12" cm="1">
        <f t="array" ref="U7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4" s="16">
        <f>_xlfn.XLOOKUP(Шаблон_Формулы[[#This Row],[21]],Курс_USD[Дата],Курс_USD[Курс],,0,1)</f>
        <v>12228.05</v>
      </c>
      <c r="W74" s="16">
        <f>Шаблон_Формулы!$T74*Шаблон_Формулы!$V74</f>
        <v>0</v>
      </c>
      <c r="Y74" s="16">
        <f>Шаблон_Формулы!$W74+Шаблон_Формулы!$X74</f>
        <v>0</v>
      </c>
      <c r="Z74" s="14" t="str">
        <f>_xlfn.XLOOKUP($A74,Centrum[Индекс],Centrum[Transport co invoice no/ 
Номер инвойса ТК],"",0,1)</f>
        <v/>
      </c>
    </row>
    <row r="75" spans="1:26" s="11" customFormat="1" x14ac:dyDescent="0.3">
      <c r="A75" s="14">
        <v>71</v>
      </c>
      <c r="B75" s="11" t="str">
        <f>_xlfn.XLOOKUP($A75,Centrum[Индекс],Centrum[Carrier/ Перевозчик],"",0,1)</f>
        <v/>
      </c>
      <c r="C75" s="11" t="str">
        <f>_xlfn.XLOOKUP($A75,Centrum[Индекс],Centrum[Country /  Страна],"",0,1)</f>
        <v/>
      </c>
      <c r="D75" s="11" t="str">
        <f>_xlfn.XLOOKUP($A75,Centrum[Индекс],Centrum[Container num./ 
№ контейнера],"",0,1)</f>
        <v/>
      </c>
      <c r="E75" s="11" t="str">
        <f>_xlfn.XLOOKUP($A75,Centrum[Индекс],Centrum[Supplier/
Поставщик],"",0,1)</f>
        <v/>
      </c>
      <c r="F75" s="11" t="str">
        <f>_xlfn.XLOOKUP($A75,Centrum[Индекс],Centrum[Shippers invoice no/ 
Номер инвойса поставщика],"",1)</f>
        <v/>
      </c>
      <c r="G75" s="15" t="str">
        <f>_xlfn.XLOOKUP($A75,Centrum[Индекс],Centrum[Invoice value / Стоимость груза в к-ре по инвойсу],"",0,1)</f>
        <v/>
      </c>
      <c r="H75" s="14" t="s">
        <v>40</v>
      </c>
      <c r="I75" s="11" t="str">
        <f>_xlfn.XLOOKUP($A75,Centrum[Индекс],Centrum[CBM on the shipper/ 
CBM по поставщику],"",0,1)</f>
        <v/>
      </c>
      <c r="J75" s="16" t="str">
        <f>_xlfn.XLOOKUP($A75,Centrum[Индекс],Centrum[Gross weight of cont// 
Гросс.вес по конт.],"",0,1)</f>
        <v/>
      </c>
      <c r="K75" s="17" t="str">
        <f>_xlfn.XLOOKUP($A75,Centrum[Индекс],Centrum[Route/ Маршрут (TSR/TCR)],"",0,1)</f>
        <v/>
      </c>
      <c r="L75" s="11" t="str">
        <f>_xlfn.XLOOKUP($A75,Centrum[Индекс],Centrum[Условия поставки],"",0,1)</f>
        <v/>
      </c>
      <c r="M75" s="11" t="str">
        <f>_xlfn.XLOOKUP($A75,Centrum[Индекс],Centrum[№ HBL date / 
№/ дата коносамента],"",0,1)</f>
        <v/>
      </c>
      <c r="N75" s="11" t="str">
        <f>_xlfn.XLOOKUP($A75,Centrum[Индекс],Centrum[№ MBL / 
№/ коносамента],"",0,1)</f>
        <v/>
      </c>
      <c r="O75" s="8" t="e">
        <f>(_xlfn.XLOOKUP($A75,Centrum[Индекс],Centrum[Date on board / Дата погрузки на судно],"",0,1))*1</f>
        <v>#VALUE!</v>
      </c>
      <c r="P75" s="8" t="e">
        <f>(_xlfn.XLOOKUP($A75,Centrum[Индекс],Centrum[Date of arrival to Sary-Agach/ Дата прибытия на Сары-Агач],"",0,1))*1</f>
        <v>#VALUE!</v>
      </c>
      <c r="Q75" s="14" t="str">
        <f>_xlfn.XLOOKUP($A75,Centrum[Индекс],Centrum[Container type/ 
Тип контейнера],"",0,1)</f>
        <v/>
      </c>
      <c r="R75" s="16">
        <f>_xlfn.XLOOKUP($A75,Centrum[Индекс],Centrum[Transportation cost per supplier/ 
Cтоимость перевозки по поставщикам],0,0,1)</f>
        <v>0</v>
      </c>
      <c r="S75" s="16">
        <f>Шаблон_Формулы!$T75-Шаблон_Формулы!$R75</f>
        <v>0</v>
      </c>
      <c r="T75" s="16">
        <f>_xlfn.XLOOKUP($A75,Centrum[Индекс],Centrum[Transportation total amount / Общая стоимость перевозки],0,0,1)</f>
        <v>0</v>
      </c>
      <c r="U75" s="12" cm="1">
        <f t="array" ref="U7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5" s="16">
        <f>_xlfn.XLOOKUP(Шаблон_Формулы[[#This Row],[21]],Курс_USD[Дата],Курс_USD[Курс],,0,1)</f>
        <v>12228.05</v>
      </c>
      <c r="W75" s="16">
        <f>Шаблон_Формулы!$T75*Шаблон_Формулы!$V75</f>
        <v>0</v>
      </c>
      <c r="Y75" s="16">
        <f>Шаблон_Формулы!$W75+Шаблон_Формулы!$X75</f>
        <v>0</v>
      </c>
      <c r="Z75" s="14" t="str">
        <f>_xlfn.XLOOKUP($A75,Centrum[Индекс],Centrum[Transport co invoice no/ 
Номер инвойса ТК],"",0,1)</f>
        <v/>
      </c>
    </row>
    <row r="76" spans="1:26" s="11" customFormat="1" x14ac:dyDescent="0.3">
      <c r="A76" s="14">
        <v>72</v>
      </c>
      <c r="B76" s="11" t="str">
        <f>_xlfn.XLOOKUP($A76,Centrum[Индекс],Centrum[Carrier/ Перевозчик],"",0,1)</f>
        <v/>
      </c>
      <c r="C76" s="11" t="str">
        <f>_xlfn.XLOOKUP($A76,Centrum[Индекс],Centrum[Country /  Страна],"",0,1)</f>
        <v/>
      </c>
      <c r="D76" s="11" t="str">
        <f>_xlfn.XLOOKUP($A76,Centrum[Индекс],Centrum[Container num./ 
№ контейнера],"",0,1)</f>
        <v/>
      </c>
      <c r="E76" s="11" t="str">
        <f>_xlfn.XLOOKUP($A76,Centrum[Индекс],Centrum[Supplier/
Поставщик],"",0,1)</f>
        <v/>
      </c>
      <c r="F76" s="11" t="str">
        <f>_xlfn.XLOOKUP($A76,Centrum[Индекс],Centrum[Shippers invoice no/ 
Номер инвойса поставщика],"",1)</f>
        <v/>
      </c>
      <c r="G76" s="15" t="str">
        <f>_xlfn.XLOOKUP($A76,Centrum[Индекс],Centrum[Invoice value / Стоимость груза в к-ре по инвойсу],"",0,1)</f>
        <v/>
      </c>
      <c r="H76" s="14" t="s">
        <v>40</v>
      </c>
      <c r="I76" s="11" t="str">
        <f>_xlfn.XLOOKUP($A76,Centrum[Индекс],Centrum[CBM on the shipper/ 
CBM по поставщику],"",0,1)</f>
        <v/>
      </c>
      <c r="J76" s="16" t="str">
        <f>_xlfn.XLOOKUP($A76,Centrum[Индекс],Centrum[Gross weight of cont// 
Гросс.вес по конт.],"",0,1)</f>
        <v/>
      </c>
      <c r="K76" s="17" t="str">
        <f>_xlfn.XLOOKUP($A76,Centrum[Индекс],Centrum[Route/ Маршрут (TSR/TCR)],"",0,1)</f>
        <v/>
      </c>
      <c r="L76" s="11" t="str">
        <f>_xlfn.XLOOKUP($A76,Centrum[Индекс],Centrum[Условия поставки],"",0,1)</f>
        <v/>
      </c>
      <c r="M76" s="11" t="str">
        <f>_xlfn.XLOOKUP($A76,Centrum[Индекс],Centrum[№ HBL date / 
№/ дата коносамента],"",0,1)</f>
        <v/>
      </c>
      <c r="N76" s="11" t="str">
        <f>_xlfn.XLOOKUP($A76,Centrum[Индекс],Centrum[№ MBL / 
№/ коносамента],"",0,1)</f>
        <v/>
      </c>
      <c r="O76" s="8" t="e">
        <f>(_xlfn.XLOOKUP($A76,Centrum[Индекс],Centrum[Date on board / Дата погрузки на судно],"",0,1))*1</f>
        <v>#VALUE!</v>
      </c>
      <c r="P76" s="8" t="e">
        <f>(_xlfn.XLOOKUP($A76,Centrum[Индекс],Centrum[Date of arrival to Sary-Agach/ Дата прибытия на Сары-Агач],"",0,1))*1</f>
        <v>#VALUE!</v>
      </c>
      <c r="Q76" s="14" t="str">
        <f>_xlfn.XLOOKUP($A76,Centrum[Индекс],Centrum[Container type/ 
Тип контейнера],"",0,1)</f>
        <v/>
      </c>
      <c r="R76" s="16">
        <f>_xlfn.XLOOKUP($A76,Centrum[Индекс],Centrum[Transportation cost per supplier/ 
Cтоимость перевозки по поставщикам],0,0,1)</f>
        <v>0</v>
      </c>
      <c r="S76" s="16">
        <f>Шаблон_Формулы!$T76-Шаблон_Формулы!$R76</f>
        <v>0</v>
      </c>
      <c r="T76" s="16">
        <f>_xlfn.XLOOKUP($A76,Centrum[Индекс],Centrum[Transportation total amount / Общая стоимость перевозки],0,0,1)</f>
        <v>0</v>
      </c>
      <c r="U76" s="12" cm="1">
        <f t="array" ref="U7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6" s="16">
        <f>_xlfn.XLOOKUP(Шаблон_Формулы[[#This Row],[21]],Курс_USD[Дата],Курс_USD[Курс],,0,1)</f>
        <v>12228.05</v>
      </c>
      <c r="W76" s="16">
        <f>Шаблон_Формулы!$T76*Шаблон_Формулы!$V76</f>
        <v>0</v>
      </c>
      <c r="Y76" s="16">
        <f>Шаблон_Формулы!$W76+Шаблон_Формулы!$X76</f>
        <v>0</v>
      </c>
      <c r="Z76" s="14" t="str">
        <f>_xlfn.XLOOKUP($A76,Centrum[Индекс],Centrum[Transport co invoice no/ 
Номер инвойса ТК],"",0,1)</f>
        <v/>
      </c>
    </row>
    <row r="77" spans="1:26" s="11" customFormat="1" x14ac:dyDescent="0.3">
      <c r="A77" s="14">
        <v>73</v>
      </c>
      <c r="B77" s="11" t="str">
        <f>_xlfn.XLOOKUP($A77,Centrum[Индекс],Centrum[Carrier/ Перевозчик],"",0,1)</f>
        <v/>
      </c>
      <c r="C77" s="11" t="str">
        <f>_xlfn.XLOOKUP($A77,Centrum[Индекс],Centrum[Country /  Страна],"",0,1)</f>
        <v/>
      </c>
      <c r="D77" s="11" t="str">
        <f>_xlfn.XLOOKUP($A77,Centrum[Индекс],Centrum[Container num./ 
№ контейнера],"",0,1)</f>
        <v/>
      </c>
      <c r="E77" s="11" t="str">
        <f>_xlfn.XLOOKUP($A77,Centrum[Индекс],Centrum[Supplier/
Поставщик],"",0,1)</f>
        <v/>
      </c>
      <c r="F77" s="11" t="str">
        <f>_xlfn.XLOOKUP($A77,Centrum[Индекс],Centrum[Shippers invoice no/ 
Номер инвойса поставщика],"",1)</f>
        <v/>
      </c>
      <c r="G77" s="15" t="str">
        <f>_xlfn.XLOOKUP($A77,Centrum[Индекс],Centrum[Invoice value / Стоимость груза в к-ре по инвойсу],"",0,1)</f>
        <v/>
      </c>
      <c r="H77" s="14" t="s">
        <v>40</v>
      </c>
      <c r="I77" s="11" t="str">
        <f>_xlfn.XLOOKUP($A77,Centrum[Индекс],Centrum[CBM on the shipper/ 
CBM по поставщику],"",0,1)</f>
        <v/>
      </c>
      <c r="J77" s="16" t="str">
        <f>_xlfn.XLOOKUP($A77,Centrum[Индекс],Centrum[Gross weight of cont// 
Гросс.вес по конт.],"",0,1)</f>
        <v/>
      </c>
      <c r="K77" s="17" t="str">
        <f>_xlfn.XLOOKUP($A77,Centrum[Индекс],Centrum[Route/ Маршрут (TSR/TCR)],"",0,1)</f>
        <v/>
      </c>
      <c r="L77" s="11" t="str">
        <f>_xlfn.XLOOKUP($A77,Centrum[Индекс],Centrum[Условия поставки],"",0,1)</f>
        <v/>
      </c>
      <c r="M77" s="11" t="str">
        <f>_xlfn.XLOOKUP($A77,Centrum[Индекс],Centrum[№ HBL date / 
№/ дата коносамента],"",0,1)</f>
        <v/>
      </c>
      <c r="N77" s="11" t="str">
        <f>_xlfn.XLOOKUP($A77,Centrum[Индекс],Centrum[№ MBL / 
№/ коносамента],"",0,1)</f>
        <v/>
      </c>
      <c r="O77" s="8" t="e">
        <f>(_xlfn.XLOOKUP($A77,Centrum[Индекс],Centrum[Date on board / Дата погрузки на судно],"",0,1))*1</f>
        <v>#VALUE!</v>
      </c>
      <c r="P77" s="8" t="e">
        <f>(_xlfn.XLOOKUP($A77,Centrum[Индекс],Centrum[Date of arrival to Sary-Agach/ Дата прибытия на Сары-Агач],"",0,1))*1</f>
        <v>#VALUE!</v>
      </c>
      <c r="Q77" s="14" t="str">
        <f>_xlfn.XLOOKUP($A77,Centrum[Индекс],Centrum[Container type/ 
Тип контейнера],"",0,1)</f>
        <v/>
      </c>
      <c r="R77" s="16">
        <f>_xlfn.XLOOKUP($A77,Centrum[Индекс],Centrum[Transportation cost per supplier/ 
Cтоимость перевозки по поставщикам],0,0,1)</f>
        <v>0</v>
      </c>
      <c r="S77" s="16">
        <f>Шаблон_Формулы!$T77-Шаблон_Формулы!$R77</f>
        <v>0</v>
      </c>
      <c r="T77" s="16">
        <f>_xlfn.XLOOKUP($A77,Centrum[Индекс],Centrum[Transportation total amount / Общая стоимость перевозки],0,0,1)</f>
        <v>0</v>
      </c>
      <c r="U77" s="12" cm="1">
        <f t="array" ref="U7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7" s="16">
        <f>_xlfn.XLOOKUP(Шаблон_Формулы[[#This Row],[21]],Курс_USD[Дата],Курс_USD[Курс],,0,1)</f>
        <v>12228.05</v>
      </c>
      <c r="W77" s="16">
        <f>Шаблон_Формулы!$T77*Шаблон_Формулы!$V77</f>
        <v>0</v>
      </c>
      <c r="Y77" s="16">
        <f>Шаблон_Формулы!$W77+Шаблон_Формулы!$X77</f>
        <v>0</v>
      </c>
      <c r="Z77" s="14" t="str">
        <f>_xlfn.XLOOKUP($A77,Centrum[Индекс],Centrum[Transport co invoice no/ 
Номер инвойса ТК],"",0,1)</f>
        <v/>
      </c>
    </row>
    <row r="78" spans="1:26" s="11" customFormat="1" x14ac:dyDescent="0.3">
      <c r="A78" s="14">
        <v>74</v>
      </c>
      <c r="B78" s="11" t="str">
        <f>_xlfn.XLOOKUP($A78,Centrum[Индекс],Centrum[Carrier/ Перевозчик],"",0,1)</f>
        <v/>
      </c>
      <c r="C78" s="11" t="str">
        <f>_xlfn.XLOOKUP($A78,Centrum[Индекс],Centrum[Country /  Страна],"",0,1)</f>
        <v/>
      </c>
      <c r="D78" s="11" t="str">
        <f>_xlfn.XLOOKUP($A78,Centrum[Индекс],Centrum[Container num./ 
№ контейнера],"",0,1)</f>
        <v/>
      </c>
      <c r="E78" s="11" t="str">
        <f>_xlfn.XLOOKUP($A78,Centrum[Индекс],Centrum[Supplier/
Поставщик],"",0,1)</f>
        <v/>
      </c>
      <c r="F78" s="11" t="str">
        <f>_xlfn.XLOOKUP($A78,Centrum[Индекс],Centrum[Shippers invoice no/ 
Номер инвойса поставщика],"",1)</f>
        <v/>
      </c>
      <c r="G78" s="15" t="str">
        <f>_xlfn.XLOOKUP($A78,Centrum[Индекс],Centrum[Invoice value / Стоимость груза в к-ре по инвойсу],"",0,1)</f>
        <v/>
      </c>
      <c r="H78" s="14" t="s">
        <v>40</v>
      </c>
      <c r="I78" s="11" t="str">
        <f>_xlfn.XLOOKUP($A78,Centrum[Индекс],Centrum[CBM on the shipper/ 
CBM по поставщику],"",0,1)</f>
        <v/>
      </c>
      <c r="J78" s="16" t="str">
        <f>_xlfn.XLOOKUP($A78,Centrum[Индекс],Centrum[Gross weight of cont// 
Гросс.вес по конт.],"",0,1)</f>
        <v/>
      </c>
      <c r="K78" s="17" t="str">
        <f>_xlfn.XLOOKUP($A78,Centrum[Индекс],Centrum[Route/ Маршрут (TSR/TCR)],"",0,1)</f>
        <v/>
      </c>
      <c r="L78" s="11" t="str">
        <f>_xlfn.XLOOKUP($A78,Centrum[Индекс],Centrum[Условия поставки],"",0,1)</f>
        <v/>
      </c>
      <c r="M78" s="11" t="str">
        <f>_xlfn.XLOOKUP($A78,Centrum[Индекс],Centrum[№ HBL date / 
№/ дата коносамента],"",0,1)</f>
        <v/>
      </c>
      <c r="N78" s="11" t="str">
        <f>_xlfn.XLOOKUP($A78,Centrum[Индекс],Centrum[№ MBL / 
№/ коносамента],"",0,1)</f>
        <v/>
      </c>
      <c r="O78" s="8" t="e">
        <f>(_xlfn.XLOOKUP($A78,Centrum[Индекс],Centrum[Date on board / Дата погрузки на судно],"",0,1))*1</f>
        <v>#VALUE!</v>
      </c>
      <c r="P78" s="8" t="e">
        <f>(_xlfn.XLOOKUP($A78,Centrum[Индекс],Centrum[Date of arrival to Sary-Agach/ Дата прибытия на Сары-Агач],"",0,1))*1</f>
        <v>#VALUE!</v>
      </c>
      <c r="Q78" s="14" t="str">
        <f>_xlfn.XLOOKUP($A78,Centrum[Индекс],Centrum[Container type/ 
Тип контейнера],"",0,1)</f>
        <v/>
      </c>
      <c r="R78" s="16">
        <f>_xlfn.XLOOKUP($A78,Centrum[Индекс],Centrum[Transportation cost per supplier/ 
Cтоимость перевозки по поставщикам],0,0,1)</f>
        <v>0</v>
      </c>
      <c r="S78" s="16">
        <f>Шаблон_Формулы!$T78-Шаблон_Формулы!$R78</f>
        <v>0</v>
      </c>
      <c r="T78" s="16">
        <f>_xlfn.XLOOKUP($A78,Centrum[Индекс],Centrum[Transportation total amount / Общая стоимость перевозки],0,0,1)</f>
        <v>0</v>
      </c>
      <c r="U78" s="12" cm="1">
        <f t="array" ref="U7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8" s="16">
        <f>_xlfn.XLOOKUP(Шаблон_Формулы[[#This Row],[21]],Курс_USD[Дата],Курс_USD[Курс],,0,1)</f>
        <v>12228.05</v>
      </c>
      <c r="W78" s="16">
        <f>Шаблон_Формулы!$T78*Шаблон_Формулы!$V78</f>
        <v>0</v>
      </c>
      <c r="Y78" s="16">
        <f>Шаблон_Формулы!$W78+Шаблон_Формулы!$X78</f>
        <v>0</v>
      </c>
      <c r="Z78" s="14" t="str">
        <f>_xlfn.XLOOKUP($A78,Centrum[Индекс],Centrum[Transport co invoice no/ 
Номер инвойса ТК],"",0,1)</f>
        <v/>
      </c>
    </row>
    <row r="79" spans="1:26" s="11" customFormat="1" x14ac:dyDescent="0.3">
      <c r="A79" s="14">
        <v>75</v>
      </c>
      <c r="B79" s="11" t="str">
        <f>_xlfn.XLOOKUP($A79,Centrum[Индекс],Centrum[Carrier/ Перевозчик],"",0,1)</f>
        <v/>
      </c>
      <c r="C79" s="11" t="str">
        <f>_xlfn.XLOOKUP($A79,Centrum[Индекс],Centrum[Country /  Страна],"",0,1)</f>
        <v/>
      </c>
      <c r="D79" s="11" t="str">
        <f>_xlfn.XLOOKUP($A79,Centrum[Индекс],Centrum[Container num./ 
№ контейнера],"",0,1)</f>
        <v/>
      </c>
      <c r="E79" s="11" t="str">
        <f>_xlfn.XLOOKUP($A79,Centrum[Индекс],Centrum[Supplier/
Поставщик],"",0,1)</f>
        <v/>
      </c>
      <c r="F79" s="11" t="str">
        <f>_xlfn.XLOOKUP($A79,Centrum[Индекс],Centrum[Shippers invoice no/ 
Номер инвойса поставщика],"",1)</f>
        <v/>
      </c>
      <c r="G79" s="15" t="str">
        <f>_xlfn.XLOOKUP($A79,Centrum[Индекс],Centrum[Invoice value / Стоимость груза в к-ре по инвойсу],"",0,1)</f>
        <v/>
      </c>
      <c r="H79" s="14" t="s">
        <v>40</v>
      </c>
      <c r="I79" s="11" t="str">
        <f>_xlfn.XLOOKUP($A79,Centrum[Индекс],Centrum[CBM on the shipper/ 
CBM по поставщику],"",0,1)</f>
        <v/>
      </c>
      <c r="J79" s="16" t="str">
        <f>_xlfn.XLOOKUP($A79,Centrum[Индекс],Centrum[Gross weight of cont// 
Гросс.вес по конт.],"",0,1)</f>
        <v/>
      </c>
      <c r="K79" s="17" t="str">
        <f>_xlfn.XLOOKUP($A79,Centrum[Индекс],Centrum[Route/ Маршрут (TSR/TCR)],"",0,1)</f>
        <v/>
      </c>
      <c r="L79" s="11" t="str">
        <f>_xlfn.XLOOKUP($A79,Centrum[Индекс],Centrum[Условия поставки],"",0,1)</f>
        <v/>
      </c>
      <c r="M79" s="11" t="str">
        <f>_xlfn.XLOOKUP($A79,Centrum[Индекс],Centrum[№ HBL date / 
№/ дата коносамента],"",0,1)</f>
        <v/>
      </c>
      <c r="N79" s="11" t="str">
        <f>_xlfn.XLOOKUP($A79,Centrum[Индекс],Centrum[№ MBL / 
№/ коносамента],"",0,1)</f>
        <v/>
      </c>
      <c r="O79" s="8" t="e">
        <f>(_xlfn.XLOOKUP($A79,Centrum[Индекс],Centrum[Date on board / Дата погрузки на судно],"",0,1))*1</f>
        <v>#VALUE!</v>
      </c>
      <c r="P79" s="8" t="e">
        <f>(_xlfn.XLOOKUP($A79,Centrum[Индекс],Centrum[Date of arrival to Sary-Agach/ Дата прибытия на Сары-Агач],"",0,1))*1</f>
        <v>#VALUE!</v>
      </c>
      <c r="Q79" s="14" t="str">
        <f>_xlfn.XLOOKUP($A79,Centrum[Индекс],Centrum[Container type/ 
Тип контейнера],"",0,1)</f>
        <v/>
      </c>
      <c r="R79" s="16">
        <f>_xlfn.XLOOKUP($A79,Centrum[Индекс],Centrum[Transportation cost per supplier/ 
Cтоимость перевозки по поставщикам],0,0,1)</f>
        <v>0</v>
      </c>
      <c r="S79" s="16">
        <f>Шаблон_Формулы!$T79-Шаблон_Формулы!$R79</f>
        <v>0</v>
      </c>
      <c r="T79" s="16">
        <f>_xlfn.XLOOKUP($A79,Centrum[Индекс],Centrum[Transportation total amount / Общая стоимость перевозки],0,0,1)</f>
        <v>0</v>
      </c>
      <c r="U79" s="12" cm="1">
        <f t="array" ref="U7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79" s="16">
        <f>_xlfn.XLOOKUP(Шаблон_Формулы[[#This Row],[21]],Курс_USD[Дата],Курс_USD[Курс],,0,1)</f>
        <v>12228.05</v>
      </c>
      <c r="W79" s="16">
        <f>Шаблон_Формулы!$T79*Шаблон_Формулы!$V79</f>
        <v>0</v>
      </c>
      <c r="Y79" s="16">
        <f>Шаблон_Формулы!$W79+Шаблон_Формулы!$X79</f>
        <v>0</v>
      </c>
      <c r="Z79" s="14" t="str">
        <f>_xlfn.XLOOKUP($A79,Centrum[Индекс],Centrum[Transport co invoice no/ 
Номер инвойса ТК],"",0,1)</f>
        <v/>
      </c>
    </row>
    <row r="80" spans="1:26" s="11" customFormat="1" x14ac:dyDescent="0.3">
      <c r="A80" s="14">
        <v>76</v>
      </c>
      <c r="B80" s="11" t="str">
        <f>_xlfn.XLOOKUP($A80,Centrum[Индекс],Centrum[Carrier/ Перевозчик],"",0,1)</f>
        <v/>
      </c>
      <c r="C80" s="11" t="str">
        <f>_xlfn.XLOOKUP($A80,Centrum[Индекс],Centrum[Country /  Страна],"",0,1)</f>
        <v/>
      </c>
      <c r="D80" s="11" t="str">
        <f>_xlfn.XLOOKUP($A80,Centrum[Индекс],Centrum[Container num./ 
№ контейнера],"",0,1)</f>
        <v/>
      </c>
      <c r="E80" s="11" t="str">
        <f>_xlfn.XLOOKUP($A80,Centrum[Индекс],Centrum[Supplier/
Поставщик],"",0,1)</f>
        <v/>
      </c>
      <c r="F80" s="11" t="str">
        <f>_xlfn.XLOOKUP($A80,Centrum[Индекс],Centrum[Shippers invoice no/ 
Номер инвойса поставщика],"",1)</f>
        <v/>
      </c>
      <c r="G80" s="15" t="str">
        <f>_xlfn.XLOOKUP($A80,Centrum[Индекс],Centrum[Invoice value / Стоимость груза в к-ре по инвойсу],"",0,1)</f>
        <v/>
      </c>
      <c r="H80" s="14" t="s">
        <v>40</v>
      </c>
      <c r="I80" s="11" t="str">
        <f>_xlfn.XLOOKUP($A80,Centrum[Индекс],Centrum[CBM on the shipper/ 
CBM по поставщику],"",0,1)</f>
        <v/>
      </c>
      <c r="J80" s="16" t="str">
        <f>_xlfn.XLOOKUP($A80,Centrum[Индекс],Centrum[Gross weight of cont// 
Гросс.вес по конт.],"",0,1)</f>
        <v/>
      </c>
      <c r="K80" s="17" t="str">
        <f>_xlfn.XLOOKUP($A80,Centrum[Индекс],Centrum[Route/ Маршрут (TSR/TCR)],"",0,1)</f>
        <v/>
      </c>
      <c r="L80" s="11" t="str">
        <f>_xlfn.XLOOKUP($A80,Centrum[Индекс],Centrum[Условия поставки],"",0,1)</f>
        <v/>
      </c>
      <c r="M80" s="11" t="str">
        <f>_xlfn.XLOOKUP($A80,Centrum[Индекс],Centrum[№ HBL date / 
№/ дата коносамента],"",0,1)</f>
        <v/>
      </c>
      <c r="N80" s="11" t="str">
        <f>_xlfn.XLOOKUP($A80,Centrum[Индекс],Centrum[№ MBL / 
№/ коносамента],"",0,1)</f>
        <v/>
      </c>
      <c r="O80" s="8" t="e">
        <f>(_xlfn.XLOOKUP($A80,Centrum[Индекс],Centrum[Date on board / Дата погрузки на судно],"",0,1))*1</f>
        <v>#VALUE!</v>
      </c>
      <c r="P80" s="8" t="e">
        <f>(_xlfn.XLOOKUP($A80,Centrum[Индекс],Centrum[Date of arrival to Sary-Agach/ Дата прибытия на Сары-Агач],"",0,1))*1</f>
        <v>#VALUE!</v>
      </c>
      <c r="Q80" s="14" t="str">
        <f>_xlfn.XLOOKUP($A80,Centrum[Индекс],Centrum[Container type/ 
Тип контейнера],"",0,1)</f>
        <v/>
      </c>
      <c r="R80" s="16">
        <f>_xlfn.XLOOKUP($A80,Centrum[Индекс],Centrum[Transportation cost per supplier/ 
Cтоимость перевозки по поставщикам],0,0,1)</f>
        <v>0</v>
      </c>
      <c r="S80" s="16">
        <f>Шаблон_Формулы!$T80-Шаблон_Формулы!$R80</f>
        <v>0</v>
      </c>
      <c r="T80" s="16">
        <f>_xlfn.XLOOKUP($A80,Centrum[Индекс],Centrum[Transportation total amount / Общая стоимость перевозки],0,0,1)</f>
        <v>0</v>
      </c>
      <c r="U80" s="12" cm="1">
        <f t="array" ref="U8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0" s="16">
        <f>_xlfn.XLOOKUP(Шаблон_Формулы[[#This Row],[21]],Курс_USD[Дата],Курс_USD[Курс],,0,1)</f>
        <v>12228.05</v>
      </c>
      <c r="W80" s="16">
        <f>Шаблон_Формулы!$T80*Шаблон_Формулы!$V80</f>
        <v>0</v>
      </c>
      <c r="Y80" s="16">
        <f>Шаблон_Формулы!$W80+Шаблон_Формулы!$X80</f>
        <v>0</v>
      </c>
      <c r="Z80" s="14" t="str">
        <f>_xlfn.XLOOKUP($A80,Centrum[Индекс],Centrum[Transport co invoice no/ 
Номер инвойса ТК],"",0,1)</f>
        <v/>
      </c>
    </row>
    <row r="81" spans="1:26" s="11" customFormat="1" x14ac:dyDescent="0.3">
      <c r="A81" s="14">
        <v>77</v>
      </c>
      <c r="B81" s="11" t="str">
        <f>_xlfn.XLOOKUP($A81,Centrum[Индекс],Centrum[Carrier/ Перевозчик],"",0,1)</f>
        <v/>
      </c>
      <c r="C81" s="11" t="str">
        <f>_xlfn.XLOOKUP($A81,Centrum[Индекс],Centrum[Country /  Страна],"",0,1)</f>
        <v/>
      </c>
      <c r="D81" s="11" t="str">
        <f>_xlfn.XLOOKUP($A81,Centrum[Индекс],Centrum[Container num./ 
№ контейнера],"",0,1)</f>
        <v/>
      </c>
      <c r="E81" s="11" t="str">
        <f>_xlfn.XLOOKUP($A81,Centrum[Индекс],Centrum[Supplier/
Поставщик],"",0,1)</f>
        <v/>
      </c>
      <c r="F81" s="11" t="str">
        <f>_xlfn.XLOOKUP($A81,Centrum[Индекс],Centrum[Shippers invoice no/ 
Номер инвойса поставщика],"",1)</f>
        <v/>
      </c>
      <c r="G81" s="15" t="str">
        <f>_xlfn.XLOOKUP($A81,Centrum[Индекс],Centrum[Invoice value / Стоимость груза в к-ре по инвойсу],"",0,1)</f>
        <v/>
      </c>
      <c r="H81" s="14" t="s">
        <v>40</v>
      </c>
      <c r="I81" s="11" t="str">
        <f>_xlfn.XLOOKUP($A81,Centrum[Индекс],Centrum[CBM on the shipper/ 
CBM по поставщику],"",0,1)</f>
        <v/>
      </c>
      <c r="J81" s="16" t="str">
        <f>_xlfn.XLOOKUP($A81,Centrum[Индекс],Centrum[Gross weight of cont// 
Гросс.вес по конт.],"",0,1)</f>
        <v/>
      </c>
      <c r="K81" s="17" t="str">
        <f>_xlfn.XLOOKUP($A81,Centrum[Индекс],Centrum[Route/ Маршрут (TSR/TCR)],"",0,1)</f>
        <v/>
      </c>
      <c r="L81" s="11" t="str">
        <f>_xlfn.XLOOKUP($A81,Centrum[Индекс],Centrum[Условия поставки],"",0,1)</f>
        <v/>
      </c>
      <c r="M81" s="11" t="str">
        <f>_xlfn.XLOOKUP($A81,Centrum[Индекс],Centrum[№ HBL date / 
№/ дата коносамента],"",0,1)</f>
        <v/>
      </c>
      <c r="N81" s="11" t="str">
        <f>_xlfn.XLOOKUP($A81,Centrum[Индекс],Centrum[№ MBL / 
№/ коносамента],"",0,1)</f>
        <v/>
      </c>
      <c r="O81" s="8" t="e">
        <f>(_xlfn.XLOOKUP($A81,Centrum[Индекс],Centrum[Date on board / Дата погрузки на судно],"",0,1))*1</f>
        <v>#VALUE!</v>
      </c>
      <c r="P81" s="8" t="e">
        <f>(_xlfn.XLOOKUP($A81,Centrum[Индекс],Centrum[Date of arrival to Sary-Agach/ Дата прибытия на Сары-Агач],"",0,1))*1</f>
        <v>#VALUE!</v>
      </c>
      <c r="Q81" s="14" t="str">
        <f>_xlfn.XLOOKUP($A81,Centrum[Индекс],Centrum[Container type/ 
Тип контейнера],"",0,1)</f>
        <v/>
      </c>
      <c r="R81" s="16">
        <f>_xlfn.XLOOKUP($A81,Centrum[Индекс],Centrum[Transportation cost per supplier/ 
Cтоимость перевозки по поставщикам],0,0,1)</f>
        <v>0</v>
      </c>
      <c r="S81" s="16">
        <f>Шаблон_Формулы!$T81-Шаблон_Формулы!$R81</f>
        <v>0</v>
      </c>
      <c r="T81" s="16">
        <f>_xlfn.XLOOKUP($A81,Centrum[Индекс],Centrum[Transportation total amount / Общая стоимость перевозки],0,0,1)</f>
        <v>0</v>
      </c>
      <c r="U81" s="12" cm="1">
        <f t="array" ref="U8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1" s="16">
        <f>_xlfn.XLOOKUP(Шаблон_Формулы[[#This Row],[21]],Курс_USD[Дата],Курс_USD[Курс],,0,1)</f>
        <v>12228.05</v>
      </c>
      <c r="W81" s="16">
        <f>Шаблон_Формулы!$T81*Шаблон_Формулы!$V81</f>
        <v>0</v>
      </c>
      <c r="Y81" s="16">
        <f>Шаблон_Формулы!$W81+Шаблон_Формулы!$X81</f>
        <v>0</v>
      </c>
      <c r="Z81" s="14" t="str">
        <f>_xlfn.XLOOKUP($A81,Centrum[Индекс],Centrum[Transport co invoice no/ 
Номер инвойса ТК],"",0,1)</f>
        <v/>
      </c>
    </row>
    <row r="82" spans="1:26" s="11" customFormat="1" x14ac:dyDescent="0.3">
      <c r="A82" s="14">
        <v>78</v>
      </c>
      <c r="B82" s="11" t="str">
        <f>_xlfn.XLOOKUP($A82,Centrum[Индекс],Centrum[Carrier/ Перевозчик],"",0,1)</f>
        <v/>
      </c>
      <c r="C82" s="11" t="str">
        <f>_xlfn.XLOOKUP($A82,Centrum[Индекс],Centrum[Country /  Страна],"",0,1)</f>
        <v/>
      </c>
      <c r="D82" s="11" t="str">
        <f>_xlfn.XLOOKUP($A82,Centrum[Индекс],Centrum[Container num./ 
№ контейнера],"",0,1)</f>
        <v/>
      </c>
      <c r="E82" s="11" t="str">
        <f>_xlfn.XLOOKUP($A82,Centrum[Индекс],Centrum[Supplier/
Поставщик],"",0,1)</f>
        <v/>
      </c>
      <c r="F82" s="11" t="str">
        <f>_xlfn.XLOOKUP($A82,Centrum[Индекс],Centrum[Shippers invoice no/ 
Номер инвойса поставщика],"",1)</f>
        <v/>
      </c>
      <c r="G82" s="15" t="str">
        <f>_xlfn.XLOOKUP($A82,Centrum[Индекс],Centrum[Invoice value / Стоимость груза в к-ре по инвойсу],"",0,1)</f>
        <v/>
      </c>
      <c r="H82" s="14" t="s">
        <v>40</v>
      </c>
      <c r="I82" s="11" t="str">
        <f>_xlfn.XLOOKUP($A82,Centrum[Индекс],Centrum[CBM on the shipper/ 
CBM по поставщику],"",0,1)</f>
        <v/>
      </c>
      <c r="J82" s="16" t="str">
        <f>_xlfn.XLOOKUP($A82,Centrum[Индекс],Centrum[Gross weight of cont// 
Гросс.вес по конт.],"",0,1)</f>
        <v/>
      </c>
      <c r="K82" s="17" t="str">
        <f>_xlfn.XLOOKUP($A82,Centrum[Индекс],Centrum[Route/ Маршрут (TSR/TCR)],"",0,1)</f>
        <v/>
      </c>
      <c r="L82" s="11" t="str">
        <f>_xlfn.XLOOKUP($A82,Centrum[Индекс],Centrum[Условия поставки],"",0,1)</f>
        <v/>
      </c>
      <c r="M82" s="11" t="str">
        <f>_xlfn.XLOOKUP($A82,Centrum[Индекс],Centrum[№ HBL date / 
№/ дата коносамента],"",0,1)</f>
        <v/>
      </c>
      <c r="N82" s="11" t="str">
        <f>_xlfn.XLOOKUP($A82,Centrum[Индекс],Centrum[№ MBL / 
№/ коносамента],"",0,1)</f>
        <v/>
      </c>
      <c r="O82" s="8" t="e">
        <f>(_xlfn.XLOOKUP($A82,Centrum[Индекс],Centrum[Date on board / Дата погрузки на судно],"",0,1))*1</f>
        <v>#VALUE!</v>
      </c>
      <c r="P82" s="8" t="e">
        <f>(_xlfn.XLOOKUP($A82,Centrum[Индекс],Centrum[Date of arrival to Sary-Agach/ Дата прибытия на Сары-Агач],"",0,1))*1</f>
        <v>#VALUE!</v>
      </c>
      <c r="Q82" s="14" t="str">
        <f>_xlfn.XLOOKUP($A82,Centrum[Индекс],Centrum[Container type/ 
Тип контейнера],"",0,1)</f>
        <v/>
      </c>
      <c r="R82" s="16">
        <f>_xlfn.XLOOKUP($A82,Centrum[Индекс],Centrum[Transportation cost per supplier/ 
Cтоимость перевозки по поставщикам],0,0,1)</f>
        <v>0</v>
      </c>
      <c r="S82" s="16">
        <f>Шаблон_Формулы!$T82-Шаблон_Формулы!$R82</f>
        <v>0</v>
      </c>
      <c r="T82" s="16">
        <f>_xlfn.XLOOKUP($A82,Centrum[Индекс],Centrum[Transportation total amount / Общая стоимость перевозки],0,0,1)</f>
        <v>0</v>
      </c>
      <c r="U82" s="12" cm="1">
        <f t="array" ref="U8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2" s="16">
        <f>_xlfn.XLOOKUP(Шаблон_Формулы[[#This Row],[21]],Курс_USD[Дата],Курс_USD[Курс],,0,1)</f>
        <v>12228.05</v>
      </c>
      <c r="W82" s="16">
        <f>Шаблон_Формулы!$T82*Шаблон_Формулы!$V82</f>
        <v>0</v>
      </c>
      <c r="Y82" s="16">
        <f>Шаблон_Формулы!$W82+Шаблон_Формулы!$X82</f>
        <v>0</v>
      </c>
      <c r="Z82" s="14" t="str">
        <f>_xlfn.XLOOKUP($A82,Centrum[Индекс],Centrum[Transport co invoice no/ 
Номер инвойса ТК],"",0,1)</f>
        <v/>
      </c>
    </row>
    <row r="83" spans="1:26" s="11" customFormat="1" x14ac:dyDescent="0.3">
      <c r="A83" s="14">
        <v>79</v>
      </c>
      <c r="B83" s="11" t="str">
        <f>_xlfn.XLOOKUP($A83,Centrum[Индекс],Centrum[Carrier/ Перевозчик],"",0,1)</f>
        <v/>
      </c>
      <c r="C83" s="11" t="str">
        <f>_xlfn.XLOOKUP($A83,Centrum[Индекс],Centrum[Country /  Страна],"",0,1)</f>
        <v/>
      </c>
      <c r="D83" s="11" t="str">
        <f>_xlfn.XLOOKUP($A83,Centrum[Индекс],Centrum[Container num./ 
№ контейнера],"",0,1)</f>
        <v/>
      </c>
      <c r="E83" s="11" t="str">
        <f>_xlfn.XLOOKUP($A83,Centrum[Индекс],Centrum[Supplier/
Поставщик],"",0,1)</f>
        <v/>
      </c>
      <c r="F83" s="11" t="str">
        <f>_xlfn.XLOOKUP($A83,Centrum[Индекс],Centrum[Shippers invoice no/ 
Номер инвойса поставщика],"",1)</f>
        <v/>
      </c>
      <c r="G83" s="15" t="str">
        <f>_xlfn.XLOOKUP($A83,Centrum[Индекс],Centrum[Invoice value / Стоимость груза в к-ре по инвойсу],"",0,1)</f>
        <v/>
      </c>
      <c r="H83" s="14" t="s">
        <v>40</v>
      </c>
      <c r="I83" s="11" t="str">
        <f>_xlfn.XLOOKUP($A83,Centrum[Индекс],Centrum[CBM on the shipper/ 
CBM по поставщику],"",0,1)</f>
        <v/>
      </c>
      <c r="J83" s="16" t="str">
        <f>_xlfn.XLOOKUP($A83,Centrum[Индекс],Centrum[Gross weight of cont// 
Гросс.вес по конт.],"",0,1)</f>
        <v/>
      </c>
      <c r="K83" s="17" t="str">
        <f>_xlfn.XLOOKUP($A83,Centrum[Индекс],Centrum[Route/ Маршрут (TSR/TCR)],"",0,1)</f>
        <v/>
      </c>
      <c r="L83" s="11" t="str">
        <f>_xlfn.XLOOKUP($A83,Centrum[Индекс],Centrum[Условия поставки],"",0,1)</f>
        <v/>
      </c>
      <c r="M83" s="11" t="str">
        <f>_xlfn.XLOOKUP($A83,Centrum[Индекс],Centrum[№ HBL date / 
№/ дата коносамента],"",0,1)</f>
        <v/>
      </c>
      <c r="N83" s="11" t="str">
        <f>_xlfn.XLOOKUP($A83,Centrum[Индекс],Centrum[№ MBL / 
№/ коносамента],"",0,1)</f>
        <v/>
      </c>
      <c r="O83" s="8" t="e">
        <f>(_xlfn.XLOOKUP($A83,Centrum[Индекс],Centrum[Date on board / Дата погрузки на судно],"",0,1))*1</f>
        <v>#VALUE!</v>
      </c>
      <c r="P83" s="8" t="e">
        <f>(_xlfn.XLOOKUP($A83,Centrum[Индекс],Centrum[Date of arrival to Sary-Agach/ Дата прибытия на Сары-Агач],"",0,1))*1</f>
        <v>#VALUE!</v>
      </c>
      <c r="Q83" s="14" t="str">
        <f>_xlfn.XLOOKUP($A83,Centrum[Индекс],Centrum[Container type/ 
Тип контейнера],"",0,1)</f>
        <v/>
      </c>
      <c r="R83" s="16">
        <f>_xlfn.XLOOKUP($A83,Centrum[Индекс],Centrum[Transportation cost per supplier/ 
Cтоимость перевозки по поставщикам],0,0,1)</f>
        <v>0</v>
      </c>
      <c r="S83" s="16">
        <f>Шаблон_Формулы!$T83-Шаблон_Формулы!$R83</f>
        <v>0</v>
      </c>
      <c r="T83" s="16">
        <f>_xlfn.XLOOKUP($A83,Centrum[Индекс],Centrum[Transportation total amount / Общая стоимость перевозки],0,0,1)</f>
        <v>0</v>
      </c>
      <c r="U83" s="12" cm="1">
        <f t="array" ref="U8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3" s="16">
        <f>_xlfn.XLOOKUP(Шаблон_Формулы[[#This Row],[21]],Курс_USD[Дата],Курс_USD[Курс],,0,1)</f>
        <v>12228.05</v>
      </c>
      <c r="W83" s="16">
        <f>Шаблон_Формулы!$T83*Шаблон_Формулы!$V83</f>
        <v>0</v>
      </c>
      <c r="Y83" s="16">
        <f>Шаблон_Формулы!$W83+Шаблон_Формулы!$X83</f>
        <v>0</v>
      </c>
      <c r="Z83" s="14" t="str">
        <f>_xlfn.XLOOKUP($A83,Centrum[Индекс],Centrum[Transport co invoice no/ 
Номер инвойса ТК],"",0,1)</f>
        <v/>
      </c>
    </row>
    <row r="84" spans="1:26" s="11" customFormat="1" x14ac:dyDescent="0.3">
      <c r="A84" s="14">
        <v>80</v>
      </c>
      <c r="B84" s="11" t="str">
        <f>_xlfn.XLOOKUP($A84,Centrum[Индекс],Centrum[Carrier/ Перевозчик],"",0,1)</f>
        <v/>
      </c>
      <c r="C84" s="11" t="str">
        <f>_xlfn.XLOOKUP($A84,Centrum[Индекс],Centrum[Country /  Страна],"",0,1)</f>
        <v/>
      </c>
      <c r="D84" s="11" t="str">
        <f>_xlfn.XLOOKUP($A84,Centrum[Индекс],Centrum[Container num./ 
№ контейнера],"",0,1)</f>
        <v/>
      </c>
      <c r="E84" s="11" t="str">
        <f>_xlfn.XLOOKUP($A84,Centrum[Индекс],Centrum[Supplier/
Поставщик],"",0,1)</f>
        <v/>
      </c>
      <c r="F84" s="11" t="str">
        <f>_xlfn.XLOOKUP($A84,Centrum[Индекс],Centrum[Shippers invoice no/ 
Номер инвойса поставщика],"",1)</f>
        <v/>
      </c>
      <c r="G84" s="15" t="str">
        <f>_xlfn.XLOOKUP($A84,Centrum[Индекс],Centrum[Invoice value / Стоимость груза в к-ре по инвойсу],"",0,1)</f>
        <v/>
      </c>
      <c r="H84" s="14" t="s">
        <v>40</v>
      </c>
      <c r="I84" s="11" t="str">
        <f>_xlfn.XLOOKUP($A84,Centrum[Индекс],Centrum[CBM on the shipper/ 
CBM по поставщику],"",0,1)</f>
        <v/>
      </c>
      <c r="J84" s="16" t="str">
        <f>_xlfn.XLOOKUP($A84,Centrum[Индекс],Centrum[Gross weight of cont// 
Гросс.вес по конт.],"",0,1)</f>
        <v/>
      </c>
      <c r="K84" s="17" t="str">
        <f>_xlfn.XLOOKUP($A84,Centrum[Индекс],Centrum[Route/ Маршрут (TSR/TCR)],"",0,1)</f>
        <v/>
      </c>
      <c r="L84" s="11" t="str">
        <f>_xlfn.XLOOKUP($A84,Centrum[Индекс],Centrum[Условия поставки],"",0,1)</f>
        <v/>
      </c>
      <c r="M84" s="11" t="str">
        <f>_xlfn.XLOOKUP($A84,Centrum[Индекс],Centrum[№ HBL date / 
№/ дата коносамента],"",0,1)</f>
        <v/>
      </c>
      <c r="N84" s="11" t="str">
        <f>_xlfn.XLOOKUP($A84,Centrum[Индекс],Centrum[№ MBL / 
№/ коносамента],"",0,1)</f>
        <v/>
      </c>
      <c r="O84" s="8" t="e">
        <f>(_xlfn.XLOOKUP($A84,Centrum[Индекс],Centrum[Date on board / Дата погрузки на судно],"",0,1))*1</f>
        <v>#VALUE!</v>
      </c>
      <c r="P84" s="8" t="e">
        <f>(_xlfn.XLOOKUP($A84,Centrum[Индекс],Centrum[Date of arrival to Sary-Agach/ Дата прибытия на Сары-Агач],"",0,1))*1</f>
        <v>#VALUE!</v>
      </c>
      <c r="Q84" s="14" t="str">
        <f>_xlfn.XLOOKUP($A84,Centrum[Индекс],Centrum[Container type/ 
Тип контейнера],"",0,1)</f>
        <v/>
      </c>
      <c r="R84" s="16">
        <f>_xlfn.XLOOKUP($A84,Centrum[Индекс],Centrum[Transportation cost per supplier/ 
Cтоимость перевозки по поставщикам],0,0,1)</f>
        <v>0</v>
      </c>
      <c r="S84" s="16">
        <f>Шаблон_Формулы!$T84-Шаблон_Формулы!$R84</f>
        <v>0</v>
      </c>
      <c r="T84" s="16">
        <f>_xlfn.XLOOKUP($A84,Centrum[Индекс],Centrum[Transportation total amount / Общая стоимость перевозки],0,0,1)</f>
        <v>0</v>
      </c>
      <c r="U84" s="12" cm="1">
        <f t="array" ref="U8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4" s="16">
        <f>_xlfn.XLOOKUP(Шаблон_Формулы[[#This Row],[21]],Курс_USD[Дата],Курс_USD[Курс],,0,1)</f>
        <v>12228.05</v>
      </c>
      <c r="W84" s="16">
        <f>Шаблон_Формулы!$T84*Шаблон_Формулы!$V84</f>
        <v>0</v>
      </c>
      <c r="Y84" s="16">
        <f>Шаблон_Формулы!$W84+Шаблон_Формулы!$X84</f>
        <v>0</v>
      </c>
      <c r="Z84" s="14" t="str">
        <f>_xlfn.XLOOKUP($A84,Centrum[Индекс],Centrum[Transport co invoice no/ 
Номер инвойса ТК],"",0,1)</f>
        <v/>
      </c>
    </row>
    <row r="85" spans="1:26" s="11" customFormat="1" x14ac:dyDescent="0.3">
      <c r="A85" s="14">
        <v>81</v>
      </c>
      <c r="B85" s="11" t="str">
        <f>_xlfn.XLOOKUP($A85,Centrum[Индекс],Centrum[Carrier/ Перевозчик],"",0,1)</f>
        <v/>
      </c>
      <c r="C85" s="11" t="str">
        <f>_xlfn.XLOOKUP($A85,Centrum[Индекс],Centrum[Country /  Страна],"",0,1)</f>
        <v/>
      </c>
      <c r="D85" s="11" t="str">
        <f>_xlfn.XLOOKUP($A85,Centrum[Индекс],Centrum[Container num./ 
№ контейнера],"",0,1)</f>
        <v/>
      </c>
      <c r="E85" s="11" t="str">
        <f>_xlfn.XLOOKUP($A85,Centrum[Индекс],Centrum[Supplier/
Поставщик],"",0,1)</f>
        <v/>
      </c>
      <c r="F85" s="11" t="str">
        <f>_xlfn.XLOOKUP($A85,Centrum[Индекс],Centrum[Shippers invoice no/ 
Номер инвойса поставщика],"",1)</f>
        <v/>
      </c>
      <c r="G85" s="15" t="str">
        <f>_xlfn.XLOOKUP($A85,Centrum[Индекс],Centrum[Invoice value / Стоимость груза в к-ре по инвойсу],"",0,1)</f>
        <v/>
      </c>
      <c r="H85" s="14" t="s">
        <v>40</v>
      </c>
      <c r="I85" s="11" t="str">
        <f>_xlfn.XLOOKUP($A85,Centrum[Индекс],Centrum[CBM on the shipper/ 
CBM по поставщику],"",0,1)</f>
        <v/>
      </c>
      <c r="J85" s="16" t="str">
        <f>_xlfn.XLOOKUP($A85,Centrum[Индекс],Centrum[Gross weight of cont// 
Гросс.вес по конт.],"",0,1)</f>
        <v/>
      </c>
      <c r="K85" s="17" t="str">
        <f>_xlfn.XLOOKUP($A85,Centrum[Индекс],Centrum[Route/ Маршрут (TSR/TCR)],"",0,1)</f>
        <v/>
      </c>
      <c r="L85" s="11" t="str">
        <f>_xlfn.XLOOKUP($A85,Centrum[Индекс],Centrum[Условия поставки],"",0,1)</f>
        <v/>
      </c>
      <c r="M85" s="11" t="str">
        <f>_xlfn.XLOOKUP($A85,Centrum[Индекс],Centrum[№ HBL date / 
№/ дата коносамента],"",0,1)</f>
        <v/>
      </c>
      <c r="N85" s="11" t="str">
        <f>_xlfn.XLOOKUP($A85,Centrum[Индекс],Centrum[№ MBL / 
№/ коносамента],"",0,1)</f>
        <v/>
      </c>
      <c r="O85" s="8" t="e">
        <f>(_xlfn.XLOOKUP($A85,Centrum[Индекс],Centrum[Date on board / Дата погрузки на судно],"",0,1))*1</f>
        <v>#VALUE!</v>
      </c>
      <c r="P85" s="8" t="e">
        <f>(_xlfn.XLOOKUP($A85,Centrum[Индекс],Centrum[Date of arrival to Sary-Agach/ Дата прибытия на Сары-Агач],"",0,1))*1</f>
        <v>#VALUE!</v>
      </c>
      <c r="Q85" s="14" t="str">
        <f>_xlfn.XLOOKUP($A85,Centrum[Индекс],Centrum[Container type/ 
Тип контейнера],"",0,1)</f>
        <v/>
      </c>
      <c r="R85" s="16">
        <f>_xlfn.XLOOKUP($A85,Centrum[Индекс],Centrum[Transportation cost per supplier/ 
Cтоимость перевозки по поставщикам],0,0,1)</f>
        <v>0</v>
      </c>
      <c r="S85" s="16">
        <f>Шаблон_Формулы!$T85-Шаблон_Формулы!$R85</f>
        <v>0</v>
      </c>
      <c r="T85" s="16">
        <f>_xlfn.XLOOKUP($A85,Centrum[Индекс],Centrum[Transportation total amount / Общая стоимость перевозки],0,0,1)</f>
        <v>0</v>
      </c>
      <c r="U85" s="12" cm="1">
        <f t="array" ref="U8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5" s="16">
        <f>_xlfn.XLOOKUP(Шаблон_Формулы[[#This Row],[21]],Курс_USD[Дата],Курс_USD[Курс],,0,1)</f>
        <v>12228.05</v>
      </c>
      <c r="W85" s="16">
        <f>Шаблон_Формулы!$T85*Шаблон_Формулы!$V85</f>
        <v>0</v>
      </c>
      <c r="Y85" s="16">
        <f>Шаблон_Формулы!$W85+Шаблон_Формулы!$X85</f>
        <v>0</v>
      </c>
      <c r="Z85" s="14" t="str">
        <f>_xlfn.XLOOKUP($A85,Centrum[Индекс],Centrum[Transport co invoice no/ 
Номер инвойса ТК],"",0,1)</f>
        <v/>
      </c>
    </row>
    <row r="86" spans="1:26" s="11" customFormat="1" x14ac:dyDescent="0.3">
      <c r="A86" s="14">
        <v>82</v>
      </c>
      <c r="B86" s="11" t="str">
        <f>_xlfn.XLOOKUP($A86,Centrum[Индекс],Centrum[Carrier/ Перевозчик],"",0,1)</f>
        <v/>
      </c>
      <c r="C86" s="11" t="str">
        <f>_xlfn.XLOOKUP($A86,Centrum[Индекс],Centrum[Country /  Страна],"",0,1)</f>
        <v/>
      </c>
      <c r="D86" s="11" t="str">
        <f>_xlfn.XLOOKUP($A86,Centrum[Индекс],Centrum[Container num./ 
№ контейнера],"",0,1)</f>
        <v/>
      </c>
      <c r="E86" s="11" t="str">
        <f>_xlfn.XLOOKUP($A86,Centrum[Индекс],Centrum[Supplier/
Поставщик],"",0,1)</f>
        <v/>
      </c>
      <c r="F86" s="11" t="str">
        <f>_xlfn.XLOOKUP($A86,Centrum[Индекс],Centrum[Shippers invoice no/ 
Номер инвойса поставщика],"",1)</f>
        <v/>
      </c>
      <c r="G86" s="15" t="str">
        <f>_xlfn.XLOOKUP($A86,Centrum[Индекс],Centrum[Invoice value / Стоимость груза в к-ре по инвойсу],"",0,1)</f>
        <v/>
      </c>
      <c r="H86" s="14" t="s">
        <v>40</v>
      </c>
      <c r="I86" s="11" t="str">
        <f>_xlfn.XLOOKUP($A86,Centrum[Индекс],Centrum[CBM on the shipper/ 
CBM по поставщику],"",0,1)</f>
        <v/>
      </c>
      <c r="J86" s="16" t="str">
        <f>_xlfn.XLOOKUP($A86,Centrum[Индекс],Centrum[Gross weight of cont// 
Гросс.вес по конт.],"",0,1)</f>
        <v/>
      </c>
      <c r="K86" s="17" t="str">
        <f>_xlfn.XLOOKUP($A86,Centrum[Индекс],Centrum[Route/ Маршрут (TSR/TCR)],"",0,1)</f>
        <v/>
      </c>
      <c r="L86" s="11" t="str">
        <f>_xlfn.XLOOKUP($A86,Centrum[Индекс],Centrum[Условия поставки],"",0,1)</f>
        <v/>
      </c>
      <c r="M86" s="11" t="str">
        <f>_xlfn.XLOOKUP($A86,Centrum[Индекс],Centrum[№ HBL date / 
№/ дата коносамента],"",0,1)</f>
        <v/>
      </c>
      <c r="N86" s="11" t="str">
        <f>_xlfn.XLOOKUP($A86,Centrum[Индекс],Centrum[№ MBL / 
№/ коносамента],"",0,1)</f>
        <v/>
      </c>
      <c r="O86" s="8" t="e">
        <f>(_xlfn.XLOOKUP($A86,Centrum[Индекс],Centrum[Date on board / Дата погрузки на судно],"",0,1))*1</f>
        <v>#VALUE!</v>
      </c>
      <c r="P86" s="8" t="e">
        <f>(_xlfn.XLOOKUP($A86,Centrum[Индекс],Centrum[Date of arrival to Sary-Agach/ Дата прибытия на Сары-Агач],"",0,1))*1</f>
        <v>#VALUE!</v>
      </c>
      <c r="Q86" s="14" t="str">
        <f>_xlfn.XLOOKUP($A86,Centrum[Индекс],Centrum[Container type/ 
Тип контейнера],"",0,1)</f>
        <v/>
      </c>
      <c r="R86" s="16">
        <f>_xlfn.XLOOKUP($A86,Centrum[Индекс],Centrum[Transportation cost per supplier/ 
Cтоимость перевозки по поставщикам],0,0,1)</f>
        <v>0</v>
      </c>
      <c r="S86" s="16">
        <f>Шаблон_Формулы!$T86-Шаблон_Формулы!$R86</f>
        <v>0</v>
      </c>
      <c r="T86" s="16">
        <f>_xlfn.XLOOKUP($A86,Centrum[Индекс],Centrum[Transportation total amount / Общая стоимость перевозки],0,0,1)</f>
        <v>0</v>
      </c>
      <c r="U86" s="12" cm="1">
        <f t="array" ref="U8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6" s="16">
        <f>_xlfn.XLOOKUP(Шаблон_Формулы[[#This Row],[21]],Курс_USD[Дата],Курс_USD[Курс],,0,1)</f>
        <v>12228.05</v>
      </c>
      <c r="W86" s="16">
        <f>Шаблон_Формулы!$T86*Шаблон_Формулы!$V86</f>
        <v>0</v>
      </c>
      <c r="Y86" s="16">
        <f>Шаблон_Формулы!$W86+Шаблон_Формулы!$X86</f>
        <v>0</v>
      </c>
      <c r="Z86" s="14" t="str">
        <f>_xlfn.XLOOKUP($A86,Centrum[Индекс],Centrum[Transport co invoice no/ 
Номер инвойса ТК],"",0,1)</f>
        <v/>
      </c>
    </row>
    <row r="87" spans="1:26" s="11" customFormat="1" x14ac:dyDescent="0.3">
      <c r="A87" s="14">
        <v>83</v>
      </c>
      <c r="B87" s="11" t="str">
        <f>_xlfn.XLOOKUP($A87,Centrum[Индекс],Centrum[Carrier/ Перевозчик],"",0,1)</f>
        <v/>
      </c>
      <c r="C87" s="11" t="str">
        <f>_xlfn.XLOOKUP($A87,Centrum[Индекс],Centrum[Country /  Страна],"",0,1)</f>
        <v/>
      </c>
      <c r="D87" s="11" t="str">
        <f>_xlfn.XLOOKUP($A87,Centrum[Индекс],Centrum[Container num./ 
№ контейнера],"",0,1)</f>
        <v/>
      </c>
      <c r="E87" s="11" t="str">
        <f>_xlfn.XLOOKUP($A87,Centrum[Индекс],Centrum[Supplier/
Поставщик],"",0,1)</f>
        <v/>
      </c>
      <c r="F87" s="11" t="str">
        <f>_xlfn.XLOOKUP($A87,Centrum[Индекс],Centrum[Shippers invoice no/ 
Номер инвойса поставщика],"",1)</f>
        <v/>
      </c>
      <c r="G87" s="15" t="str">
        <f>_xlfn.XLOOKUP($A87,Centrum[Индекс],Centrum[Invoice value / Стоимость груза в к-ре по инвойсу],"",0,1)</f>
        <v/>
      </c>
      <c r="H87" s="14" t="s">
        <v>40</v>
      </c>
      <c r="I87" s="11" t="str">
        <f>_xlfn.XLOOKUP($A87,Centrum[Индекс],Centrum[CBM on the shipper/ 
CBM по поставщику],"",0,1)</f>
        <v/>
      </c>
      <c r="J87" s="16" t="str">
        <f>_xlfn.XLOOKUP($A87,Centrum[Индекс],Centrum[Gross weight of cont// 
Гросс.вес по конт.],"",0,1)</f>
        <v/>
      </c>
      <c r="K87" s="17" t="str">
        <f>_xlfn.XLOOKUP($A87,Centrum[Индекс],Centrum[Route/ Маршрут (TSR/TCR)],"",0,1)</f>
        <v/>
      </c>
      <c r="L87" s="11" t="str">
        <f>_xlfn.XLOOKUP($A87,Centrum[Индекс],Centrum[Условия поставки],"",0,1)</f>
        <v/>
      </c>
      <c r="M87" s="11" t="str">
        <f>_xlfn.XLOOKUP($A87,Centrum[Индекс],Centrum[№ HBL date / 
№/ дата коносамента],"",0,1)</f>
        <v/>
      </c>
      <c r="N87" s="11" t="str">
        <f>_xlfn.XLOOKUP($A87,Centrum[Индекс],Centrum[№ MBL / 
№/ коносамента],"",0,1)</f>
        <v/>
      </c>
      <c r="O87" s="8" t="e">
        <f>(_xlfn.XLOOKUP($A87,Centrum[Индекс],Centrum[Date on board / Дата погрузки на судно],"",0,1))*1</f>
        <v>#VALUE!</v>
      </c>
      <c r="P87" s="8" t="e">
        <f>(_xlfn.XLOOKUP($A87,Centrum[Индекс],Centrum[Date of arrival to Sary-Agach/ Дата прибытия на Сары-Агач],"",0,1))*1</f>
        <v>#VALUE!</v>
      </c>
      <c r="Q87" s="14" t="str">
        <f>_xlfn.XLOOKUP($A87,Centrum[Индекс],Centrum[Container type/ 
Тип контейнера],"",0,1)</f>
        <v/>
      </c>
      <c r="R87" s="16">
        <f>_xlfn.XLOOKUP($A87,Centrum[Индекс],Centrum[Transportation cost per supplier/ 
Cтоимость перевозки по поставщикам],0,0,1)</f>
        <v>0</v>
      </c>
      <c r="S87" s="16">
        <f>Шаблон_Формулы!$T87-Шаблон_Формулы!$R87</f>
        <v>0</v>
      </c>
      <c r="T87" s="16">
        <f>_xlfn.XLOOKUP($A87,Centrum[Индекс],Centrum[Transportation total amount / Общая стоимость перевозки],0,0,1)</f>
        <v>0</v>
      </c>
      <c r="U87" s="12" cm="1">
        <f t="array" ref="U8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7" s="16">
        <f>_xlfn.XLOOKUP(Шаблон_Формулы[[#This Row],[21]],Курс_USD[Дата],Курс_USD[Курс],,0,1)</f>
        <v>12228.05</v>
      </c>
      <c r="W87" s="16">
        <f>Шаблон_Формулы!$T87*Шаблон_Формулы!$V87</f>
        <v>0</v>
      </c>
      <c r="Y87" s="16">
        <f>Шаблон_Формулы!$W87+Шаблон_Формулы!$X87</f>
        <v>0</v>
      </c>
      <c r="Z87" s="14" t="str">
        <f>_xlfn.XLOOKUP($A87,Centrum[Индекс],Centrum[Transport co invoice no/ 
Номер инвойса ТК],"",0,1)</f>
        <v/>
      </c>
    </row>
    <row r="88" spans="1:26" s="11" customFormat="1" x14ac:dyDescent="0.3">
      <c r="A88" s="14">
        <v>84</v>
      </c>
      <c r="B88" s="11" t="str">
        <f>_xlfn.XLOOKUP($A88,Centrum[Индекс],Centrum[Carrier/ Перевозчик],"",0,1)</f>
        <v/>
      </c>
      <c r="C88" s="11" t="str">
        <f>_xlfn.XLOOKUP($A88,Centrum[Индекс],Centrum[Country /  Страна],"",0,1)</f>
        <v/>
      </c>
      <c r="D88" s="11" t="str">
        <f>_xlfn.XLOOKUP($A88,Centrum[Индекс],Centrum[Container num./ 
№ контейнера],"",0,1)</f>
        <v/>
      </c>
      <c r="E88" s="11" t="str">
        <f>_xlfn.XLOOKUP($A88,Centrum[Индекс],Centrum[Supplier/
Поставщик],"",0,1)</f>
        <v/>
      </c>
      <c r="F88" s="11" t="str">
        <f>_xlfn.XLOOKUP($A88,Centrum[Индекс],Centrum[Shippers invoice no/ 
Номер инвойса поставщика],"",1)</f>
        <v/>
      </c>
      <c r="G88" s="15" t="str">
        <f>_xlfn.XLOOKUP($A88,Centrum[Индекс],Centrum[Invoice value / Стоимость груза в к-ре по инвойсу],"",0,1)</f>
        <v/>
      </c>
      <c r="H88" s="14" t="s">
        <v>40</v>
      </c>
      <c r="I88" s="11" t="str">
        <f>_xlfn.XLOOKUP($A88,Centrum[Индекс],Centrum[CBM on the shipper/ 
CBM по поставщику],"",0,1)</f>
        <v/>
      </c>
      <c r="J88" s="16" t="str">
        <f>_xlfn.XLOOKUP($A88,Centrum[Индекс],Centrum[Gross weight of cont// 
Гросс.вес по конт.],"",0,1)</f>
        <v/>
      </c>
      <c r="K88" s="17" t="str">
        <f>_xlfn.XLOOKUP($A88,Centrum[Индекс],Centrum[Route/ Маршрут (TSR/TCR)],"",0,1)</f>
        <v/>
      </c>
      <c r="L88" s="11" t="str">
        <f>_xlfn.XLOOKUP($A88,Centrum[Индекс],Centrum[Условия поставки],"",0,1)</f>
        <v/>
      </c>
      <c r="M88" s="11" t="str">
        <f>_xlfn.XLOOKUP($A88,Centrum[Индекс],Centrum[№ HBL date / 
№/ дата коносамента],"",0,1)</f>
        <v/>
      </c>
      <c r="N88" s="11" t="str">
        <f>_xlfn.XLOOKUP($A88,Centrum[Индекс],Centrum[№ MBL / 
№/ коносамента],"",0,1)</f>
        <v/>
      </c>
      <c r="O88" s="8" t="e">
        <f>(_xlfn.XLOOKUP($A88,Centrum[Индекс],Centrum[Date on board / Дата погрузки на судно],"",0,1))*1</f>
        <v>#VALUE!</v>
      </c>
      <c r="P88" s="8" t="e">
        <f>(_xlfn.XLOOKUP($A88,Centrum[Индекс],Centrum[Date of arrival to Sary-Agach/ Дата прибытия на Сары-Агач],"",0,1))*1</f>
        <v>#VALUE!</v>
      </c>
      <c r="Q88" s="14" t="str">
        <f>_xlfn.XLOOKUP($A88,Centrum[Индекс],Centrum[Container type/ 
Тип контейнера],"",0,1)</f>
        <v/>
      </c>
      <c r="R88" s="16">
        <f>_xlfn.XLOOKUP($A88,Centrum[Индекс],Centrum[Transportation cost per supplier/ 
Cтоимость перевозки по поставщикам],0,0,1)</f>
        <v>0</v>
      </c>
      <c r="S88" s="16">
        <f>Шаблон_Формулы!$T88-Шаблон_Формулы!$R88</f>
        <v>0</v>
      </c>
      <c r="T88" s="16">
        <f>_xlfn.XLOOKUP($A88,Centrum[Индекс],Centrum[Transportation total amount / Общая стоимость перевозки],0,0,1)</f>
        <v>0</v>
      </c>
      <c r="U88" s="12" cm="1">
        <f t="array" ref="U8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8" s="16">
        <f>_xlfn.XLOOKUP(Шаблон_Формулы[[#This Row],[21]],Курс_USD[Дата],Курс_USD[Курс],,0,1)</f>
        <v>12228.05</v>
      </c>
      <c r="W88" s="16">
        <f>Шаблон_Формулы!$T88*Шаблон_Формулы!$V88</f>
        <v>0</v>
      </c>
      <c r="Y88" s="16">
        <f>Шаблон_Формулы!$W88+Шаблон_Формулы!$X88</f>
        <v>0</v>
      </c>
      <c r="Z88" s="14" t="str">
        <f>_xlfn.XLOOKUP($A88,Centrum[Индекс],Centrum[Transport co invoice no/ 
Номер инвойса ТК],"",0,1)</f>
        <v/>
      </c>
    </row>
    <row r="89" spans="1:26" s="11" customFormat="1" x14ac:dyDescent="0.3">
      <c r="A89" s="14">
        <v>85</v>
      </c>
      <c r="B89" s="11" t="str">
        <f>_xlfn.XLOOKUP($A89,Centrum[Индекс],Centrum[Carrier/ Перевозчик],"",0,1)</f>
        <v/>
      </c>
      <c r="C89" s="11" t="str">
        <f>_xlfn.XLOOKUP($A89,Centrum[Индекс],Centrum[Country /  Страна],"",0,1)</f>
        <v/>
      </c>
      <c r="D89" s="11" t="str">
        <f>_xlfn.XLOOKUP($A89,Centrum[Индекс],Centrum[Container num./ 
№ контейнера],"",0,1)</f>
        <v/>
      </c>
      <c r="E89" s="11" t="str">
        <f>_xlfn.XLOOKUP($A89,Centrum[Индекс],Centrum[Supplier/
Поставщик],"",0,1)</f>
        <v/>
      </c>
      <c r="F89" s="11" t="str">
        <f>_xlfn.XLOOKUP($A89,Centrum[Индекс],Centrum[Shippers invoice no/ 
Номер инвойса поставщика],"",1)</f>
        <v/>
      </c>
      <c r="G89" s="15" t="str">
        <f>_xlfn.XLOOKUP($A89,Centrum[Индекс],Centrum[Invoice value / Стоимость груза в к-ре по инвойсу],"",0,1)</f>
        <v/>
      </c>
      <c r="H89" s="14" t="s">
        <v>40</v>
      </c>
      <c r="I89" s="11" t="str">
        <f>_xlfn.XLOOKUP($A89,Centrum[Индекс],Centrum[CBM on the shipper/ 
CBM по поставщику],"",0,1)</f>
        <v/>
      </c>
      <c r="J89" s="16" t="str">
        <f>_xlfn.XLOOKUP($A89,Centrum[Индекс],Centrum[Gross weight of cont// 
Гросс.вес по конт.],"",0,1)</f>
        <v/>
      </c>
      <c r="K89" s="17" t="str">
        <f>_xlfn.XLOOKUP($A89,Centrum[Индекс],Centrum[Route/ Маршрут (TSR/TCR)],"",0,1)</f>
        <v/>
      </c>
      <c r="L89" s="11" t="str">
        <f>_xlfn.XLOOKUP($A89,Centrum[Индекс],Centrum[Условия поставки],"",0,1)</f>
        <v/>
      </c>
      <c r="M89" s="11" t="str">
        <f>_xlfn.XLOOKUP($A89,Centrum[Индекс],Centrum[№ HBL date / 
№/ дата коносамента],"",0,1)</f>
        <v/>
      </c>
      <c r="N89" s="11" t="str">
        <f>_xlfn.XLOOKUP($A89,Centrum[Индекс],Centrum[№ MBL / 
№/ коносамента],"",0,1)</f>
        <v/>
      </c>
      <c r="O89" s="8" t="e">
        <f>(_xlfn.XLOOKUP($A89,Centrum[Индекс],Centrum[Date on board / Дата погрузки на судно],"",0,1))*1</f>
        <v>#VALUE!</v>
      </c>
      <c r="P89" s="8" t="e">
        <f>(_xlfn.XLOOKUP($A89,Centrum[Индекс],Centrum[Date of arrival to Sary-Agach/ Дата прибытия на Сары-Агач],"",0,1))*1</f>
        <v>#VALUE!</v>
      </c>
      <c r="Q89" s="14" t="str">
        <f>_xlfn.XLOOKUP($A89,Centrum[Индекс],Centrum[Container type/ 
Тип контейнера],"",0,1)</f>
        <v/>
      </c>
      <c r="R89" s="16">
        <f>_xlfn.XLOOKUP($A89,Centrum[Индекс],Centrum[Transportation cost per supplier/ 
Cтоимость перевозки по поставщикам],0,0,1)</f>
        <v>0</v>
      </c>
      <c r="S89" s="16">
        <f>Шаблон_Формулы!$T89-Шаблон_Формулы!$R89</f>
        <v>0</v>
      </c>
      <c r="T89" s="16">
        <f>_xlfn.XLOOKUP($A89,Centrum[Индекс],Centrum[Transportation total amount / Общая стоимость перевозки],0,0,1)</f>
        <v>0</v>
      </c>
      <c r="U89" s="12" cm="1">
        <f t="array" ref="U8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89" s="16">
        <f>_xlfn.XLOOKUP(Шаблон_Формулы[[#This Row],[21]],Курс_USD[Дата],Курс_USD[Курс],,0,1)</f>
        <v>12228.05</v>
      </c>
      <c r="W89" s="16">
        <f>Шаблон_Формулы!$T89*Шаблон_Формулы!$V89</f>
        <v>0</v>
      </c>
      <c r="Y89" s="16">
        <f>Шаблон_Формулы!$W89+Шаблон_Формулы!$X89</f>
        <v>0</v>
      </c>
      <c r="Z89" s="14" t="str">
        <f>_xlfn.XLOOKUP($A89,Centrum[Индекс],Centrum[Transport co invoice no/ 
Номер инвойса ТК],"",0,1)</f>
        <v/>
      </c>
    </row>
    <row r="90" spans="1:26" s="11" customFormat="1" x14ac:dyDescent="0.3">
      <c r="A90" s="14">
        <v>86</v>
      </c>
      <c r="B90" s="11" t="str">
        <f>_xlfn.XLOOKUP($A90,Centrum[Индекс],Centrum[Carrier/ Перевозчик],"",0,1)</f>
        <v/>
      </c>
      <c r="C90" s="11" t="str">
        <f>_xlfn.XLOOKUP($A90,Centrum[Индекс],Centrum[Country /  Страна],"",0,1)</f>
        <v/>
      </c>
      <c r="D90" s="11" t="str">
        <f>_xlfn.XLOOKUP($A90,Centrum[Индекс],Centrum[Container num./ 
№ контейнера],"",0,1)</f>
        <v/>
      </c>
      <c r="E90" s="11" t="str">
        <f>_xlfn.XLOOKUP($A90,Centrum[Индекс],Centrum[Supplier/
Поставщик],"",0,1)</f>
        <v/>
      </c>
      <c r="F90" s="11" t="str">
        <f>_xlfn.XLOOKUP($A90,Centrum[Индекс],Centrum[Shippers invoice no/ 
Номер инвойса поставщика],"",1)</f>
        <v/>
      </c>
      <c r="G90" s="15" t="str">
        <f>_xlfn.XLOOKUP($A90,Centrum[Индекс],Centrum[Invoice value / Стоимость груза в к-ре по инвойсу],"",0,1)</f>
        <v/>
      </c>
      <c r="H90" s="14" t="s">
        <v>40</v>
      </c>
      <c r="I90" s="11" t="str">
        <f>_xlfn.XLOOKUP($A90,Centrum[Индекс],Centrum[CBM on the shipper/ 
CBM по поставщику],"",0,1)</f>
        <v/>
      </c>
      <c r="J90" s="16" t="str">
        <f>_xlfn.XLOOKUP($A90,Centrum[Индекс],Centrum[Gross weight of cont// 
Гросс.вес по конт.],"",0,1)</f>
        <v/>
      </c>
      <c r="K90" s="17" t="str">
        <f>_xlfn.XLOOKUP($A90,Centrum[Индекс],Centrum[Route/ Маршрут (TSR/TCR)],"",0,1)</f>
        <v/>
      </c>
      <c r="L90" s="11" t="str">
        <f>_xlfn.XLOOKUP($A90,Centrum[Индекс],Centrum[Условия поставки],"",0,1)</f>
        <v/>
      </c>
      <c r="M90" s="11" t="str">
        <f>_xlfn.XLOOKUP($A90,Centrum[Индекс],Centrum[№ HBL date / 
№/ дата коносамента],"",0,1)</f>
        <v/>
      </c>
      <c r="N90" s="11" t="str">
        <f>_xlfn.XLOOKUP($A90,Centrum[Индекс],Centrum[№ MBL / 
№/ коносамента],"",0,1)</f>
        <v/>
      </c>
      <c r="O90" s="8" t="e">
        <f>(_xlfn.XLOOKUP($A90,Centrum[Индекс],Centrum[Date on board / Дата погрузки на судно],"",0,1))*1</f>
        <v>#VALUE!</v>
      </c>
      <c r="P90" s="8" t="e">
        <f>(_xlfn.XLOOKUP($A90,Centrum[Индекс],Centrum[Date of arrival to Sary-Agach/ Дата прибытия на Сары-Агач],"",0,1))*1</f>
        <v>#VALUE!</v>
      </c>
      <c r="Q90" s="14" t="str">
        <f>_xlfn.XLOOKUP($A90,Centrum[Индекс],Centrum[Container type/ 
Тип контейнера],"",0,1)</f>
        <v/>
      </c>
      <c r="R90" s="16">
        <f>_xlfn.XLOOKUP($A90,Centrum[Индекс],Centrum[Transportation cost per supplier/ 
Cтоимость перевозки по поставщикам],0,0,1)</f>
        <v>0</v>
      </c>
      <c r="S90" s="16">
        <f>Шаблон_Формулы!$T90-Шаблон_Формулы!$R90</f>
        <v>0</v>
      </c>
      <c r="T90" s="16">
        <f>_xlfn.XLOOKUP($A90,Centrum[Индекс],Centrum[Transportation total amount / Общая стоимость перевозки],0,0,1)</f>
        <v>0</v>
      </c>
      <c r="U90" s="12" cm="1">
        <f t="array" ref="U9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0" s="16">
        <f>_xlfn.XLOOKUP(Шаблон_Формулы[[#This Row],[21]],Курс_USD[Дата],Курс_USD[Курс],,0,1)</f>
        <v>12228.05</v>
      </c>
      <c r="W90" s="16">
        <f>Шаблон_Формулы!$T90*Шаблон_Формулы!$V90</f>
        <v>0</v>
      </c>
      <c r="Y90" s="16">
        <f>Шаблон_Формулы!$W90+Шаблон_Формулы!$X90</f>
        <v>0</v>
      </c>
      <c r="Z90" s="14" t="str">
        <f>_xlfn.XLOOKUP($A90,Centrum[Индекс],Centrum[Transport co invoice no/ 
Номер инвойса ТК],"",0,1)</f>
        <v/>
      </c>
    </row>
    <row r="91" spans="1:26" s="11" customFormat="1" x14ac:dyDescent="0.3">
      <c r="A91" s="14">
        <v>87</v>
      </c>
      <c r="B91" s="11" t="str">
        <f>_xlfn.XLOOKUP($A91,Centrum[Индекс],Centrum[Carrier/ Перевозчик],"",0,1)</f>
        <v/>
      </c>
      <c r="C91" s="11" t="str">
        <f>_xlfn.XLOOKUP($A91,Centrum[Индекс],Centrum[Country /  Страна],"",0,1)</f>
        <v/>
      </c>
      <c r="D91" s="11" t="str">
        <f>_xlfn.XLOOKUP($A91,Centrum[Индекс],Centrum[Container num./ 
№ контейнера],"",0,1)</f>
        <v/>
      </c>
      <c r="E91" s="11" t="str">
        <f>_xlfn.XLOOKUP($A91,Centrum[Индекс],Centrum[Supplier/
Поставщик],"",0,1)</f>
        <v/>
      </c>
      <c r="F91" s="11" t="str">
        <f>_xlfn.XLOOKUP($A91,Centrum[Индекс],Centrum[Shippers invoice no/ 
Номер инвойса поставщика],"",1)</f>
        <v/>
      </c>
      <c r="G91" s="15" t="str">
        <f>_xlfn.XLOOKUP($A91,Centrum[Индекс],Centrum[Invoice value / Стоимость груза в к-ре по инвойсу],"",0,1)</f>
        <v/>
      </c>
      <c r="H91" s="14" t="s">
        <v>40</v>
      </c>
      <c r="I91" s="11" t="str">
        <f>_xlfn.XLOOKUP($A91,Centrum[Индекс],Centrum[CBM on the shipper/ 
CBM по поставщику],"",0,1)</f>
        <v/>
      </c>
      <c r="J91" s="16" t="str">
        <f>_xlfn.XLOOKUP($A91,Centrum[Индекс],Centrum[Gross weight of cont// 
Гросс.вес по конт.],"",0,1)</f>
        <v/>
      </c>
      <c r="K91" s="17" t="str">
        <f>_xlfn.XLOOKUP($A91,Centrum[Индекс],Centrum[Route/ Маршрут (TSR/TCR)],"",0,1)</f>
        <v/>
      </c>
      <c r="L91" s="11" t="str">
        <f>_xlfn.XLOOKUP($A91,Centrum[Индекс],Centrum[Условия поставки],"",0,1)</f>
        <v/>
      </c>
      <c r="M91" s="11" t="str">
        <f>_xlfn.XLOOKUP($A91,Centrum[Индекс],Centrum[№ HBL date / 
№/ дата коносамента],"",0,1)</f>
        <v/>
      </c>
      <c r="N91" s="11" t="str">
        <f>_xlfn.XLOOKUP($A91,Centrum[Индекс],Centrum[№ MBL / 
№/ коносамента],"",0,1)</f>
        <v/>
      </c>
      <c r="O91" s="8" t="e">
        <f>(_xlfn.XLOOKUP($A91,Centrum[Индекс],Centrum[Date on board / Дата погрузки на судно],"",0,1))*1</f>
        <v>#VALUE!</v>
      </c>
      <c r="P91" s="8" t="e">
        <f>(_xlfn.XLOOKUP($A91,Centrum[Индекс],Centrum[Date of arrival to Sary-Agach/ Дата прибытия на Сары-Агач],"",0,1))*1</f>
        <v>#VALUE!</v>
      </c>
      <c r="Q91" s="14" t="str">
        <f>_xlfn.XLOOKUP($A91,Centrum[Индекс],Centrum[Container type/ 
Тип контейнера],"",0,1)</f>
        <v/>
      </c>
      <c r="R91" s="16">
        <f>_xlfn.XLOOKUP($A91,Centrum[Индекс],Centrum[Transportation cost per supplier/ 
Cтоимость перевозки по поставщикам],0,0,1)</f>
        <v>0</v>
      </c>
      <c r="S91" s="16">
        <f>Шаблон_Формулы!$T91-Шаблон_Формулы!$R91</f>
        <v>0</v>
      </c>
      <c r="T91" s="16">
        <f>_xlfn.XLOOKUP($A91,Centrum[Индекс],Centrum[Transportation total amount / Общая стоимость перевозки],0,0,1)</f>
        <v>0</v>
      </c>
      <c r="U91" s="12" cm="1">
        <f t="array" ref="U9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1" s="16">
        <f>_xlfn.XLOOKUP(Шаблон_Формулы[[#This Row],[21]],Курс_USD[Дата],Курс_USD[Курс],,0,1)</f>
        <v>12228.05</v>
      </c>
      <c r="W91" s="16">
        <f>Шаблон_Формулы!$T91*Шаблон_Формулы!$V91</f>
        <v>0</v>
      </c>
      <c r="Y91" s="16">
        <f>Шаблон_Формулы!$W91+Шаблон_Формулы!$X91</f>
        <v>0</v>
      </c>
      <c r="Z91" s="14" t="str">
        <f>_xlfn.XLOOKUP($A91,Centrum[Индекс],Centrum[Transport co invoice no/ 
Номер инвойса ТК],"",0,1)</f>
        <v/>
      </c>
    </row>
    <row r="92" spans="1:26" s="11" customFormat="1" x14ac:dyDescent="0.3">
      <c r="A92" s="14">
        <v>88</v>
      </c>
      <c r="B92" s="11" t="str">
        <f>_xlfn.XLOOKUP($A92,Centrum[Индекс],Centrum[Carrier/ Перевозчик],"",0,1)</f>
        <v/>
      </c>
      <c r="C92" s="11" t="str">
        <f>_xlfn.XLOOKUP($A92,Centrum[Индекс],Centrum[Country /  Страна],"",0,1)</f>
        <v/>
      </c>
      <c r="D92" s="11" t="str">
        <f>_xlfn.XLOOKUP($A92,Centrum[Индекс],Centrum[Container num./ 
№ контейнера],"",0,1)</f>
        <v/>
      </c>
      <c r="E92" s="11" t="str">
        <f>_xlfn.XLOOKUP($A92,Centrum[Индекс],Centrum[Supplier/
Поставщик],"",0,1)</f>
        <v/>
      </c>
      <c r="F92" s="11" t="str">
        <f>_xlfn.XLOOKUP($A92,Centrum[Индекс],Centrum[Shippers invoice no/ 
Номер инвойса поставщика],"",1)</f>
        <v/>
      </c>
      <c r="G92" s="15" t="str">
        <f>_xlfn.XLOOKUP($A92,Centrum[Индекс],Centrum[Invoice value / Стоимость груза в к-ре по инвойсу],"",0,1)</f>
        <v/>
      </c>
      <c r="H92" s="14" t="s">
        <v>40</v>
      </c>
      <c r="I92" s="11" t="str">
        <f>_xlfn.XLOOKUP($A92,Centrum[Индекс],Centrum[CBM on the shipper/ 
CBM по поставщику],"",0,1)</f>
        <v/>
      </c>
      <c r="J92" s="16" t="str">
        <f>_xlfn.XLOOKUP($A92,Centrum[Индекс],Centrum[Gross weight of cont// 
Гросс.вес по конт.],"",0,1)</f>
        <v/>
      </c>
      <c r="K92" s="17" t="str">
        <f>_xlfn.XLOOKUP($A92,Centrum[Индекс],Centrum[Route/ Маршрут (TSR/TCR)],"",0,1)</f>
        <v/>
      </c>
      <c r="L92" s="11" t="str">
        <f>_xlfn.XLOOKUP($A92,Centrum[Индекс],Centrum[Условия поставки],"",0,1)</f>
        <v/>
      </c>
      <c r="M92" s="11" t="str">
        <f>_xlfn.XLOOKUP($A92,Centrum[Индекс],Centrum[№ HBL date / 
№/ дата коносамента],"",0,1)</f>
        <v/>
      </c>
      <c r="N92" s="11" t="str">
        <f>_xlfn.XLOOKUP($A92,Centrum[Индекс],Centrum[№ MBL / 
№/ коносамента],"",0,1)</f>
        <v/>
      </c>
      <c r="O92" s="8" t="e">
        <f>(_xlfn.XLOOKUP($A92,Centrum[Индекс],Centrum[Date on board / Дата погрузки на судно],"",0,1))*1</f>
        <v>#VALUE!</v>
      </c>
      <c r="P92" s="8" t="e">
        <f>(_xlfn.XLOOKUP($A92,Centrum[Индекс],Centrum[Date of arrival to Sary-Agach/ Дата прибытия на Сары-Агач],"",0,1))*1</f>
        <v>#VALUE!</v>
      </c>
      <c r="Q92" s="14" t="str">
        <f>_xlfn.XLOOKUP($A92,Centrum[Индекс],Centrum[Container type/ 
Тип контейнера],"",0,1)</f>
        <v/>
      </c>
      <c r="R92" s="16">
        <f>_xlfn.XLOOKUP($A92,Centrum[Индекс],Centrum[Transportation cost per supplier/ 
Cтоимость перевозки по поставщикам],0,0,1)</f>
        <v>0</v>
      </c>
      <c r="S92" s="16">
        <f>Шаблон_Формулы!$T92-Шаблон_Формулы!$R92</f>
        <v>0</v>
      </c>
      <c r="T92" s="16">
        <f>_xlfn.XLOOKUP($A92,Centrum[Индекс],Centrum[Transportation total amount / Общая стоимость перевозки],0,0,1)</f>
        <v>0</v>
      </c>
      <c r="U92" s="12" cm="1">
        <f t="array" ref="U9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2" s="16">
        <f>_xlfn.XLOOKUP(Шаблон_Формулы[[#This Row],[21]],Курс_USD[Дата],Курс_USD[Курс],,0,1)</f>
        <v>12228.05</v>
      </c>
      <c r="W92" s="16">
        <f>Шаблон_Формулы!$T92*Шаблон_Формулы!$V92</f>
        <v>0</v>
      </c>
      <c r="Y92" s="16">
        <f>Шаблон_Формулы!$W92+Шаблон_Формулы!$X92</f>
        <v>0</v>
      </c>
      <c r="Z92" s="14" t="str">
        <f>_xlfn.XLOOKUP($A92,Centrum[Индекс],Centrum[Transport co invoice no/ 
Номер инвойса ТК],"",0,1)</f>
        <v/>
      </c>
    </row>
    <row r="93" spans="1:26" s="11" customFormat="1" x14ac:dyDescent="0.3">
      <c r="A93" s="14">
        <v>89</v>
      </c>
      <c r="B93" s="11" t="str">
        <f>_xlfn.XLOOKUP($A93,Centrum[Индекс],Centrum[Carrier/ Перевозчик],"",0,1)</f>
        <v/>
      </c>
      <c r="C93" s="11" t="str">
        <f>_xlfn.XLOOKUP($A93,Centrum[Индекс],Centrum[Country /  Страна],"",0,1)</f>
        <v/>
      </c>
      <c r="D93" s="11" t="str">
        <f>_xlfn.XLOOKUP($A93,Centrum[Индекс],Centrum[Container num./ 
№ контейнера],"",0,1)</f>
        <v/>
      </c>
      <c r="E93" s="11" t="str">
        <f>_xlfn.XLOOKUP($A93,Centrum[Индекс],Centrum[Supplier/
Поставщик],"",0,1)</f>
        <v/>
      </c>
      <c r="F93" s="11" t="str">
        <f>_xlfn.XLOOKUP($A93,Centrum[Индекс],Centrum[Shippers invoice no/ 
Номер инвойса поставщика],"",1)</f>
        <v/>
      </c>
      <c r="G93" s="15" t="str">
        <f>_xlfn.XLOOKUP($A93,Centrum[Индекс],Centrum[Invoice value / Стоимость груза в к-ре по инвойсу],"",0,1)</f>
        <v/>
      </c>
      <c r="H93" s="14" t="s">
        <v>40</v>
      </c>
      <c r="I93" s="11" t="str">
        <f>_xlfn.XLOOKUP($A93,Centrum[Индекс],Centrum[CBM on the shipper/ 
CBM по поставщику],"",0,1)</f>
        <v/>
      </c>
      <c r="J93" s="16" t="str">
        <f>_xlfn.XLOOKUP($A93,Centrum[Индекс],Centrum[Gross weight of cont// 
Гросс.вес по конт.],"",0,1)</f>
        <v/>
      </c>
      <c r="K93" s="17" t="str">
        <f>_xlfn.XLOOKUP($A93,Centrum[Индекс],Centrum[Route/ Маршрут (TSR/TCR)],"",0,1)</f>
        <v/>
      </c>
      <c r="L93" s="11" t="str">
        <f>_xlfn.XLOOKUP($A93,Centrum[Индекс],Centrum[Условия поставки],"",0,1)</f>
        <v/>
      </c>
      <c r="M93" s="11" t="str">
        <f>_xlfn.XLOOKUP($A93,Centrum[Индекс],Centrum[№ HBL date / 
№/ дата коносамента],"",0,1)</f>
        <v/>
      </c>
      <c r="N93" s="11" t="str">
        <f>_xlfn.XLOOKUP($A93,Centrum[Индекс],Centrum[№ MBL / 
№/ коносамента],"",0,1)</f>
        <v/>
      </c>
      <c r="O93" s="8" t="e">
        <f>(_xlfn.XLOOKUP($A93,Centrum[Индекс],Centrum[Date on board / Дата погрузки на судно],"",0,1))*1</f>
        <v>#VALUE!</v>
      </c>
      <c r="P93" s="8" t="e">
        <f>(_xlfn.XLOOKUP($A93,Centrum[Индекс],Centrum[Date of arrival to Sary-Agach/ Дата прибытия на Сары-Агач],"",0,1))*1</f>
        <v>#VALUE!</v>
      </c>
      <c r="Q93" s="14" t="str">
        <f>_xlfn.XLOOKUP($A93,Centrum[Индекс],Centrum[Container type/ 
Тип контейнера],"",0,1)</f>
        <v/>
      </c>
      <c r="R93" s="16">
        <f>_xlfn.XLOOKUP($A93,Centrum[Индекс],Centrum[Transportation cost per supplier/ 
Cтоимость перевозки по поставщикам],0,0,1)</f>
        <v>0</v>
      </c>
      <c r="S93" s="16">
        <f>Шаблон_Формулы!$T93-Шаблон_Формулы!$R93</f>
        <v>0</v>
      </c>
      <c r="T93" s="16">
        <f>_xlfn.XLOOKUP($A93,Centrum[Индекс],Centrum[Transportation total amount / Общая стоимость перевозки],0,0,1)</f>
        <v>0</v>
      </c>
      <c r="U93" s="12" cm="1">
        <f t="array" ref="U9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3" s="16">
        <f>_xlfn.XLOOKUP(Шаблон_Формулы[[#This Row],[21]],Курс_USD[Дата],Курс_USD[Курс],,0,1)</f>
        <v>12228.05</v>
      </c>
      <c r="W93" s="16">
        <f>Шаблон_Формулы!$T93*Шаблон_Формулы!$V93</f>
        <v>0</v>
      </c>
      <c r="Y93" s="16">
        <f>Шаблон_Формулы!$W93+Шаблон_Формулы!$X93</f>
        <v>0</v>
      </c>
      <c r="Z93" s="14" t="str">
        <f>_xlfn.XLOOKUP($A93,Centrum[Индекс],Centrum[Transport co invoice no/ 
Номер инвойса ТК],"",0,1)</f>
        <v/>
      </c>
    </row>
    <row r="94" spans="1:26" s="11" customFormat="1" x14ac:dyDescent="0.3">
      <c r="A94" s="14">
        <v>90</v>
      </c>
      <c r="B94" s="11" t="str">
        <f>_xlfn.XLOOKUP($A94,Centrum[Индекс],Centrum[Carrier/ Перевозчик],"",0,1)</f>
        <v/>
      </c>
      <c r="C94" s="11" t="str">
        <f>_xlfn.XLOOKUP($A94,Centrum[Индекс],Centrum[Country /  Страна],"",0,1)</f>
        <v/>
      </c>
      <c r="D94" s="11" t="str">
        <f>_xlfn.XLOOKUP($A94,Centrum[Индекс],Centrum[Container num./ 
№ контейнера],"",0,1)</f>
        <v/>
      </c>
      <c r="E94" s="11" t="str">
        <f>_xlfn.XLOOKUP($A94,Centrum[Индекс],Centrum[Supplier/
Поставщик],"",0,1)</f>
        <v/>
      </c>
      <c r="F94" s="11" t="str">
        <f>_xlfn.XLOOKUP($A94,Centrum[Индекс],Centrum[Shippers invoice no/ 
Номер инвойса поставщика],"",1)</f>
        <v/>
      </c>
      <c r="G94" s="15" t="str">
        <f>_xlfn.XLOOKUP($A94,Centrum[Индекс],Centrum[Invoice value / Стоимость груза в к-ре по инвойсу],"",0,1)</f>
        <v/>
      </c>
      <c r="H94" s="14" t="s">
        <v>40</v>
      </c>
      <c r="I94" s="11" t="str">
        <f>_xlfn.XLOOKUP($A94,Centrum[Индекс],Centrum[CBM on the shipper/ 
CBM по поставщику],"",0,1)</f>
        <v/>
      </c>
      <c r="J94" s="16" t="str">
        <f>_xlfn.XLOOKUP($A94,Centrum[Индекс],Centrum[Gross weight of cont// 
Гросс.вес по конт.],"",0,1)</f>
        <v/>
      </c>
      <c r="K94" s="17" t="str">
        <f>_xlfn.XLOOKUP($A94,Centrum[Индекс],Centrum[Route/ Маршрут (TSR/TCR)],"",0,1)</f>
        <v/>
      </c>
      <c r="L94" s="11" t="str">
        <f>_xlfn.XLOOKUP($A94,Centrum[Индекс],Centrum[Условия поставки],"",0,1)</f>
        <v/>
      </c>
      <c r="M94" s="11" t="str">
        <f>_xlfn.XLOOKUP($A94,Centrum[Индекс],Centrum[№ HBL date / 
№/ дата коносамента],"",0,1)</f>
        <v/>
      </c>
      <c r="N94" s="11" t="str">
        <f>_xlfn.XLOOKUP($A94,Centrum[Индекс],Centrum[№ MBL / 
№/ коносамента],"",0,1)</f>
        <v/>
      </c>
      <c r="O94" s="8" t="e">
        <f>(_xlfn.XLOOKUP($A94,Centrum[Индекс],Centrum[Date on board / Дата погрузки на судно],"",0,1))*1</f>
        <v>#VALUE!</v>
      </c>
      <c r="P94" s="8" t="e">
        <f>(_xlfn.XLOOKUP($A94,Centrum[Индекс],Centrum[Date of arrival to Sary-Agach/ Дата прибытия на Сары-Агач],"",0,1))*1</f>
        <v>#VALUE!</v>
      </c>
      <c r="Q94" s="14" t="str">
        <f>_xlfn.XLOOKUP($A94,Centrum[Индекс],Centrum[Container type/ 
Тип контейнера],"",0,1)</f>
        <v/>
      </c>
      <c r="R94" s="16">
        <f>_xlfn.XLOOKUP($A94,Centrum[Индекс],Centrum[Transportation cost per supplier/ 
Cтоимость перевозки по поставщикам],0,0,1)</f>
        <v>0</v>
      </c>
      <c r="S94" s="16">
        <f>Шаблон_Формулы!$T94-Шаблон_Формулы!$R94</f>
        <v>0</v>
      </c>
      <c r="T94" s="16">
        <f>_xlfn.XLOOKUP($A94,Centrum[Индекс],Centrum[Transportation total amount / Общая стоимость перевозки],0,0,1)</f>
        <v>0</v>
      </c>
      <c r="U94" s="12" cm="1">
        <f t="array" ref="U9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4" s="16">
        <f>_xlfn.XLOOKUP(Шаблон_Формулы[[#This Row],[21]],Курс_USD[Дата],Курс_USD[Курс],,0,1)</f>
        <v>12228.05</v>
      </c>
      <c r="W94" s="16">
        <f>Шаблон_Формулы!$T94*Шаблон_Формулы!$V94</f>
        <v>0</v>
      </c>
      <c r="Y94" s="16">
        <f>Шаблон_Формулы!$W94+Шаблон_Формулы!$X94</f>
        <v>0</v>
      </c>
      <c r="Z94" s="14" t="str">
        <f>_xlfn.XLOOKUP($A94,Centrum[Индекс],Centrum[Transport co invoice no/ 
Номер инвойса ТК],"",0,1)</f>
        <v/>
      </c>
    </row>
    <row r="95" spans="1:26" s="11" customFormat="1" x14ac:dyDescent="0.3">
      <c r="A95" s="14">
        <v>91</v>
      </c>
      <c r="B95" s="11" t="str">
        <f>_xlfn.XLOOKUP($A95,Centrum[Индекс],Centrum[Carrier/ Перевозчик],"",0,1)</f>
        <v/>
      </c>
      <c r="C95" s="11" t="str">
        <f>_xlfn.XLOOKUP($A95,Centrum[Индекс],Centrum[Country /  Страна],"",0,1)</f>
        <v/>
      </c>
      <c r="D95" s="11" t="str">
        <f>_xlfn.XLOOKUP($A95,Centrum[Индекс],Centrum[Container num./ 
№ контейнера],"",0,1)</f>
        <v/>
      </c>
      <c r="E95" s="11" t="str">
        <f>_xlfn.XLOOKUP($A95,Centrum[Индекс],Centrum[Supplier/
Поставщик],"",0,1)</f>
        <v/>
      </c>
      <c r="F95" s="11" t="str">
        <f>_xlfn.XLOOKUP($A95,Centrum[Индекс],Centrum[Shippers invoice no/ 
Номер инвойса поставщика],"",1)</f>
        <v/>
      </c>
      <c r="G95" s="15" t="str">
        <f>_xlfn.XLOOKUP($A95,Centrum[Индекс],Centrum[Invoice value / Стоимость груза в к-ре по инвойсу],"",0,1)</f>
        <v/>
      </c>
      <c r="H95" s="14" t="s">
        <v>40</v>
      </c>
      <c r="I95" s="11" t="str">
        <f>_xlfn.XLOOKUP($A95,Centrum[Индекс],Centrum[CBM on the shipper/ 
CBM по поставщику],"",0,1)</f>
        <v/>
      </c>
      <c r="J95" s="16" t="str">
        <f>_xlfn.XLOOKUP($A95,Centrum[Индекс],Centrum[Gross weight of cont// 
Гросс.вес по конт.],"",0,1)</f>
        <v/>
      </c>
      <c r="K95" s="17" t="str">
        <f>_xlfn.XLOOKUP($A95,Centrum[Индекс],Centrum[Route/ Маршрут (TSR/TCR)],"",0,1)</f>
        <v/>
      </c>
      <c r="L95" s="11" t="str">
        <f>_xlfn.XLOOKUP($A95,Centrum[Индекс],Centrum[Условия поставки],"",0,1)</f>
        <v/>
      </c>
      <c r="M95" s="11" t="str">
        <f>_xlfn.XLOOKUP($A95,Centrum[Индекс],Centrum[№ HBL date / 
№/ дата коносамента],"",0,1)</f>
        <v/>
      </c>
      <c r="N95" s="11" t="str">
        <f>_xlfn.XLOOKUP($A95,Centrum[Индекс],Centrum[№ MBL / 
№/ коносамента],"",0,1)</f>
        <v/>
      </c>
      <c r="O95" s="8" t="e">
        <f>(_xlfn.XLOOKUP($A95,Centrum[Индекс],Centrum[Date on board / Дата погрузки на судно],"",0,1))*1</f>
        <v>#VALUE!</v>
      </c>
      <c r="P95" s="8" t="e">
        <f>(_xlfn.XLOOKUP($A95,Centrum[Индекс],Centrum[Date of arrival to Sary-Agach/ Дата прибытия на Сары-Агач],"",0,1))*1</f>
        <v>#VALUE!</v>
      </c>
      <c r="Q95" s="14" t="str">
        <f>_xlfn.XLOOKUP($A95,Centrum[Индекс],Centrum[Container type/ 
Тип контейнера],"",0,1)</f>
        <v/>
      </c>
      <c r="R95" s="16">
        <f>_xlfn.XLOOKUP($A95,Centrum[Индекс],Centrum[Transportation cost per supplier/ 
Cтоимость перевозки по поставщикам],0,0,1)</f>
        <v>0</v>
      </c>
      <c r="S95" s="16">
        <f>Шаблон_Формулы!$T95-Шаблон_Формулы!$R95</f>
        <v>0</v>
      </c>
      <c r="T95" s="16">
        <f>_xlfn.XLOOKUP($A95,Centrum[Индекс],Centrum[Transportation total amount / Общая стоимость перевозки],0,0,1)</f>
        <v>0</v>
      </c>
      <c r="U95" s="12" cm="1">
        <f t="array" ref="U9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5" s="16">
        <f>_xlfn.XLOOKUP(Шаблон_Формулы[[#This Row],[21]],Курс_USD[Дата],Курс_USD[Курс],,0,1)</f>
        <v>12228.05</v>
      </c>
      <c r="W95" s="16">
        <f>Шаблон_Формулы!$T95*Шаблон_Формулы!$V95</f>
        <v>0</v>
      </c>
      <c r="Y95" s="16">
        <f>Шаблон_Формулы!$W95+Шаблон_Формулы!$X95</f>
        <v>0</v>
      </c>
      <c r="Z95" s="14" t="str">
        <f>_xlfn.XLOOKUP($A95,Centrum[Индекс],Centrum[Transport co invoice no/ 
Номер инвойса ТК],"",0,1)</f>
        <v/>
      </c>
    </row>
    <row r="96" spans="1:26" s="11" customFormat="1" x14ac:dyDescent="0.3">
      <c r="A96" s="14">
        <v>92</v>
      </c>
      <c r="B96" s="11" t="str">
        <f>_xlfn.XLOOKUP($A96,Centrum[Индекс],Centrum[Carrier/ Перевозчик],"",0,1)</f>
        <v/>
      </c>
      <c r="C96" s="11" t="str">
        <f>_xlfn.XLOOKUP($A96,Centrum[Индекс],Centrum[Country /  Страна],"",0,1)</f>
        <v/>
      </c>
      <c r="D96" s="11" t="str">
        <f>_xlfn.XLOOKUP($A96,Centrum[Индекс],Centrum[Container num./ 
№ контейнера],"",0,1)</f>
        <v/>
      </c>
      <c r="E96" s="11" t="str">
        <f>_xlfn.XLOOKUP($A96,Centrum[Индекс],Centrum[Supplier/
Поставщик],"",0,1)</f>
        <v/>
      </c>
      <c r="F96" s="11" t="str">
        <f>_xlfn.XLOOKUP($A96,Centrum[Индекс],Centrum[Shippers invoice no/ 
Номер инвойса поставщика],"",1)</f>
        <v/>
      </c>
      <c r="G96" s="15" t="str">
        <f>_xlfn.XLOOKUP($A96,Centrum[Индекс],Centrum[Invoice value / Стоимость груза в к-ре по инвойсу],"",0,1)</f>
        <v/>
      </c>
      <c r="H96" s="14" t="s">
        <v>40</v>
      </c>
      <c r="I96" s="11" t="str">
        <f>_xlfn.XLOOKUP($A96,Centrum[Индекс],Centrum[CBM on the shipper/ 
CBM по поставщику],"",0,1)</f>
        <v/>
      </c>
      <c r="J96" s="16" t="str">
        <f>_xlfn.XLOOKUP($A96,Centrum[Индекс],Centrum[Gross weight of cont// 
Гросс.вес по конт.],"",0,1)</f>
        <v/>
      </c>
      <c r="K96" s="17" t="str">
        <f>_xlfn.XLOOKUP($A96,Centrum[Индекс],Centrum[Route/ Маршрут (TSR/TCR)],"",0,1)</f>
        <v/>
      </c>
      <c r="L96" s="11" t="str">
        <f>_xlfn.XLOOKUP($A96,Centrum[Индекс],Centrum[Условия поставки],"",0,1)</f>
        <v/>
      </c>
      <c r="M96" s="11" t="str">
        <f>_xlfn.XLOOKUP($A96,Centrum[Индекс],Centrum[№ HBL date / 
№/ дата коносамента],"",0,1)</f>
        <v/>
      </c>
      <c r="N96" s="11" t="str">
        <f>_xlfn.XLOOKUP($A96,Centrum[Индекс],Centrum[№ MBL / 
№/ коносамента],"",0,1)</f>
        <v/>
      </c>
      <c r="O96" s="8" t="e">
        <f>(_xlfn.XLOOKUP($A96,Centrum[Индекс],Centrum[Date on board / Дата погрузки на судно],"",0,1))*1</f>
        <v>#VALUE!</v>
      </c>
      <c r="P96" s="8" t="e">
        <f>(_xlfn.XLOOKUP($A96,Centrum[Индекс],Centrum[Date of arrival to Sary-Agach/ Дата прибытия на Сары-Агач],"",0,1))*1</f>
        <v>#VALUE!</v>
      </c>
      <c r="Q96" s="14" t="str">
        <f>_xlfn.XLOOKUP($A96,Centrum[Индекс],Centrum[Container type/ 
Тип контейнера],"",0,1)</f>
        <v/>
      </c>
      <c r="R96" s="16">
        <f>_xlfn.XLOOKUP($A96,Centrum[Индекс],Centrum[Transportation cost per supplier/ 
Cтоимость перевозки по поставщикам],0,0,1)</f>
        <v>0</v>
      </c>
      <c r="S96" s="16">
        <f>Шаблон_Формулы!$T96-Шаблон_Формулы!$R96</f>
        <v>0</v>
      </c>
      <c r="T96" s="16">
        <f>_xlfn.XLOOKUP($A96,Centrum[Индекс],Centrum[Transportation total amount / Общая стоимость перевозки],0,0,1)</f>
        <v>0</v>
      </c>
      <c r="U96" s="12" cm="1">
        <f t="array" ref="U9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6" s="16">
        <f>_xlfn.XLOOKUP(Шаблон_Формулы[[#This Row],[21]],Курс_USD[Дата],Курс_USD[Курс],,0,1)</f>
        <v>12228.05</v>
      </c>
      <c r="W96" s="16">
        <f>Шаблон_Формулы!$T96*Шаблон_Формулы!$V96</f>
        <v>0</v>
      </c>
      <c r="Y96" s="16">
        <f>Шаблон_Формулы!$W96+Шаблон_Формулы!$X96</f>
        <v>0</v>
      </c>
      <c r="Z96" s="14" t="str">
        <f>_xlfn.XLOOKUP($A96,Centrum[Индекс],Centrum[Transport co invoice no/ 
Номер инвойса ТК],"",0,1)</f>
        <v/>
      </c>
    </row>
    <row r="97" spans="1:26" s="11" customFormat="1" x14ac:dyDescent="0.3">
      <c r="A97" s="14">
        <v>93</v>
      </c>
      <c r="B97" s="11" t="str">
        <f>_xlfn.XLOOKUP($A97,Centrum[Индекс],Centrum[Carrier/ Перевозчик],"",0,1)</f>
        <v/>
      </c>
      <c r="C97" s="11" t="str">
        <f>_xlfn.XLOOKUP($A97,Centrum[Индекс],Centrum[Country /  Страна],"",0,1)</f>
        <v/>
      </c>
      <c r="D97" s="11" t="str">
        <f>_xlfn.XLOOKUP($A97,Centrum[Индекс],Centrum[Container num./ 
№ контейнера],"",0,1)</f>
        <v/>
      </c>
      <c r="E97" s="11" t="str">
        <f>_xlfn.XLOOKUP($A97,Centrum[Индекс],Centrum[Supplier/
Поставщик],"",0,1)</f>
        <v/>
      </c>
      <c r="F97" s="11" t="str">
        <f>_xlfn.XLOOKUP($A97,Centrum[Индекс],Centrum[Shippers invoice no/ 
Номер инвойса поставщика],"",1)</f>
        <v/>
      </c>
      <c r="G97" s="15" t="str">
        <f>_xlfn.XLOOKUP($A97,Centrum[Индекс],Centrum[Invoice value / Стоимость груза в к-ре по инвойсу],"",0,1)</f>
        <v/>
      </c>
      <c r="H97" s="14" t="s">
        <v>40</v>
      </c>
      <c r="I97" s="11" t="str">
        <f>_xlfn.XLOOKUP($A97,Centrum[Индекс],Centrum[CBM on the shipper/ 
CBM по поставщику],"",0,1)</f>
        <v/>
      </c>
      <c r="J97" s="16" t="str">
        <f>_xlfn.XLOOKUP($A97,Centrum[Индекс],Centrum[Gross weight of cont// 
Гросс.вес по конт.],"",0,1)</f>
        <v/>
      </c>
      <c r="K97" s="17" t="str">
        <f>_xlfn.XLOOKUP($A97,Centrum[Индекс],Centrum[Route/ Маршрут (TSR/TCR)],"",0,1)</f>
        <v/>
      </c>
      <c r="L97" s="11" t="str">
        <f>_xlfn.XLOOKUP($A97,Centrum[Индекс],Centrum[Условия поставки],"",0,1)</f>
        <v/>
      </c>
      <c r="M97" s="11" t="str">
        <f>_xlfn.XLOOKUP($A97,Centrum[Индекс],Centrum[№ HBL date / 
№/ дата коносамента],"",0,1)</f>
        <v/>
      </c>
      <c r="N97" s="11" t="str">
        <f>_xlfn.XLOOKUP($A97,Centrum[Индекс],Centrum[№ MBL / 
№/ коносамента],"",0,1)</f>
        <v/>
      </c>
      <c r="O97" s="8" t="e">
        <f>(_xlfn.XLOOKUP($A97,Centrum[Индекс],Centrum[Date on board / Дата погрузки на судно],"",0,1))*1</f>
        <v>#VALUE!</v>
      </c>
      <c r="P97" s="8" t="e">
        <f>(_xlfn.XLOOKUP($A97,Centrum[Индекс],Centrum[Date of arrival to Sary-Agach/ Дата прибытия на Сары-Агач],"",0,1))*1</f>
        <v>#VALUE!</v>
      </c>
      <c r="Q97" s="14" t="str">
        <f>_xlfn.XLOOKUP($A97,Centrum[Индекс],Centrum[Container type/ 
Тип контейнера],"",0,1)</f>
        <v/>
      </c>
      <c r="R97" s="16">
        <f>_xlfn.XLOOKUP($A97,Centrum[Индекс],Centrum[Transportation cost per supplier/ 
Cтоимость перевозки по поставщикам],0,0,1)</f>
        <v>0</v>
      </c>
      <c r="S97" s="16">
        <f>Шаблон_Формулы!$T97-Шаблон_Формулы!$R97</f>
        <v>0</v>
      </c>
      <c r="T97" s="16">
        <f>_xlfn.XLOOKUP($A97,Centrum[Индекс],Centrum[Transportation total amount / Общая стоимость перевозки],0,0,1)</f>
        <v>0</v>
      </c>
      <c r="U97" s="12" cm="1">
        <f t="array" ref="U9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7" s="16">
        <f>_xlfn.XLOOKUP(Шаблон_Формулы[[#This Row],[21]],Курс_USD[Дата],Курс_USD[Курс],,0,1)</f>
        <v>12228.05</v>
      </c>
      <c r="W97" s="16">
        <f>Шаблон_Формулы!$T97*Шаблон_Формулы!$V97</f>
        <v>0</v>
      </c>
      <c r="Y97" s="16">
        <f>Шаблон_Формулы!$W97+Шаблон_Формулы!$X97</f>
        <v>0</v>
      </c>
      <c r="Z97" s="14" t="str">
        <f>_xlfn.XLOOKUP($A97,Centrum[Индекс],Centrum[Transport co invoice no/ 
Номер инвойса ТК],"",0,1)</f>
        <v/>
      </c>
    </row>
    <row r="98" spans="1:26" s="11" customFormat="1" x14ac:dyDescent="0.3">
      <c r="A98" s="14">
        <v>94</v>
      </c>
      <c r="B98" s="11" t="str">
        <f>_xlfn.XLOOKUP($A98,Centrum[Индекс],Centrum[Carrier/ Перевозчик],"",0,1)</f>
        <v/>
      </c>
      <c r="C98" s="11" t="str">
        <f>_xlfn.XLOOKUP($A98,Centrum[Индекс],Centrum[Country /  Страна],"",0,1)</f>
        <v/>
      </c>
      <c r="D98" s="11" t="str">
        <f>_xlfn.XLOOKUP($A98,Centrum[Индекс],Centrum[Container num./ 
№ контейнера],"",0,1)</f>
        <v/>
      </c>
      <c r="E98" s="11" t="str">
        <f>_xlfn.XLOOKUP($A98,Centrum[Индекс],Centrum[Supplier/
Поставщик],"",0,1)</f>
        <v/>
      </c>
      <c r="F98" s="11" t="str">
        <f>_xlfn.XLOOKUP($A98,Centrum[Индекс],Centrum[Shippers invoice no/ 
Номер инвойса поставщика],"",1)</f>
        <v/>
      </c>
      <c r="G98" s="15" t="str">
        <f>_xlfn.XLOOKUP($A98,Centrum[Индекс],Centrum[Invoice value / Стоимость груза в к-ре по инвойсу],"",0,1)</f>
        <v/>
      </c>
      <c r="H98" s="14" t="s">
        <v>40</v>
      </c>
      <c r="I98" s="11" t="str">
        <f>_xlfn.XLOOKUP($A98,Centrum[Индекс],Centrum[CBM on the shipper/ 
CBM по поставщику],"",0,1)</f>
        <v/>
      </c>
      <c r="J98" s="16" t="str">
        <f>_xlfn.XLOOKUP($A98,Centrum[Индекс],Centrum[Gross weight of cont// 
Гросс.вес по конт.],"",0,1)</f>
        <v/>
      </c>
      <c r="K98" s="17" t="str">
        <f>_xlfn.XLOOKUP($A98,Centrum[Индекс],Centrum[Route/ Маршрут (TSR/TCR)],"",0,1)</f>
        <v/>
      </c>
      <c r="L98" s="11" t="str">
        <f>_xlfn.XLOOKUP($A98,Centrum[Индекс],Centrum[Условия поставки],"",0,1)</f>
        <v/>
      </c>
      <c r="M98" s="11" t="str">
        <f>_xlfn.XLOOKUP($A98,Centrum[Индекс],Centrum[№ HBL date / 
№/ дата коносамента],"",0,1)</f>
        <v/>
      </c>
      <c r="N98" s="11" t="str">
        <f>_xlfn.XLOOKUP($A98,Centrum[Индекс],Centrum[№ MBL / 
№/ коносамента],"",0,1)</f>
        <v/>
      </c>
      <c r="O98" s="8" t="e">
        <f>(_xlfn.XLOOKUP($A98,Centrum[Индекс],Centrum[Date on board / Дата погрузки на судно],"",0,1))*1</f>
        <v>#VALUE!</v>
      </c>
      <c r="P98" s="8" t="e">
        <f>(_xlfn.XLOOKUP($A98,Centrum[Индекс],Centrum[Date of arrival to Sary-Agach/ Дата прибытия на Сары-Агач],"",0,1))*1</f>
        <v>#VALUE!</v>
      </c>
      <c r="Q98" s="14" t="str">
        <f>_xlfn.XLOOKUP($A98,Centrum[Индекс],Centrum[Container type/ 
Тип контейнера],"",0,1)</f>
        <v/>
      </c>
      <c r="R98" s="16">
        <f>_xlfn.XLOOKUP($A98,Centrum[Индекс],Centrum[Transportation cost per supplier/ 
Cтоимость перевозки по поставщикам],0,0,1)</f>
        <v>0</v>
      </c>
      <c r="S98" s="16">
        <f>Шаблон_Формулы!$T98-Шаблон_Формулы!$R98</f>
        <v>0</v>
      </c>
      <c r="T98" s="16">
        <f>_xlfn.XLOOKUP($A98,Centrum[Индекс],Centrum[Transportation total amount / Общая стоимость перевозки],0,0,1)</f>
        <v>0</v>
      </c>
      <c r="U98" s="12" cm="1">
        <f t="array" ref="U9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8" s="16">
        <f>_xlfn.XLOOKUP(Шаблон_Формулы[[#This Row],[21]],Курс_USD[Дата],Курс_USD[Курс],,0,1)</f>
        <v>12228.05</v>
      </c>
      <c r="W98" s="16">
        <f>Шаблон_Формулы!$T98*Шаблон_Формулы!$V98</f>
        <v>0</v>
      </c>
      <c r="Y98" s="16">
        <f>Шаблон_Формулы!$W98+Шаблон_Формулы!$X98</f>
        <v>0</v>
      </c>
      <c r="Z98" s="14" t="str">
        <f>_xlfn.XLOOKUP($A98,Centrum[Индекс],Centrum[Transport co invoice no/ 
Номер инвойса ТК],"",0,1)</f>
        <v/>
      </c>
    </row>
    <row r="99" spans="1:26" s="11" customFormat="1" x14ac:dyDescent="0.3">
      <c r="A99" s="14">
        <v>95</v>
      </c>
      <c r="B99" s="11" t="str">
        <f>_xlfn.XLOOKUP($A99,Centrum[Индекс],Centrum[Carrier/ Перевозчик],"",0,1)</f>
        <v/>
      </c>
      <c r="C99" s="11" t="str">
        <f>_xlfn.XLOOKUP($A99,Centrum[Индекс],Centrum[Country /  Страна],"",0,1)</f>
        <v/>
      </c>
      <c r="D99" s="11" t="str">
        <f>_xlfn.XLOOKUP($A99,Centrum[Индекс],Centrum[Container num./ 
№ контейнера],"",0,1)</f>
        <v/>
      </c>
      <c r="E99" s="11" t="str">
        <f>_xlfn.XLOOKUP($A99,Centrum[Индекс],Centrum[Supplier/
Поставщик],"",0,1)</f>
        <v/>
      </c>
      <c r="F99" s="11" t="str">
        <f>_xlfn.XLOOKUP($A99,Centrum[Индекс],Centrum[Shippers invoice no/ 
Номер инвойса поставщика],"",1)</f>
        <v/>
      </c>
      <c r="G99" s="15" t="str">
        <f>_xlfn.XLOOKUP($A99,Centrum[Индекс],Centrum[Invoice value / Стоимость груза в к-ре по инвойсу],"",0,1)</f>
        <v/>
      </c>
      <c r="H99" s="14" t="s">
        <v>40</v>
      </c>
      <c r="I99" s="11" t="str">
        <f>_xlfn.XLOOKUP($A99,Centrum[Индекс],Centrum[CBM on the shipper/ 
CBM по поставщику],"",0,1)</f>
        <v/>
      </c>
      <c r="J99" s="16" t="str">
        <f>_xlfn.XLOOKUP($A99,Centrum[Индекс],Centrum[Gross weight of cont// 
Гросс.вес по конт.],"",0,1)</f>
        <v/>
      </c>
      <c r="K99" s="17" t="str">
        <f>_xlfn.XLOOKUP($A99,Centrum[Индекс],Centrum[Route/ Маршрут (TSR/TCR)],"",0,1)</f>
        <v/>
      </c>
      <c r="L99" s="11" t="str">
        <f>_xlfn.XLOOKUP($A99,Centrum[Индекс],Centrum[Условия поставки],"",0,1)</f>
        <v/>
      </c>
      <c r="M99" s="11" t="str">
        <f>_xlfn.XLOOKUP($A99,Centrum[Индекс],Centrum[№ HBL date / 
№/ дата коносамента],"",0,1)</f>
        <v/>
      </c>
      <c r="N99" s="11" t="str">
        <f>_xlfn.XLOOKUP($A99,Centrum[Индекс],Centrum[№ MBL / 
№/ коносамента],"",0,1)</f>
        <v/>
      </c>
      <c r="O99" s="8" t="e">
        <f>(_xlfn.XLOOKUP($A99,Centrum[Индекс],Centrum[Date on board / Дата погрузки на судно],"",0,1))*1</f>
        <v>#VALUE!</v>
      </c>
      <c r="P99" s="8" t="e">
        <f>(_xlfn.XLOOKUP($A99,Centrum[Индекс],Centrum[Date of arrival to Sary-Agach/ Дата прибытия на Сары-Агач],"",0,1))*1</f>
        <v>#VALUE!</v>
      </c>
      <c r="Q99" s="14" t="str">
        <f>_xlfn.XLOOKUP($A99,Centrum[Индекс],Centrum[Container type/ 
Тип контейнера],"",0,1)</f>
        <v/>
      </c>
      <c r="R99" s="16">
        <f>_xlfn.XLOOKUP($A99,Centrum[Индекс],Centrum[Transportation cost per supplier/ 
Cтоимость перевозки по поставщикам],0,0,1)</f>
        <v>0</v>
      </c>
      <c r="S99" s="16">
        <f>Шаблон_Формулы!$T99-Шаблон_Формулы!$R99</f>
        <v>0</v>
      </c>
      <c r="T99" s="16">
        <f>_xlfn.XLOOKUP($A99,Centrum[Индекс],Centrum[Transportation total amount / Общая стоимость перевозки],0,0,1)</f>
        <v>0</v>
      </c>
      <c r="U99" s="12" cm="1">
        <f t="array" ref="U9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99" s="16">
        <f>_xlfn.XLOOKUP(Шаблон_Формулы[[#This Row],[21]],Курс_USD[Дата],Курс_USD[Курс],,0,1)</f>
        <v>12228.05</v>
      </c>
      <c r="W99" s="16">
        <f>Шаблон_Формулы!$T99*Шаблон_Формулы!$V99</f>
        <v>0</v>
      </c>
      <c r="Y99" s="16">
        <f>Шаблон_Формулы!$W99+Шаблон_Формулы!$X99</f>
        <v>0</v>
      </c>
      <c r="Z99" s="14" t="str">
        <f>_xlfn.XLOOKUP($A99,Centrum[Индекс],Centrum[Transport co invoice no/ 
Номер инвойса ТК],"",0,1)</f>
        <v/>
      </c>
    </row>
    <row r="100" spans="1:26" s="11" customFormat="1" x14ac:dyDescent="0.3">
      <c r="A100" s="14">
        <v>96</v>
      </c>
      <c r="B100" s="11" t="str">
        <f>_xlfn.XLOOKUP($A100,Centrum[Индекс],Centrum[Carrier/ Перевозчик],"",0,1)</f>
        <v/>
      </c>
      <c r="C100" s="11" t="str">
        <f>_xlfn.XLOOKUP($A100,Centrum[Индекс],Centrum[Country /  Страна],"",0,1)</f>
        <v/>
      </c>
      <c r="D100" s="11" t="str">
        <f>_xlfn.XLOOKUP($A100,Centrum[Индекс],Centrum[Container num./ 
№ контейнера],"",0,1)</f>
        <v/>
      </c>
      <c r="E100" s="11" t="str">
        <f>_xlfn.XLOOKUP($A100,Centrum[Индекс],Centrum[Supplier/
Поставщик],"",0,1)</f>
        <v/>
      </c>
      <c r="F100" s="11" t="str">
        <f>_xlfn.XLOOKUP($A100,Centrum[Индекс],Centrum[Shippers invoice no/ 
Номер инвойса поставщика],"",1)</f>
        <v/>
      </c>
      <c r="G100" s="15" t="str">
        <f>_xlfn.XLOOKUP($A100,Centrum[Индекс],Centrum[Invoice value / Стоимость груза в к-ре по инвойсу],"",0,1)</f>
        <v/>
      </c>
      <c r="H100" s="14" t="s">
        <v>40</v>
      </c>
      <c r="I100" s="11" t="str">
        <f>_xlfn.XLOOKUP($A100,Centrum[Индекс],Centrum[CBM on the shipper/ 
CBM по поставщику],"",0,1)</f>
        <v/>
      </c>
      <c r="J100" s="16" t="str">
        <f>_xlfn.XLOOKUP($A100,Centrum[Индекс],Centrum[Gross weight of cont// 
Гросс.вес по конт.],"",0,1)</f>
        <v/>
      </c>
      <c r="K100" s="17" t="str">
        <f>_xlfn.XLOOKUP($A100,Centrum[Индекс],Centrum[Route/ Маршрут (TSR/TCR)],"",0,1)</f>
        <v/>
      </c>
      <c r="L100" s="11" t="str">
        <f>_xlfn.XLOOKUP($A100,Centrum[Индекс],Centrum[Условия поставки],"",0,1)</f>
        <v/>
      </c>
      <c r="M100" s="11" t="str">
        <f>_xlfn.XLOOKUP($A100,Centrum[Индекс],Centrum[№ HBL date / 
№/ дата коносамента],"",0,1)</f>
        <v/>
      </c>
      <c r="N100" s="11" t="str">
        <f>_xlfn.XLOOKUP($A100,Centrum[Индекс],Centrum[№ MBL / 
№/ коносамента],"",0,1)</f>
        <v/>
      </c>
      <c r="O100" s="8" t="e">
        <f>(_xlfn.XLOOKUP($A100,Centrum[Индекс],Centrum[Date on board / Дата погрузки на судно],"",0,1))*1</f>
        <v>#VALUE!</v>
      </c>
      <c r="P100" s="8" t="e">
        <f>(_xlfn.XLOOKUP($A100,Centrum[Индекс],Centrum[Date of arrival to Sary-Agach/ Дата прибытия на Сары-Агач],"",0,1))*1</f>
        <v>#VALUE!</v>
      </c>
      <c r="Q100" s="14" t="str">
        <f>_xlfn.XLOOKUP($A100,Centrum[Индекс],Centrum[Container type/ 
Тип контейнера],"",0,1)</f>
        <v/>
      </c>
      <c r="R100" s="16">
        <f>_xlfn.XLOOKUP($A100,Centrum[Индекс],Centrum[Transportation cost per supplier/ 
Cтоимость перевозки по поставщикам],0,0,1)</f>
        <v>0</v>
      </c>
      <c r="S100" s="16">
        <f>Шаблон_Формулы!$T100-Шаблон_Формулы!$R100</f>
        <v>0</v>
      </c>
      <c r="T100" s="16">
        <f>_xlfn.XLOOKUP($A100,Centrum[Индекс],Centrum[Transportation total amount / Общая стоимость перевозки],0,0,1)</f>
        <v>0</v>
      </c>
      <c r="U100" s="12" cm="1">
        <f t="array" ref="U10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0" s="16">
        <f>_xlfn.XLOOKUP(Шаблон_Формулы[[#This Row],[21]],Курс_USD[Дата],Курс_USD[Курс],,0,1)</f>
        <v>12228.05</v>
      </c>
      <c r="W100" s="16">
        <f>Шаблон_Формулы!$T100*Шаблон_Формулы!$V100</f>
        <v>0</v>
      </c>
      <c r="Y100" s="16">
        <f>Шаблон_Формулы!$W100+Шаблон_Формулы!$X100</f>
        <v>0</v>
      </c>
      <c r="Z100" s="14" t="str">
        <f>_xlfn.XLOOKUP($A100,Centrum[Индекс],Centrum[Transport co invoice no/ 
Номер инвойса ТК],"",0,1)</f>
        <v/>
      </c>
    </row>
    <row r="101" spans="1:26" s="11" customFormat="1" x14ac:dyDescent="0.3">
      <c r="A101" s="14">
        <v>97</v>
      </c>
      <c r="B101" s="11" t="str">
        <f>_xlfn.XLOOKUP($A101,Centrum[Индекс],Centrum[Carrier/ Перевозчик],"",0,1)</f>
        <v/>
      </c>
      <c r="C101" s="11" t="str">
        <f>_xlfn.XLOOKUP($A101,Centrum[Индекс],Centrum[Country /  Страна],"",0,1)</f>
        <v/>
      </c>
      <c r="D101" s="11" t="str">
        <f>_xlfn.XLOOKUP($A101,Centrum[Индекс],Centrum[Container num./ 
№ контейнера],"",0,1)</f>
        <v/>
      </c>
      <c r="E101" s="11" t="str">
        <f>_xlfn.XLOOKUP($A101,Centrum[Индекс],Centrum[Supplier/
Поставщик],"",0,1)</f>
        <v/>
      </c>
      <c r="F101" s="11" t="str">
        <f>_xlfn.XLOOKUP($A101,Centrum[Индекс],Centrum[Shippers invoice no/ 
Номер инвойса поставщика],"",1)</f>
        <v/>
      </c>
      <c r="G101" s="15" t="str">
        <f>_xlfn.XLOOKUP($A101,Centrum[Индекс],Centrum[Invoice value / Стоимость груза в к-ре по инвойсу],"",0,1)</f>
        <v/>
      </c>
      <c r="H101" s="14" t="s">
        <v>40</v>
      </c>
      <c r="I101" s="11" t="str">
        <f>_xlfn.XLOOKUP($A101,Centrum[Индекс],Centrum[CBM on the shipper/ 
CBM по поставщику],"",0,1)</f>
        <v/>
      </c>
      <c r="J101" s="16" t="str">
        <f>_xlfn.XLOOKUP($A101,Centrum[Индекс],Centrum[Gross weight of cont// 
Гросс.вес по конт.],"",0,1)</f>
        <v/>
      </c>
      <c r="K101" s="17" t="str">
        <f>_xlfn.XLOOKUP($A101,Centrum[Индекс],Centrum[Route/ Маршрут (TSR/TCR)],"",0,1)</f>
        <v/>
      </c>
      <c r="L101" s="11" t="str">
        <f>_xlfn.XLOOKUP($A101,Centrum[Индекс],Centrum[Условия поставки],"",0,1)</f>
        <v/>
      </c>
      <c r="M101" s="11" t="str">
        <f>_xlfn.XLOOKUP($A101,Centrum[Индекс],Centrum[№ HBL date / 
№/ дата коносамента],"",0,1)</f>
        <v/>
      </c>
      <c r="N101" s="11" t="str">
        <f>_xlfn.XLOOKUP($A101,Centrum[Индекс],Centrum[№ MBL / 
№/ коносамента],"",0,1)</f>
        <v/>
      </c>
      <c r="O101" s="8" t="e">
        <f>(_xlfn.XLOOKUP($A101,Centrum[Индекс],Centrum[Date on board / Дата погрузки на судно],"",0,1))*1</f>
        <v>#VALUE!</v>
      </c>
      <c r="P101" s="8" t="e">
        <f>(_xlfn.XLOOKUP($A101,Centrum[Индекс],Centrum[Date of arrival to Sary-Agach/ Дата прибытия на Сары-Агач],"",0,1))*1</f>
        <v>#VALUE!</v>
      </c>
      <c r="Q101" s="14" t="str">
        <f>_xlfn.XLOOKUP($A101,Centrum[Индекс],Centrum[Container type/ 
Тип контейнера],"",0,1)</f>
        <v/>
      </c>
      <c r="R101" s="16">
        <f>_xlfn.XLOOKUP($A101,Centrum[Индекс],Centrum[Transportation cost per supplier/ 
Cтоимость перевозки по поставщикам],0,0,1)</f>
        <v>0</v>
      </c>
      <c r="S101" s="16">
        <f>Шаблон_Формулы!$T101-Шаблон_Формулы!$R101</f>
        <v>0</v>
      </c>
      <c r="T101" s="16">
        <f>_xlfn.XLOOKUP($A101,Centrum[Индекс],Centrum[Transportation total amount / Общая стоимость перевозки],0,0,1)</f>
        <v>0</v>
      </c>
      <c r="U101" s="12" cm="1">
        <f t="array" ref="U10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1" s="16">
        <f>_xlfn.XLOOKUP(Шаблон_Формулы[[#This Row],[21]],Курс_USD[Дата],Курс_USD[Курс],,0,1)</f>
        <v>12228.05</v>
      </c>
      <c r="W101" s="16">
        <f>Шаблон_Формулы!$T101*Шаблон_Формулы!$V101</f>
        <v>0</v>
      </c>
      <c r="Y101" s="16">
        <f>Шаблон_Формулы!$W101+Шаблон_Формулы!$X101</f>
        <v>0</v>
      </c>
      <c r="Z101" s="14" t="str">
        <f>_xlfn.XLOOKUP($A101,Centrum[Индекс],Centrum[Transport co invoice no/ 
Номер инвойса ТК],"",0,1)</f>
        <v/>
      </c>
    </row>
    <row r="102" spans="1:26" s="11" customFormat="1" x14ac:dyDescent="0.3">
      <c r="A102" s="14">
        <v>98</v>
      </c>
      <c r="B102" s="11" t="str">
        <f>_xlfn.XLOOKUP($A102,Centrum[Индекс],Centrum[Carrier/ Перевозчик],"",0,1)</f>
        <v/>
      </c>
      <c r="C102" s="11" t="str">
        <f>_xlfn.XLOOKUP($A102,Centrum[Индекс],Centrum[Country /  Страна],"",0,1)</f>
        <v/>
      </c>
      <c r="D102" s="11" t="str">
        <f>_xlfn.XLOOKUP($A102,Centrum[Индекс],Centrum[Container num./ 
№ контейнера],"",0,1)</f>
        <v/>
      </c>
      <c r="E102" s="11" t="str">
        <f>_xlfn.XLOOKUP($A102,Centrum[Индекс],Centrum[Supplier/
Поставщик],"",0,1)</f>
        <v/>
      </c>
      <c r="F102" s="11" t="str">
        <f>_xlfn.XLOOKUP($A102,Centrum[Индекс],Centrum[Shippers invoice no/ 
Номер инвойса поставщика],"",1)</f>
        <v/>
      </c>
      <c r="G102" s="15" t="str">
        <f>_xlfn.XLOOKUP($A102,Centrum[Индекс],Centrum[Invoice value / Стоимость груза в к-ре по инвойсу],"",0,1)</f>
        <v/>
      </c>
      <c r="H102" s="14" t="s">
        <v>40</v>
      </c>
      <c r="I102" s="11" t="str">
        <f>_xlfn.XLOOKUP($A102,Centrum[Индекс],Centrum[CBM on the shipper/ 
CBM по поставщику],"",0,1)</f>
        <v/>
      </c>
      <c r="J102" s="16" t="str">
        <f>_xlfn.XLOOKUP($A102,Centrum[Индекс],Centrum[Gross weight of cont// 
Гросс.вес по конт.],"",0,1)</f>
        <v/>
      </c>
      <c r="K102" s="17" t="str">
        <f>_xlfn.XLOOKUP($A102,Centrum[Индекс],Centrum[Route/ Маршрут (TSR/TCR)],"",0,1)</f>
        <v/>
      </c>
      <c r="L102" s="11" t="str">
        <f>_xlfn.XLOOKUP($A102,Centrum[Индекс],Centrum[Условия поставки],"",0,1)</f>
        <v/>
      </c>
      <c r="M102" s="11" t="str">
        <f>_xlfn.XLOOKUP($A102,Centrum[Индекс],Centrum[№ HBL date / 
№/ дата коносамента],"",0,1)</f>
        <v/>
      </c>
      <c r="N102" s="11" t="str">
        <f>_xlfn.XLOOKUP($A102,Centrum[Индекс],Centrum[№ MBL / 
№/ коносамента],"",0,1)</f>
        <v/>
      </c>
      <c r="O102" s="8" t="e">
        <f>(_xlfn.XLOOKUP($A102,Centrum[Индекс],Centrum[Date on board / Дата погрузки на судно],"",0,1))*1</f>
        <v>#VALUE!</v>
      </c>
      <c r="P102" s="8" t="e">
        <f>(_xlfn.XLOOKUP($A102,Centrum[Индекс],Centrum[Date of arrival to Sary-Agach/ Дата прибытия на Сары-Агач],"",0,1))*1</f>
        <v>#VALUE!</v>
      </c>
      <c r="Q102" s="14" t="str">
        <f>_xlfn.XLOOKUP($A102,Centrum[Индекс],Centrum[Container type/ 
Тип контейнера],"",0,1)</f>
        <v/>
      </c>
      <c r="R102" s="16">
        <f>_xlfn.XLOOKUP($A102,Centrum[Индекс],Centrum[Transportation cost per supplier/ 
Cтоимость перевозки по поставщикам],0,0,1)</f>
        <v>0</v>
      </c>
      <c r="S102" s="16">
        <f>Шаблон_Формулы!$T102-Шаблон_Формулы!$R102</f>
        <v>0</v>
      </c>
      <c r="T102" s="16">
        <f>_xlfn.XLOOKUP($A102,Centrum[Индекс],Centrum[Transportation total amount / Общая стоимость перевозки],0,0,1)</f>
        <v>0</v>
      </c>
      <c r="U102" s="12" cm="1">
        <f t="array" ref="U10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2" s="16">
        <f>_xlfn.XLOOKUP(Шаблон_Формулы[[#This Row],[21]],Курс_USD[Дата],Курс_USD[Курс],,0,1)</f>
        <v>12228.05</v>
      </c>
      <c r="W102" s="16">
        <f>Шаблон_Формулы!$T102*Шаблон_Формулы!$V102</f>
        <v>0</v>
      </c>
      <c r="Y102" s="16">
        <f>Шаблон_Формулы!$W102+Шаблон_Формулы!$X102</f>
        <v>0</v>
      </c>
      <c r="Z102" s="14" t="str">
        <f>_xlfn.XLOOKUP($A102,Centrum[Индекс],Centrum[Transport co invoice no/ 
Номер инвойса ТК],"",0,1)</f>
        <v/>
      </c>
    </row>
    <row r="103" spans="1:26" s="11" customFormat="1" x14ac:dyDescent="0.3">
      <c r="A103" s="14">
        <v>99</v>
      </c>
      <c r="B103" s="11" t="str">
        <f>_xlfn.XLOOKUP($A103,Centrum[Индекс],Centrum[Carrier/ Перевозчик],"",0,1)</f>
        <v/>
      </c>
      <c r="C103" s="11" t="str">
        <f>_xlfn.XLOOKUP($A103,Centrum[Индекс],Centrum[Country /  Страна],"",0,1)</f>
        <v/>
      </c>
      <c r="D103" s="11" t="str">
        <f>_xlfn.XLOOKUP($A103,Centrum[Индекс],Centrum[Container num./ 
№ контейнера],"",0,1)</f>
        <v/>
      </c>
      <c r="E103" s="11" t="str">
        <f>_xlfn.XLOOKUP($A103,Centrum[Индекс],Centrum[Supplier/
Поставщик],"",0,1)</f>
        <v/>
      </c>
      <c r="F103" s="11" t="str">
        <f>_xlfn.XLOOKUP($A103,Centrum[Индекс],Centrum[Shippers invoice no/ 
Номер инвойса поставщика],"",1)</f>
        <v/>
      </c>
      <c r="G103" s="15" t="str">
        <f>_xlfn.XLOOKUP($A103,Centrum[Индекс],Centrum[Invoice value / Стоимость груза в к-ре по инвойсу],"",0,1)</f>
        <v/>
      </c>
      <c r="H103" s="14" t="s">
        <v>40</v>
      </c>
      <c r="I103" s="11" t="str">
        <f>_xlfn.XLOOKUP($A103,Centrum[Индекс],Centrum[CBM on the shipper/ 
CBM по поставщику],"",0,1)</f>
        <v/>
      </c>
      <c r="J103" s="16" t="str">
        <f>_xlfn.XLOOKUP($A103,Centrum[Индекс],Centrum[Gross weight of cont// 
Гросс.вес по конт.],"",0,1)</f>
        <v/>
      </c>
      <c r="K103" s="17" t="str">
        <f>_xlfn.XLOOKUP($A103,Centrum[Индекс],Centrum[Route/ Маршрут (TSR/TCR)],"",0,1)</f>
        <v/>
      </c>
      <c r="L103" s="11" t="str">
        <f>_xlfn.XLOOKUP($A103,Centrum[Индекс],Centrum[Условия поставки],"",0,1)</f>
        <v/>
      </c>
      <c r="M103" s="11" t="str">
        <f>_xlfn.XLOOKUP($A103,Centrum[Индекс],Centrum[№ HBL date / 
№/ дата коносамента],"",0,1)</f>
        <v/>
      </c>
      <c r="N103" s="11" t="str">
        <f>_xlfn.XLOOKUP($A103,Centrum[Индекс],Centrum[№ MBL / 
№/ коносамента],"",0,1)</f>
        <v/>
      </c>
      <c r="O103" s="8" t="e">
        <f>(_xlfn.XLOOKUP($A103,Centrum[Индекс],Centrum[Date on board / Дата погрузки на судно],"",0,1))*1</f>
        <v>#VALUE!</v>
      </c>
      <c r="P103" s="8" t="e">
        <f>(_xlfn.XLOOKUP($A103,Centrum[Индекс],Centrum[Date of arrival to Sary-Agach/ Дата прибытия на Сары-Агач],"",0,1))*1</f>
        <v>#VALUE!</v>
      </c>
      <c r="Q103" s="14" t="str">
        <f>_xlfn.XLOOKUP($A103,Centrum[Индекс],Centrum[Container type/ 
Тип контейнера],"",0,1)</f>
        <v/>
      </c>
      <c r="R103" s="16">
        <f>_xlfn.XLOOKUP($A103,Centrum[Индекс],Centrum[Transportation cost per supplier/ 
Cтоимость перевозки по поставщикам],0,0,1)</f>
        <v>0</v>
      </c>
      <c r="S103" s="16">
        <f>Шаблон_Формулы!$T103-Шаблон_Формулы!$R103</f>
        <v>0</v>
      </c>
      <c r="T103" s="16">
        <f>_xlfn.XLOOKUP($A103,Centrum[Индекс],Centrum[Transportation total amount / Общая стоимость перевозки],0,0,1)</f>
        <v>0</v>
      </c>
      <c r="U103" s="12" cm="1">
        <f t="array" ref="U10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3" s="16">
        <f>_xlfn.XLOOKUP(Шаблон_Формулы[[#This Row],[21]],Курс_USD[Дата],Курс_USD[Курс],,0,1)</f>
        <v>12228.05</v>
      </c>
      <c r="W103" s="16">
        <f>Шаблон_Формулы!$T103*Шаблон_Формулы!$V103</f>
        <v>0</v>
      </c>
      <c r="Y103" s="16">
        <f>Шаблон_Формулы!$W103+Шаблон_Формулы!$X103</f>
        <v>0</v>
      </c>
      <c r="Z103" s="14" t="str">
        <f>_xlfn.XLOOKUP($A103,Centrum[Индекс],Centrum[Transport co invoice no/ 
Номер инвойса ТК],"",0,1)</f>
        <v/>
      </c>
    </row>
    <row r="104" spans="1:26" s="11" customFormat="1" x14ac:dyDescent="0.3">
      <c r="A104" s="14">
        <v>100</v>
      </c>
      <c r="B104" s="11" t="str">
        <f>_xlfn.XLOOKUP($A104,Centrum[Индекс],Centrum[Carrier/ Перевозчик],"",0,1)</f>
        <v/>
      </c>
      <c r="C104" s="11" t="str">
        <f>_xlfn.XLOOKUP($A104,Centrum[Индекс],Centrum[Country /  Страна],"",0,1)</f>
        <v/>
      </c>
      <c r="D104" s="11" t="str">
        <f>_xlfn.XLOOKUP($A104,Centrum[Индекс],Centrum[Container num./ 
№ контейнера],"",0,1)</f>
        <v/>
      </c>
      <c r="E104" s="11" t="str">
        <f>_xlfn.XLOOKUP($A104,Centrum[Индекс],Centrum[Supplier/
Поставщик],"",0,1)</f>
        <v/>
      </c>
      <c r="F104" s="11" t="str">
        <f>_xlfn.XLOOKUP($A104,Centrum[Индекс],Centrum[Shippers invoice no/ 
Номер инвойса поставщика],"",1)</f>
        <v/>
      </c>
      <c r="G104" s="15" t="str">
        <f>_xlfn.XLOOKUP($A104,Centrum[Индекс],Centrum[Invoice value / Стоимость груза в к-ре по инвойсу],"",0,1)</f>
        <v/>
      </c>
      <c r="H104" s="14" t="s">
        <v>40</v>
      </c>
      <c r="I104" s="11" t="str">
        <f>_xlfn.XLOOKUP($A104,Centrum[Индекс],Centrum[CBM on the shipper/ 
CBM по поставщику],"",0,1)</f>
        <v/>
      </c>
      <c r="J104" s="16" t="str">
        <f>_xlfn.XLOOKUP($A104,Centrum[Индекс],Centrum[Gross weight of cont// 
Гросс.вес по конт.],"",0,1)</f>
        <v/>
      </c>
      <c r="K104" s="17" t="str">
        <f>_xlfn.XLOOKUP($A104,Centrum[Индекс],Centrum[Route/ Маршрут (TSR/TCR)],"",0,1)</f>
        <v/>
      </c>
      <c r="L104" s="11" t="str">
        <f>_xlfn.XLOOKUP($A104,Centrum[Индекс],Centrum[Условия поставки],"",0,1)</f>
        <v/>
      </c>
      <c r="M104" s="11" t="str">
        <f>_xlfn.XLOOKUP($A104,Centrum[Индекс],Centrum[№ HBL date / 
№/ дата коносамента],"",0,1)</f>
        <v/>
      </c>
      <c r="N104" s="11" t="str">
        <f>_xlfn.XLOOKUP($A104,Centrum[Индекс],Centrum[№ MBL / 
№/ коносамента],"",0,1)</f>
        <v/>
      </c>
      <c r="O104" s="8" t="e">
        <f>(_xlfn.XLOOKUP($A104,Centrum[Индекс],Centrum[Date on board / Дата погрузки на судно],"",0,1))*1</f>
        <v>#VALUE!</v>
      </c>
      <c r="P104" s="8" t="e">
        <f>(_xlfn.XLOOKUP($A104,Centrum[Индекс],Centrum[Date of arrival to Sary-Agach/ Дата прибытия на Сары-Агач],"",0,1))*1</f>
        <v>#VALUE!</v>
      </c>
      <c r="Q104" s="14" t="str">
        <f>_xlfn.XLOOKUP($A104,Centrum[Индекс],Centrum[Container type/ 
Тип контейнера],"",0,1)</f>
        <v/>
      </c>
      <c r="R104" s="16">
        <f>_xlfn.XLOOKUP($A104,Centrum[Индекс],Centrum[Transportation cost per supplier/ 
Cтоимость перевозки по поставщикам],0,0,1)</f>
        <v>0</v>
      </c>
      <c r="S104" s="16">
        <f>Шаблон_Формулы!$T104-Шаблон_Формулы!$R104</f>
        <v>0</v>
      </c>
      <c r="T104" s="16">
        <f>_xlfn.XLOOKUP($A104,Centrum[Индекс],Centrum[Transportation total amount / Общая стоимость перевозки],0,0,1)</f>
        <v>0</v>
      </c>
      <c r="U104" s="12" cm="1">
        <f t="array" ref="U10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4" s="16">
        <f>_xlfn.XLOOKUP(Шаблон_Формулы[[#This Row],[21]],Курс_USD[Дата],Курс_USD[Курс],,0,1)</f>
        <v>12228.05</v>
      </c>
      <c r="W104" s="16">
        <f>Шаблон_Формулы!$T104*Шаблон_Формулы!$V104</f>
        <v>0</v>
      </c>
      <c r="Y104" s="16">
        <f>Шаблон_Формулы!$W104+Шаблон_Формулы!$X104</f>
        <v>0</v>
      </c>
      <c r="Z104" s="14" t="str">
        <f>_xlfn.XLOOKUP($A104,Centrum[Индекс],Centrum[Transport co invoice no/ 
Номер инвойса ТК],"",0,1)</f>
        <v/>
      </c>
    </row>
    <row r="105" spans="1:26" s="11" customFormat="1" x14ac:dyDescent="0.3">
      <c r="A105" s="14">
        <v>101</v>
      </c>
      <c r="B105" s="11" t="str">
        <f>_xlfn.XLOOKUP($A105,Centrum[Индекс],Centrum[Carrier/ Перевозчик],"",0,1)</f>
        <v/>
      </c>
      <c r="C105" s="11" t="str">
        <f>_xlfn.XLOOKUP($A105,Centrum[Индекс],Centrum[Country /  Страна],"",0,1)</f>
        <v/>
      </c>
      <c r="D105" s="11" t="str">
        <f>_xlfn.XLOOKUP($A105,Centrum[Индекс],Centrum[Container num./ 
№ контейнера],"",0,1)</f>
        <v/>
      </c>
      <c r="E105" s="11" t="str">
        <f>_xlfn.XLOOKUP($A105,Centrum[Индекс],Centrum[Supplier/
Поставщик],"",0,1)</f>
        <v/>
      </c>
      <c r="F105" s="11" t="str">
        <f>_xlfn.XLOOKUP($A105,Centrum[Индекс],Centrum[Shippers invoice no/ 
Номер инвойса поставщика],"",1)</f>
        <v/>
      </c>
      <c r="G105" s="15" t="str">
        <f>_xlfn.XLOOKUP($A105,Centrum[Индекс],Centrum[Invoice value / Стоимость груза в к-ре по инвойсу],"",0,1)</f>
        <v/>
      </c>
      <c r="H105" s="14" t="s">
        <v>40</v>
      </c>
      <c r="I105" s="11" t="str">
        <f>_xlfn.XLOOKUP($A105,Centrum[Индекс],Centrum[CBM on the shipper/ 
CBM по поставщику],"",0,1)</f>
        <v/>
      </c>
      <c r="J105" s="16" t="str">
        <f>_xlfn.XLOOKUP($A105,Centrum[Индекс],Centrum[Gross weight of cont// 
Гросс.вес по конт.],"",0,1)</f>
        <v/>
      </c>
      <c r="K105" s="17" t="str">
        <f>_xlfn.XLOOKUP($A105,Centrum[Индекс],Centrum[Route/ Маршрут (TSR/TCR)],"",0,1)</f>
        <v/>
      </c>
      <c r="L105" s="11" t="str">
        <f>_xlfn.XLOOKUP($A105,Centrum[Индекс],Centrum[Условия поставки],"",0,1)</f>
        <v/>
      </c>
      <c r="M105" s="11" t="str">
        <f>_xlfn.XLOOKUP($A105,Centrum[Индекс],Centrum[№ HBL date / 
№/ дата коносамента],"",0,1)</f>
        <v/>
      </c>
      <c r="N105" s="11" t="str">
        <f>_xlfn.XLOOKUP($A105,Centrum[Индекс],Centrum[№ MBL / 
№/ коносамента],"",0,1)</f>
        <v/>
      </c>
      <c r="O105" s="8" t="e">
        <f>(_xlfn.XLOOKUP($A105,Centrum[Индекс],Centrum[Date on board / Дата погрузки на судно],"",0,1))*1</f>
        <v>#VALUE!</v>
      </c>
      <c r="P105" s="8" t="e">
        <f>(_xlfn.XLOOKUP($A105,Centrum[Индекс],Centrum[Date of arrival to Sary-Agach/ Дата прибытия на Сары-Агач],"",0,1))*1</f>
        <v>#VALUE!</v>
      </c>
      <c r="Q105" s="14" t="str">
        <f>_xlfn.XLOOKUP($A105,Centrum[Индекс],Centrum[Container type/ 
Тип контейнера],"",0,1)</f>
        <v/>
      </c>
      <c r="R105" s="16">
        <f>_xlfn.XLOOKUP($A105,Centrum[Индекс],Centrum[Transportation cost per supplier/ 
Cтоимость перевозки по поставщикам],0,0,1)</f>
        <v>0</v>
      </c>
      <c r="S105" s="16">
        <f>Шаблон_Формулы!$T105-Шаблон_Формулы!$R105</f>
        <v>0</v>
      </c>
      <c r="T105" s="16">
        <f>_xlfn.XLOOKUP($A105,Centrum[Индекс],Centrum[Transportation total amount / Общая стоимость перевозки],0,0,1)</f>
        <v>0</v>
      </c>
      <c r="U105" s="12" cm="1">
        <f t="array" ref="U10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5" s="16">
        <f>_xlfn.XLOOKUP(Шаблон_Формулы[[#This Row],[21]],Курс_USD[Дата],Курс_USD[Курс],,0,1)</f>
        <v>12228.05</v>
      </c>
      <c r="W105" s="16">
        <f>Шаблон_Формулы!$T105*Шаблон_Формулы!$V105</f>
        <v>0</v>
      </c>
      <c r="Y105" s="16">
        <f>Шаблон_Формулы!$W105+Шаблон_Формулы!$X105</f>
        <v>0</v>
      </c>
      <c r="Z105" s="14" t="str">
        <f>_xlfn.XLOOKUP($A105,Centrum[Индекс],Centrum[Transport co invoice no/ 
Номер инвойса ТК],"",0,1)</f>
        <v/>
      </c>
    </row>
    <row r="106" spans="1:26" s="11" customFormat="1" x14ac:dyDescent="0.3">
      <c r="A106" s="14">
        <v>102</v>
      </c>
      <c r="B106" s="11" t="str">
        <f>_xlfn.XLOOKUP($A106,Centrum[Индекс],Centrum[Carrier/ Перевозчик],"",0,1)</f>
        <v/>
      </c>
      <c r="C106" s="11" t="str">
        <f>_xlfn.XLOOKUP($A106,Centrum[Индекс],Centrum[Country /  Страна],"",0,1)</f>
        <v/>
      </c>
      <c r="D106" s="11" t="str">
        <f>_xlfn.XLOOKUP($A106,Centrum[Индекс],Centrum[Container num./ 
№ контейнера],"",0,1)</f>
        <v/>
      </c>
      <c r="E106" s="11" t="str">
        <f>_xlfn.XLOOKUP($A106,Centrum[Индекс],Centrum[Supplier/
Поставщик],"",0,1)</f>
        <v/>
      </c>
      <c r="F106" s="11" t="str">
        <f>_xlfn.XLOOKUP($A106,Centrum[Индекс],Centrum[Shippers invoice no/ 
Номер инвойса поставщика],"",1)</f>
        <v/>
      </c>
      <c r="G106" s="15" t="str">
        <f>_xlfn.XLOOKUP($A106,Centrum[Индекс],Centrum[Invoice value / Стоимость груза в к-ре по инвойсу],"",0,1)</f>
        <v/>
      </c>
      <c r="H106" s="14" t="s">
        <v>40</v>
      </c>
      <c r="I106" s="11" t="str">
        <f>_xlfn.XLOOKUP($A106,Centrum[Индекс],Centrum[CBM on the shipper/ 
CBM по поставщику],"",0,1)</f>
        <v/>
      </c>
      <c r="J106" s="16" t="str">
        <f>_xlfn.XLOOKUP($A106,Centrum[Индекс],Centrum[Gross weight of cont// 
Гросс.вес по конт.],"",0,1)</f>
        <v/>
      </c>
      <c r="K106" s="17" t="str">
        <f>_xlfn.XLOOKUP($A106,Centrum[Индекс],Centrum[Route/ Маршрут (TSR/TCR)],"",0,1)</f>
        <v/>
      </c>
      <c r="L106" s="11" t="str">
        <f>_xlfn.XLOOKUP($A106,Centrum[Индекс],Centrum[Условия поставки],"",0,1)</f>
        <v/>
      </c>
      <c r="M106" s="11" t="str">
        <f>_xlfn.XLOOKUP($A106,Centrum[Индекс],Centrum[№ HBL date / 
№/ дата коносамента],"",0,1)</f>
        <v/>
      </c>
      <c r="N106" s="11" t="str">
        <f>_xlfn.XLOOKUP($A106,Centrum[Индекс],Centrum[№ MBL / 
№/ коносамента],"",0,1)</f>
        <v/>
      </c>
      <c r="O106" s="8" t="e">
        <f>(_xlfn.XLOOKUP($A106,Centrum[Индекс],Centrum[Date on board / Дата погрузки на судно],"",0,1))*1</f>
        <v>#VALUE!</v>
      </c>
      <c r="P106" s="8" t="e">
        <f>(_xlfn.XLOOKUP($A106,Centrum[Индекс],Centrum[Date of arrival to Sary-Agach/ Дата прибытия на Сары-Агач],"",0,1))*1</f>
        <v>#VALUE!</v>
      </c>
      <c r="Q106" s="14" t="str">
        <f>_xlfn.XLOOKUP($A106,Centrum[Индекс],Centrum[Container type/ 
Тип контейнера],"",0,1)</f>
        <v/>
      </c>
      <c r="R106" s="16">
        <f>_xlfn.XLOOKUP($A106,Centrum[Индекс],Centrum[Transportation cost per supplier/ 
Cтоимость перевозки по поставщикам],0,0,1)</f>
        <v>0</v>
      </c>
      <c r="S106" s="16">
        <f>Шаблон_Формулы!$T106-Шаблон_Формулы!$R106</f>
        <v>0</v>
      </c>
      <c r="T106" s="16">
        <f>_xlfn.XLOOKUP($A106,Centrum[Индекс],Centrum[Transportation total amount / Общая стоимость перевозки],0,0,1)</f>
        <v>0</v>
      </c>
      <c r="U106" s="12" cm="1">
        <f t="array" ref="U10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6" s="16">
        <f>_xlfn.XLOOKUP(Шаблон_Формулы[[#This Row],[21]],Курс_USD[Дата],Курс_USD[Курс],,0,1)</f>
        <v>12228.05</v>
      </c>
      <c r="W106" s="16">
        <f>Шаблон_Формулы!$T106*Шаблон_Формулы!$V106</f>
        <v>0</v>
      </c>
      <c r="Y106" s="16">
        <f>Шаблон_Формулы!$W106+Шаблон_Формулы!$X106</f>
        <v>0</v>
      </c>
      <c r="Z106" s="14" t="str">
        <f>_xlfn.XLOOKUP($A106,Centrum[Индекс],Centrum[Transport co invoice no/ 
Номер инвойса ТК],"",0,1)</f>
        <v/>
      </c>
    </row>
    <row r="107" spans="1:26" s="11" customFormat="1" x14ac:dyDescent="0.3">
      <c r="A107" s="14">
        <v>103</v>
      </c>
      <c r="B107" s="11" t="str">
        <f>_xlfn.XLOOKUP($A107,Centrum[Индекс],Centrum[Carrier/ Перевозчик],"",0,1)</f>
        <v/>
      </c>
      <c r="C107" s="11" t="str">
        <f>_xlfn.XLOOKUP($A107,Centrum[Индекс],Centrum[Country /  Страна],"",0,1)</f>
        <v/>
      </c>
      <c r="D107" s="11" t="str">
        <f>_xlfn.XLOOKUP($A107,Centrum[Индекс],Centrum[Container num./ 
№ контейнера],"",0,1)</f>
        <v/>
      </c>
      <c r="E107" s="11" t="str">
        <f>_xlfn.XLOOKUP($A107,Centrum[Индекс],Centrum[Supplier/
Поставщик],"",0,1)</f>
        <v/>
      </c>
      <c r="F107" s="11" t="str">
        <f>_xlfn.XLOOKUP($A107,Centrum[Индекс],Centrum[Shippers invoice no/ 
Номер инвойса поставщика],"",1)</f>
        <v/>
      </c>
      <c r="G107" s="15" t="str">
        <f>_xlfn.XLOOKUP($A107,Centrum[Индекс],Centrum[Invoice value / Стоимость груза в к-ре по инвойсу],"",0,1)</f>
        <v/>
      </c>
      <c r="H107" s="14" t="s">
        <v>40</v>
      </c>
      <c r="I107" s="11" t="str">
        <f>_xlfn.XLOOKUP($A107,Centrum[Индекс],Centrum[CBM on the shipper/ 
CBM по поставщику],"",0,1)</f>
        <v/>
      </c>
      <c r="J107" s="16" t="str">
        <f>_xlfn.XLOOKUP($A107,Centrum[Индекс],Centrum[Gross weight of cont// 
Гросс.вес по конт.],"",0,1)</f>
        <v/>
      </c>
      <c r="K107" s="17" t="str">
        <f>_xlfn.XLOOKUP($A107,Centrum[Индекс],Centrum[Route/ Маршрут (TSR/TCR)],"",0,1)</f>
        <v/>
      </c>
      <c r="L107" s="11" t="str">
        <f>_xlfn.XLOOKUP($A107,Centrum[Индекс],Centrum[Условия поставки],"",0,1)</f>
        <v/>
      </c>
      <c r="M107" s="11" t="str">
        <f>_xlfn.XLOOKUP($A107,Centrum[Индекс],Centrum[№ HBL date / 
№/ дата коносамента],"",0,1)</f>
        <v/>
      </c>
      <c r="N107" s="11" t="str">
        <f>_xlfn.XLOOKUP($A107,Centrum[Индекс],Centrum[№ MBL / 
№/ коносамента],"",0,1)</f>
        <v/>
      </c>
      <c r="O107" s="8" t="e">
        <f>(_xlfn.XLOOKUP($A107,Centrum[Индекс],Centrum[Date on board / Дата погрузки на судно],"",0,1))*1</f>
        <v>#VALUE!</v>
      </c>
      <c r="P107" s="8" t="e">
        <f>(_xlfn.XLOOKUP($A107,Centrum[Индекс],Centrum[Date of arrival to Sary-Agach/ Дата прибытия на Сары-Агач],"",0,1))*1</f>
        <v>#VALUE!</v>
      </c>
      <c r="Q107" s="14" t="str">
        <f>_xlfn.XLOOKUP($A107,Centrum[Индекс],Centrum[Container type/ 
Тип контейнера],"",0,1)</f>
        <v/>
      </c>
      <c r="R107" s="16">
        <f>_xlfn.XLOOKUP($A107,Centrum[Индекс],Centrum[Transportation cost per supplier/ 
Cтоимость перевозки по поставщикам],0,0,1)</f>
        <v>0</v>
      </c>
      <c r="S107" s="16">
        <f>Шаблон_Формулы!$T107-Шаблон_Формулы!$R107</f>
        <v>0</v>
      </c>
      <c r="T107" s="16">
        <f>_xlfn.XLOOKUP($A107,Centrum[Индекс],Centrum[Transportation total amount / Общая стоимость перевозки],0,0,1)</f>
        <v>0</v>
      </c>
      <c r="U107" s="12" cm="1">
        <f t="array" ref="U10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7" s="16">
        <f>_xlfn.XLOOKUP(Шаблон_Формулы[[#This Row],[21]],Курс_USD[Дата],Курс_USD[Курс],,0,1)</f>
        <v>12228.05</v>
      </c>
      <c r="W107" s="16">
        <f>Шаблон_Формулы!$T107*Шаблон_Формулы!$V107</f>
        <v>0</v>
      </c>
      <c r="Y107" s="16">
        <f>Шаблон_Формулы!$W107+Шаблон_Формулы!$X107</f>
        <v>0</v>
      </c>
      <c r="Z107" s="14" t="str">
        <f>_xlfn.XLOOKUP($A107,Centrum[Индекс],Centrum[Transport co invoice no/ 
Номер инвойса ТК],"",0,1)</f>
        <v/>
      </c>
    </row>
    <row r="108" spans="1:26" s="11" customFormat="1" x14ac:dyDescent="0.3">
      <c r="A108" s="14">
        <v>104</v>
      </c>
      <c r="B108" s="11" t="str">
        <f>_xlfn.XLOOKUP($A108,Centrum[Индекс],Centrum[Carrier/ Перевозчик],"",0,1)</f>
        <v/>
      </c>
      <c r="C108" s="11" t="str">
        <f>_xlfn.XLOOKUP($A108,Centrum[Индекс],Centrum[Country /  Страна],"",0,1)</f>
        <v/>
      </c>
      <c r="D108" s="11" t="str">
        <f>_xlfn.XLOOKUP($A108,Centrum[Индекс],Centrum[Container num./ 
№ контейнера],"",0,1)</f>
        <v/>
      </c>
      <c r="E108" s="11" t="str">
        <f>_xlfn.XLOOKUP($A108,Centrum[Индекс],Centrum[Supplier/
Поставщик],"",0,1)</f>
        <v/>
      </c>
      <c r="F108" s="11" t="str">
        <f>_xlfn.XLOOKUP($A108,Centrum[Индекс],Centrum[Shippers invoice no/ 
Номер инвойса поставщика],"",1)</f>
        <v/>
      </c>
      <c r="G108" s="15" t="str">
        <f>_xlfn.XLOOKUP($A108,Centrum[Индекс],Centrum[Invoice value / Стоимость груза в к-ре по инвойсу],"",0,1)</f>
        <v/>
      </c>
      <c r="H108" s="14" t="s">
        <v>40</v>
      </c>
      <c r="I108" s="11" t="str">
        <f>_xlfn.XLOOKUP($A108,Centrum[Индекс],Centrum[CBM on the shipper/ 
CBM по поставщику],"",0,1)</f>
        <v/>
      </c>
      <c r="J108" s="16" t="str">
        <f>_xlfn.XLOOKUP($A108,Centrum[Индекс],Centrum[Gross weight of cont// 
Гросс.вес по конт.],"",0,1)</f>
        <v/>
      </c>
      <c r="K108" s="17" t="str">
        <f>_xlfn.XLOOKUP($A108,Centrum[Индекс],Centrum[Route/ Маршрут (TSR/TCR)],"",0,1)</f>
        <v/>
      </c>
      <c r="L108" s="11" t="str">
        <f>_xlfn.XLOOKUP($A108,Centrum[Индекс],Centrum[Условия поставки],"",0,1)</f>
        <v/>
      </c>
      <c r="M108" s="11" t="str">
        <f>_xlfn.XLOOKUP($A108,Centrum[Индекс],Centrum[№ HBL date / 
№/ дата коносамента],"",0,1)</f>
        <v/>
      </c>
      <c r="N108" s="11" t="str">
        <f>_xlfn.XLOOKUP($A108,Centrum[Индекс],Centrum[№ MBL / 
№/ коносамента],"",0,1)</f>
        <v/>
      </c>
      <c r="O108" s="8" t="e">
        <f>(_xlfn.XLOOKUP($A108,Centrum[Индекс],Centrum[Date on board / Дата погрузки на судно],"",0,1))*1</f>
        <v>#VALUE!</v>
      </c>
      <c r="P108" s="8" t="e">
        <f>(_xlfn.XLOOKUP($A108,Centrum[Индекс],Centrum[Date of arrival to Sary-Agach/ Дата прибытия на Сары-Агач],"",0,1))*1</f>
        <v>#VALUE!</v>
      </c>
      <c r="Q108" s="14" t="str">
        <f>_xlfn.XLOOKUP($A108,Centrum[Индекс],Centrum[Container type/ 
Тип контейнера],"",0,1)</f>
        <v/>
      </c>
      <c r="R108" s="16">
        <f>_xlfn.XLOOKUP($A108,Centrum[Индекс],Centrum[Transportation cost per supplier/ 
Cтоимость перевозки по поставщикам],0,0,1)</f>
        <v>0</v>
      </c>
      <c r="S108" s="16">
        <f>Шаблон_Формулы!$T108-Шаблон_Формулы!$R108</f>
        <v>0</v>
      </c>
      <c r="T108" s="16">
        <f>_xlfn.XLOOKUP($A108,Centrum[Индекс],Centrum[Transportation total amount / Общая стоимость перевозки],0,0,1)</f>
        <v>0</v>
      </c>
      <c r="U108" s="12" cm="1">
        <f t="array" ref="U10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8" s="16">
        <f>_xlfn.XLOOKUP(Шаблон_Формулы[[#This Row],[21]],Курс_USD[Дата],Курс_USD[Курс],,0,1)</f>
        <v>12228.05</v>
      </c>
      <c r="W108" s="16">
        <f>Шаблон_Формулы!$T108*Шаблон_Формулы!$V108</f>
        <v>0</v>
      </c>
      <c r="Y108" s="16">
        <f>Шаблон_Формулы!$W108+Шаблон_Формулы!$X108</f>
        <v>0</v>
      </c>
      <c r="Z108" s="14" t="str">
        <f>_xlfn.XLOOKUP($A108,Centrum[Индекс],Centrum[Transport co invoice no/ 
Номер инвойса ТК],"",0,1)</f>
        <v/>
      </c>
    </row>
    <row r="109" spans="1:26" s="11" customFormat="1" x14ac:dyDescent="0.3">
      <c r="A109" s="14">
        <v>105</v>
      </c>
      <c r="B109" s="11" t="str">
        <f>_xlfn.XLOOKUP($A109,Centrum[Индекс],Centrum[Carrier/ Перевозчик],"",0,1)</f>
        <v/>
      </c>
      <c r="C109" s="11" t="str">
        <f>_xlfn.XLOOKUP($A109,Centrum[Индекс],Centrum[Country /  Страна],"",0,1)</f>
        <v/>
      </c>
      <c r="D109" s="11" t="str">
        <f>_xlfn.XLOOKUP($A109,Centrum[Индекс],Centrum[Container num./ 
№ контейнера],"",0,1)</f>
        <v/>
      </c>
      <c r="E109" s="11" t="str">
        <f>_xlfn.XLOOKUP($A109,Centrum[Индекс],Centrum[Supplier/
Поставщик],"",0,1)</f>
        <v/>
      </c>
      <c r="F109" s="11" t="str">
        <f>_xlfn.XLOOKUP($A109,Centrum[Индекс],Centrum[Shippers invoice no/ 
Номер инвойса поставщика],"",1)</f>
        <v/>
      </c>
      <c r="G109" s="15" t="str">
        <f>_xlfn.XLOOKUP($A109,Centrum[Индекс],Centrum[Invoice value / Стоимость груза в к-ре по инвойсу],"",0,1)</f>
        <v/>
      </c>
      <c r="H109" s="14" t="s">
        <v>40</v>
      </c>
      <c r="I109" s="11" t="str">
        <f>_xlfn.XLOOKUP($A109,Centrum[Индекс],Centrum[CBM on the shipper/ 
CBM по поставщику],"",0,1)</f>
        <v/>
      </c>
      <c r="J109" s="16" t="str">
        <f>_xlfn.XLOOKUP($A109,Centrum[Индекс],Centrum[Gross weight of cont// 
Гросс.вес по конт.],"",0,1)</f>
        <v/>
      </c>
      <c r="K109" s="17" t="str">
        <f>_xlfn.XLOOKUP($A109,Centrum[Индекс],Centrum[Route/ Маршрут (TSR/TCR)],"",0,1)</f>
        <v/>
      </c>
      <c r="L109" s="11" t="str">
        <f>_xlfn.XLOOKUP($A109,Centrum[Индекс],Centrum[Условия поставки],"",0,1)</f>
        <v/>
      </c>
      <c r="M109" s="11" t="str">
        <f>_xlfn.XLOOKUP($A109,Centrum[Индекс],Centrum[№ HBL date / 
№/ дата коносамента],"",0,1)</f>
        <v/>
      </c>
      <c r="N109" s="11" t="str">
        <f>_xlfn.XLOOKUP($A109,Centrum[Индекс],Centrum[№ MBL / 
№/ коносамента],"",0,1)</f>
        <v/>
      </c>
      <c r="O109" s="8" t="e">
        <f>(_xlfn.XLOOKUP($A109,Centrum[Индекс],Centrum[Date on board / Дата погрузки на судно],"",0,1))*1</f>
        <v>#VALUE!</v>
      </c>
      <c r="P109" s="8" t="e">
        <f>(_xlfn.XLOOKUP($A109,Centrum[Индекс],Centrum[Date of arrival to Sary-Agach/ Дата прибытия на Сары-Агач],"",0,1))*1</f>
        <v>#VALUE!</v>
      </c>
      <c r="Q109" s="14" t="str">
        <f>_xlfn.XLOOKUP($A109,Centrum[Индекс],Centrum[Container type/ 
Тип контейнера],"",0,1)</f>
        <v/>
      </c>
      <c r="R109" s="16">
        <f>_xlfn.XLOOKUP($A109,Centrum[Индекс],Centrum[Transportation cost per supplier/ 
Cтоимость перевозки по поставщикам],0,0,1)</f>
        <v>0</v>
      </c>
      <c r="S109" s="16">
        <f>Шаблон_Формулы!$T109-Шаблон_Формулы!$R109</f>
        <v>0</v>
      </c>
      <c r="T109" s="16">
        <f>_xlfn.XLOOKUP($A109,Centrum[Индекс],Centrum[Transportation total amount / Общая стоимость перевозки],0,0,1)</f>
        <v>0</v>
      </c>
      <c r="U109" s="12" cm="1">
        <f t="array" ref="U10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09" s="16">
        <f>_xlfn.XLOOKUP(Шаблон_Формулы[[#This Row],[21]],Курс_USD[Дата],Курс_USD[Курс],,0,1)</f>
        <v>12228.05</v>
      </c>
      <c r="W109" s="16">
        <f>Шаблон_Формулы!$T109*Шаблон_Формулы!$V109</f>
        <v>0</v>
      </c>
      <c r="Y109" s="16">
        <f>Шаблон_Формулы!$W109+Шаблон_Формулы!$X109</f>
        <v>0</v>
      </c>
      <c r="Z109" s="14" t="str">
        <f>_xlfn.XLOOKUP($A109,Centrum[Индекс],Centrum[Transport co invoice no/ 
Номер инвойса ТК],"",0,1)</f>
        <v/>
      </c>
    </row>
    <row r="110" spans="1:26" s="11" customFormat="1" x14ac:dyDescent="0.3">
      <c r="A110" s="14">
        <v>106</v>
      </c>
      <c r="B110" s="11" t="str">
        <f>_xlfn.XLOOKUP($A110,Centrum[Индекс],Centrum[Carrier/ Перевозчик],"",0,1)</f>
        <v/>
      </c>
      <c r="C110" s="11" t="str">
        <f>_xlfn.XLOOKUP($A110,Centrum[Индекс],Centrum[Country /  Страна],"",0,1)</f>
        <v/>
      </c>
      <c r="D110" s="11" t="str">
        <f>_xlfn.XLOOKUP($A110,Centrum[Индекс],Centrum[Container num./ 
№ контейнера],"",0,1)</f>
        <v/>
      </c>
      <c r="E110" s="11" t="str">
        <f>_xlfn.XLOOKUP($A110,Centrum[Индекс],Centrum[Supplier/
Поставщик],"",0,1)</f>
        <v/>
      </c>
      <c r="F110" s="11" t="str">
        <f>_xlfn.XLOOKUP($A110,Centrum[Индекс],Centrum[Shippers invoice no/ 
Номер инвойса поставщика],"",1)</f>
        <v/>
      </c>
      <c r="G110" s="15" t="str">
        <f>_xlfn.XLOOKUP($A110,Centrum[Индекс],Centrum[Invoice value / Стоимость груза в к-ре по инвойсу],"",0,1)</f>
        <v/>
      </c>
      <c r="H110" s="14" t="s">
        <v>40</v>
      </c>
      <c r="I110" s="11" t="str">
        <f>_xlfn.XLOOKUP($A110,Centrum[Индекс],Centrum[CBM on the shipper/ 
CBM по поставщику],"",0,1)</f>
        <v/>
      </c>
      <c r="J110" s="16" t="str">
        <f>_xlfn.XLOOKUP($A110,Centrum[Индекс],Centrum[Gross weight of cont// 
Гросс.вес по конт.],"",0,1)</f>
        <v/>
      </c>
      <c r="K110" s="17" t="str">
        <f>_xlfn.XLOOKUP($A110,Centrum[Индекс],Centrum[Route/ Маршрут (TSR/TCR)],"",0,1)</f>
        <v/>
      </c>
      <c r="L110" s="11" t="str">
        <f>_xlfn.XLOOKUP($A110,Centrum[Индекс],Centrum[Условия поставки],"",0,1)</f>
        <v/>
      </c>
      <c r="M110" s="11" t="str">
        <f>_xlfn.XLOOKUP($A110,Centrum[Индекс],Centrum[№ HBL date / 
№/ дата коносамента],"",0,1)</f>
        <v/>
      </c>
      <c r="N110" s="11" t="str">
        <f>_xlfn.XLOOKUP($A110,Centrum[Индекс],Centrum[№ MBL / 
№/ коносамента],"",0,1)</f>
        <v/>
      </c>
      <c r="O110" s="8" t="e">
        <f>(_xlfn.XLOOKUP($A110,Centrum[Индекс],Centrum[Date on board / Дата погрузки на судно],"",0,1))*1</f>
        <v>#VALUE!</v>
      </c>
      <c r="P110" s="8" t="e">
        <f>(_xlfn.XLOOKUP($A110,Centrum[Индекс],Centrum[Date of arrival to Sary-Agach/ Дата прибытия на Сары-Агач],"",0,1))*1</f>
        <v>#VALUE!</v>
      </c>
      <c r="Q110" s="14" t="str">
        <f>_xlfn.XLOOKUP($A110,Centrum[Индекс],Centrum[Container type/ 
Тип контейнера],"",0,1)</f>
        <v/>
      </c>
      <c r="R110" s="16">
        <f>_xlfn.XLOOKUP($A110,Centrum[Индекс],Centrum[Transportation cost per supplier/ 
Cтоимость перевозки по поставщикам],0,0,1)</f>
        <v>0</v>
      </c>
      <c r="S110" s="16">
        <f>Шаблон_Формулы!$T110-Шаблон_Формулы!$R110</f>
        <v>0</v>
      </c>
      <c r="T110" s="16">
        <f>_xlfn.XLOOKUP($A110,Centrum[Индекс],Centrum[Transportation total amount / Общая стоимость перевозки],0,0,1)</f>
        <v>0</v>
      </c>
      <c r="U110" s="12" cm="1">
        <f t="array" ref="U11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0" s="16">
        <f>_xlfn.XLOOKUP(Шаблон_Формулы[[#This Row],[21]],Курс_USD[Дата],Курс_USD[Курс],,0,1)</f>
        <v>12228.05</v>
      </c>
      <c r="W110" s="16">
        <f>Шаблон_Формулы!$T110*Шаблон_Формулы!$V110</f>
        <v>0</v>
      </c>
      <c r="Y110" s="16">
        <f>Шаблон_Формулы!$W110+Шаблон_Формулы!$X110</f>
        <v>0</v>
      </c>
      <c r="Z110" s="14" t="str">
        <f>_xlfn.XLOOKUP($A110,Centrum[Индекс],Centrum[Transport co invoice no/ 
Номер инвойса ТК],"",0,1)</f>
        <v/>
      </c>
    </row>
    <row r="111" spans="1:26" s="11" customFormat="1" x14ac:dyDescent="0.3">
      <c r="A111" s="14">
        <v>107</v>
      </c>
      <c r="B111" s="11" t="str">
        <f>_xlfn.XLOOKUP($A111,Centrum[Индекс],Centrum[Carrier/ Перевозчик],"",0,1)</f>
        <v/>
      </c>
      <c r="C111" s="11" t="str">
        <f>_xlfn.XLOOKUP($A111,Centrum[Индекс],Centrum[Country /  Страна],"",0,1)</f>
        <v/>
      </c>
      <c r="D111" s="11" t="str">
        <f>_xlfn.XLOOKUP($A111,Centrum[Индекс],Centrum[Container num./ 
№ контейнера],"",0,1)</f>
        <v/>
      </c>
      <c r="E111" s="11" t="str">
        <f>_xlfn.XLOOKUP($A111,Centrum[Индекс],Centrum[Supplier/
Поставщик],"",0,1)</f>
        <v/>
      </c>
      <c r="F111" s="11" t="str">
        <f>_xlfn.XLOOKUP($A111,Centrum[Индекс],Centrum[Shippers invoice no/ 
Номер инвойса поставщика],"",1)</f>
        <v/>
      </c>
      <c r="G111" s="15" t="str">
        <f>_xlfn.XLOOKUP($A111,Centrum[Индекс],Centrum[Invoice value / Стоимость груза в к-ре по инвойсу],"",0,1)</f>
        <v/>
      </c>
      <c r="H111" s="14" t="s">
        <v>40</v>
      </c>
      <c r="I111" s="11" t="str">
        <f>_xlfn.XLOOKUP($A111,Centrum[Индекс],Centrum[CBM on the shipper/ 
CBM по поставщику],"",0,1)</f>
        <v/>
      </c>
      <c r="J111" s="16" t="str">
        <f>_xlfn.XLOOKUP($A111,Centrum[Индекс],Centrum[Gross weight of cont// 
Гросс.вес по конт.],"",0,1)</f>
        <v/>
      </c>
      <c r="K111" s="17" t="str">
        <f>_xlfn.XLOOKUP($A111,Centrum[Индекс],Centrum[Route/ Маршрут (TSR/TCR)],"",0,1)</f>
        <v/>
      </c>
      <c r="L111" s="11" t="str">
        <f>_xlfn.XLOOKUP($A111,Centrum[Индекс],Centrum[Условия поставки],"",0,1)</f>
        <v/>
      </c>
      <c r="M111" s="11" t="str">
        <f>_xlfn.XLOOKUP($A111,Centrum[Индекс],Centrum[№ HBL date / 
№/ дата коносамента],"",0,1)</f>
        <v/>
      </c>
      <c r="N111" s="11" t="str">
        <f>_xlfn.XLOOKUP($A111,Centrum[Индекс],Centrum[№ MBL / 
№/ коносамента],"",0,1)</f>
        <v/>
      </c>
      <c r="O111" s="8" t="e">
        <f>(_xlfn.XLOOKUP($A111,Centrum[Индекс],Centrum[Date on board / Дата погрузки на судно],"",0,1))*1</f>
        <v>#VALUE!</v>
      </c>
      <c r="P111" s="8" t="e">
        <f>(_xlfn.XLOOKUP($A111,Centrum[Индекс],Centrum[Date of arrival to Sary-Agach/ Дата прибытия на Сары-Агач],"",0,1))*1</f>
        <v>#VALUE!</v>
      </c>
      <c r="Q111" s="14" t="str">
        <f>_xlfn.XLOOKUP($A111,Centrum[Индекс],Centrum[Container type/ 
Тип контейнера],"",0,1)</f>
        <v/>
      </c>
      <c r="R111" s="16">
        <f>_xlfn.XLOOKUP($A111,Centrum[Индекс],Centrum[Transportation cost per supplier/ 
Cтоимость перевозки по поставщикам],0,0,1)</f>
        <v>0</v>
      </c>
      <c r="S111" s="16">
        <f>Шаблон_Формулы!$T111-Шаблон_Формулы!$R111</f>
        <v>0</v>
      </c>
      <c r="T111" s="16">
        <f>_xlfn.XLOOKUP($A111,Centrum[Индекс],Centrum[Transportation total amount / Общая стоимость перевозки],0,0,1)</f>
        <v>0</v>
      </c>
      <c r="U111" s="12" cm="1">
        <f t="array" ref="U11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1" s="16">
        <f>_xlfn.XLOOKUP(Шаблон_Формулы[[#This Row],[21]],Курс_USD[Дата],Курс_USD[Курс],,0,1)</f>
        <v>12228.05</v>
      </c>
      <c r="W111" s="16">
        <f>Шаблон_Формулы!$T111*Шаблон_Формулы!$V111</f>
        <v>0</v>
      </c>
      <c r="Y111" s="16">
        <f>Шаблон_Формулы!$W111+Шаблон_Формулы!$X111</f>
        <v>0</v>
      </c>
      <c r="Z111" s="14" t="str">
        <f>_xlfn.XLOOKUP($A111,Centrum[Индекс],Centrum[Transport co invoice no/ 
Номер инвойса ТК],"",0,1)</f>
        <v/>
      </c>
    </row>
    <row r="112" spans="1:26" s="11" customFormat="1" x14ac:dyDescent="0.3">
      <c r="A112" s="14">
        <v>108</v>
      </c>
      <c r="B112" s="11" t="str">
        <f>_xlfn.XLOOKUP($A112,Centrum[Индекс],Centrum[Carrier/ Перевозчик],"",0,1)</f>
        <v/>
      </c>
      <c r="C112" s="11" t="str">
        <f>_xlfn.XLOOKUP($A112,Centrum[Индекс],Centrum[Country /  Страна],"",0,1)</f>
        <v/>
      </c>
      <c r="D112" s="11" t="str">
        <f>_xlfn.XLOOKUP($A112,Centrum[Индекс],Centrum[Container num./ 
№ контейнера],"",0,1)</f>
        <v/>
      </c>
      <c r="E112" s="11" t="str">
        <f>_xlfn.XLOOKUP($A112,Centrum[Индекс],Centrum[Supplier/
Поставщик],"",0,1)</f>
        <v/>
      </c>
      <c r="F112" s="11" t="str">
        <f>_xlfn.XLOOKUP($A112,Centrum[Индекс],Centrum[Shippers invoice no/ 
Номер инвойса поставщика],"",1)</f>
        <v/>
      </c>
      <c r="G112" s="15" t="str">
        <f>_xlfn.XLOOKUP($A112,Centrum[Индекс],Centrum[Invoice value / Стоимость груза в к-ре по инвойсу],"",0,1)</f>
        <v/>
      </c>
      <c r="H112" s="14" t="s">
        <v>40</v>
      </c>
      <c r="I112" s="11" t="str">
        <f>_xlfn.XLOOKUP($A112,Centrum[Индекс],Centrum[CBM on the shipper/ 
CBM по поставщику],"",0,1)</f>
        <v/>
      </c>
      <c r="J112" s="16" t="str">
        <f>_xlfn.XLOOKUP($A112,Centrum[Индекс],Centrum[Gross weight of cont// 
Гросс.вес по конт.],"",0,1)</f>
        <v/>
      </c>
      <c r="K112" s="17" t="str">
        <f>_xlfn.XLOOKUP($A112,Centrum[Индекс],Centrum[Route/ Маршрут (TSR/TCR)],"",0,1)</f>
        <v/>
      </c>
      <c r="L112" s="11" t="str">
        <f>_xlfn.XLOOKUP($A112,Centrum[Индекс],Centrum[Условия поставки],"",0,1)</f>
        <v/>
      </c>
      <c r="M112" s="11" t="str">
        <f>_xlfn.XLOOKUP($A112,Centrum[Индекс],Centrum[№ HBL date / 
№/ дата коносамента],"",0,1)</f>
        <v/>
      </c>
      <c r="N112" s="11" t="str">
        <f>_xlfn.XLOOKUP($A112,Centrum[Индекс],Centrum[№ MBL / 
№/ коносамента],"",0,1)</f>
        <v/>
      </c>
      <c r="O112" s="8" t="e">
        <f>(_xlfn.XLOOKUP($A112,Centrum[Индекс],Centrum[Date on board / Дата погрузки на судно],"",0,1))*1</f>
        <v>#VALUE!</v>
      </c>
      <c r="P112" s="8" t="e">
        <f>(_xlfn.XLOOKUP($A112,Centrum[Индекс],Centrum[Date of arrival to Sary-Agach/ Дата прибытия на Сары-Агач],"",0,1))*1</f>
        <v>#VALUE!</v>
      </c>
      <c r="Q112" s="14" t="str">
        <f>_xlfn.XLOOKUP($A112,Centrum[Индекс],Centrum[Container type/ 
Тип контейнера],"",0,1)</f>
        <v/>
      </c>
      <c r="R112" s="16">
        <f>_xlfn.XLOOKUP($A112,Centrum[Индекс],Centrum[Transportation cost per supplier/ 
Cтоимость перевозки по поставщикам],0,0,1)</f>
        <v>0</v>
      </c>
      <c r="S112" s="16">
        <f>Шаблон_Формулы!$T112-Шаблон_Формулы!$R112</f>
        <v>0</v>
      </c>
      <c r="T112" s="16">
        <f>_xlfn.XLOOKUP($A112,Centrum[Индекс],Centrum[Transportation total amount / Общая стоимость перевозки],0,0,1)</f>
        <v>0</v>
      </c>
      <c r="U112" s="12" cm="1">
        <f t="array" ref="U11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2" s="16">
        <f>_xlfn.XLOOKUP(Шаблон_Формулы[[#This Row],[21]],Курс_USD[Дата],Курс_USD[Курс],,0,1)</f>
        <v>12228.05</v>
      </c>
      <c r="W112" s="16">
        <f>Шаблон_Формулы!$T112*Шаблон_Формулы!$V112</f>
        <v>0</v>
      </c>
      <c r="Y112" s="16">
        <f>Шаблон_Формулы!$W112+Шаблон_Формулы!$X112</f>
        <v>0</v>
      </c>
      <c r="Z112" s="14" t="str">
        <f>_xlfn.XLOOKUP($A112,Centrum[Индекс],Centrum[Transport co invoice no/ 
Номер инвойса ТК],"",0,1)</f>
        <v/>
      </c>
    </row>
    <row r="113" spans="1:26" s="11" customFormat="1" x14ac:dyDescent="0.3">
      <c r="A113" s="14">
        <v>109</v>
      </c>
      <c r="B113" s="11" t="str">
        <f>_xlfn.XLOOKUP($A113,Centrum[Индекс],Centrum[Carrier/ Перевозчик],"",0,1)</f>
        <v/>
      </c>
      <c r="C113" s="11" t="str">
        <f>_xlfn.XLOOKUP($A113,Centrum[Индекс],Centrum[Country /  Страна],"",0,1)</f>
        <v/>
      </c>
      <c r="D113" s="11" t="str">
        <f>_xlfn.XLOOKUP($A113,Centrum[Индекс],Centrum[Container num./ 
№ контейнера],"",0,1)</f>
        <v/>
      </c>
      <c r="E113" s="11" t="str">
        <f>_xlfn.XLOOKUP($A113,Centrum[Индекс],Centrum[Supplier/
Поставщик],"",0,1)</f>
        <v/>
      </c>
      <c r="F113" s="11" t="str">
        <f>_xlfn.XLOOKUP($A113,Centrum[Индекс],Centrum[Shippers invoice no/ 
Номер инвойса поставщика],"",1)</f>
        <v/>
      </c>
      <c r="G113" s="15" t="str">
        <f>_xlfn.XLOOKUP($A113,Centrum[Индекс],Centrum[Invoice value / Стоимость груза в к-ре по инвойсу],"",0,1)</f>
        <v/>
      </c>
      <c r="H113" s="14" t="s">
        <v>40</v>
      </c>
      <c r="I113" s="11" t="str">
        <f>_xlfn.XLOOKUP($A113,Centrum[Индекс],Centrum[CBM on the shipper/ 
CBM по поставщику],"",0,1)</f>
        <v/>
      </c>
      <c r="J113" s="16" t="str">
        <f>_xlfn.XLOOKUP($A113,Centrum[Индекс],Centrum[Gross weight of cont// 
Гросс.вес по конт.],"",0,1)</f>
        <v/>
      </c>
      <c r="K113" s="17" t="str">
        <f>_xlfn.XLOOKUP($A113,Centrum[Индекс],Centrum[Route/ Маршрут (TSR/TCR)],"",0,1)</f>
        <v/>
      </c>
      <c r="L113" s="11" t="str">
        <f>_xlfn.XLOOKUP($A113,Centrum[Индекс],Centrum[Условия поставки],"",0,1)</f>
        <v/>
      </c>
      <c r="M113" s="11" t="str">
        <f>_xlfn.XLOOKUP($A113,Centrum[Индекс],Centrum[№ HBL date / 
№/ дата коносамента],"",0,1)</f>
        <v/>
      </c>
      <c r="N113" s="11" t="str">
        <f>_xlfn.XLOOKUP($A113,Centrum[Индекс],Centrum[№ MBL / 
№/ коносамента],"",0,1)</f>
        <v/>
      </c>
      <c r="O113" s="8" t="e">
        <f>(_xlfn.XLOOKUP($A113,Centrum[Индекс],Centrum[Date on board / Дата погрузки на судно],"",0,1))*1</f>
        <v>#VALUE!</v>
      </c>
      <c r="P113" s="8" t="e">
        <f>(_xlfn.XLOOKUP($A113,Centrum[Индекс],Centrum[Date of arrival to Sary-Agach/ Дата прибытия на Сары-Агач],"",0,1))*1</f>
        <v>#VALUE!</v>
      </c>
      <c r="Q113" s="14" t="str">
        <f>_xlfn.XLOOKUP($A113,Centrum[Индекс],Centrum[Container type/ 
Тип контейнера],"",0,1)</f>
        <v/>
      </c>
      <c r="R113" s="16">
        <f>_xlfn.XLOOKUP($A113,Centrum[Индекс],Centrum[Transportation cost per supplier/ 
Cтоимость перевозки по поставщикам],0,0,1)</f>
        <v>0</v>
      </c>
      <c r="S113" s="16">
        <f>Шаблон_Формулы!$T113-Шаблон_Формулы!$R113</f>
        <v>0</v>
      </c>
      <c r="T113" s="16">
        <f>_xlfn.XLOOKUP($A113,Centrum[Индекс],Centrum[Transportation total amount / Общая стоимость перевозки],0,0,1)</f>
        <v>0</v>
      </c>
      <c r="U113" s="12" cm="1">
        <f t="array" ref="U11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3" s="16">
        <f>_xlfn.XLOOKUP(Шаблон_Формулы[[#This Row],[21]],Курс_USD[Дата],Курс_USD[Курс],,0,1)</f>
        <v>12228.05</v>
      </c>
      <c r="W113" s="16">
        <f>Шаблон_Формулы!$T113*Шаблон_Формулы!$V113</f>
        <v>0</v>
      </c>
      <c r="Y113" s="16">
        <f>Шаблон_Формулы!$W113+Шаблон_Формулы!$X113</f>
        <v>0</v>
      </c>
      <c r="Z113" s="14" t="str">
        <f>_xlfn.XLOOKUP($A113,Centrum[Индекс],Centrum[Transport co invoice no/ 
Номер инвойса ТК],"",0,1)</f>
        <v/>
      </c>
    </row>
    <row r="114" spans="1:26" s="11" customFormat="1" x14ac:dyDescent="0.3">
      <c r="A114" s="14">
        <v>110</v>
      </c>
      <c r="B114" s="11" t="str">
        <f>_xlfn.XLOOKUP($A114,Centrum[Индекс],Centrum[Carrier/ Перевозчик],"",0,1)</f>
        <v/>
      </c>
      <c r="C114" s="11" t="str">
        <f>_xlfn.XLOOKUP($A114,Centrum[Индекс],Centrum[Country /  Страна],"",0,1)</f>
        <v/>
      </c>
      <c r="D114" s="11" t="str">
        <f>_xlfn.XLOOKUP($A114,Centrum[Индекс],Centrum[Container num./ 
№ контейнера],"",0,1)</f>
        <v/>
      </c>
      <c r="E114" s="11" t="str">
        <f>_xlfn.XLOOKUP($A114,Centrum[Индекс],Centrum[Supplier/
Поставщик],"",0,1)</f>
        <v/>
      </c>
      <c r="F114" s="11" t="str">
        <f>_xlfn.XLOOKUP($A114,Centrum[Индекс],Centrum[Shippers invoice no/ 
Номер инвойса поставщика],"",1)</f>
        <v/>
      </c>
      <c r="G114" s="15" t="str">
        <f>_xlfn.XLOOKUP($A114,Centrum[Индекс],Centrum[Invoice value / Стоимость груза в к-ре по инвойсу],"",0,1)</f>
        <v/>
      </c>
      <c r="H114" s="14" t="s">
        <v>40</v>
      </c>
      <c r="I114" s="11" t="str">
        <f>_xlfn.XLOOKUP($A114,Centrum[Индекс],Centrum[CBM on the shipper/ 
CBM по поставщику],"",0,1)</f>
        <v/>
      </c>
      <c r="J114" s="16" t="str">
        <f>_xlfn.XLOOKUP($A114,Centrum[Индекс],Centrum[Gross weight of cont// 
Гросс.вес по конт.],"",0,1)</f>
        <v/>
      </c>
      <c r="K114" s="17" t="str">
        <f>_xlfn.XLOOKUP($A114,Centrum[Индекс],Centrum[Route/ Маршрут (TSR/TCR)],"",0,1)</f>
        <v/>
      </c>
      <c r="L114" s="11" t="str">
        <f>_xlfn.XLOOKUP($A114,Centrum[Индекс],Centrum[Условия поставки],"",0,1)</f>
        <v/>
      </c>
      <c r="M114" s="11" t="str">
        <f>_xlfn.XLOOKUP($A114,Centrum[Индекс],Centrum[№ HBL date / 
№/ дата коносамента],"",0,1)</f>
        <v/>
      </c>
      <c r="N114" s="11" t="str">
        <f>_xlfn.XLOOKUP($A114,Centrum[Индекс],Centrum[№ MBL / 
№/ коносамента],"",0,1)</f>
        <v/>
      </c>
      <c r="O114" s="8" t="e">
        <f>(_xlfn.XLOOKUP($A114,Centrum[Индекс],Centrum[Date on board / Дата погрузки на судно],"",0,1))*1</f>
        <v>#VALUE!</v>
      </c>
      <c r="P114" s="8" t="e">
        <f>(_xlfn.XLOOKUP($A114,Centrum[Индекс],Centrum[Date of arrival to Sary-Agach/ Дата прибытия на Сары-Агач],"",0,1))*1</f>
        <v>#VALUE!</v>
      </c>
      <c r="Q114" s="14" t="str">
        <f>_xlfn.XLOOKUP($A114,Centrum[Индекс],Centrum[Container type/ 
Тип контейнера],"",0,1)</f>
        <v/>
      </c>
      <c r="R114" s="16">
        <f>_xlfn.XLOOKUP($A114,Centrum[Индекс],Centrum[Transportation cost per supplier/ 
Cтоимость перевозки по поставщикам],0,0,1)</f>
        <v>0</v>
      </c>
      <c r="S114" s="16">
        <f>Шаблон_Формулы!$T114-Шаблон_Формулы!$R114</f>
        <v>0</v>
      </c>
      <c r="T114" s="16">
        <f>_xlfn.XLOOKUP($A114,Centrum[Индекс],Centrum[Transportation total amount / Общая стоимость перевозки],0,0,1)</f>
        <v>0</v>
      </c>
      <c r="U114" s="12" cm="1">
        <f t="array" ref="U11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4" s="16">
        <f>_xlfn.XLOOKUP(Шаблон_Формулы[[#This Row],[21]],Курс_USD[Дата],Курс_USD[Курс],,0,1)</f>
        <v>12228.05</v>
      </c>
      <c r="W114" s="16">
        <f>Шаблон_Формулы!$T114*Шаблон_Формулы!$V114</f>
        <v>0</v>
      </c>
      <c r="Y114" s="16">
        <f>Шаблон_Формулы!$W114+Шаблон_Формулы!$X114</f>
        <v>0</v>
      </c>
      <c r="Z114" s="14" t="str">
        <f>_xlfn.XLOOKUP($A114,Centrum[Индекс],Centrum[Transport co invoice no/ 
Номер инвойса ТК],"",0,1)</f>
        <v/>
      </c>
    </row>
    <row r="115" spans="1:26" s="11" customFormat="1" x14ac:dyDescent="0.3">
      <c r="A115" s="14">
        <v>111</v>
      </c>
      <c r="B115" s="11" t="str">
        <f>_xlfn.XLOOKUP($A115,Centrum[Индекс],Centrum[Carrier/ Перевозчик],"",0,1)</f>
        <v/>
      </c>
      <c r="C115" s="11" t="str">
        <f>_xlfn.XLOOKUP($A115,Centrum[Индекс],Centrum[Country /  Страна],"",0,1)</f>
        <v/>
      </c>
      <c r="D115" s="11" t="str">
        <f>_xlfn.XLOOKUP($A115,Centrum[Индекс],Centrum[Container num./ 
№ контейнера],"",0,1)</f>
        <v/>
      </c>
      <c r="E115" s="11" t="str">
        <f>_xlfn.XLOOKUP($A115,Centrum[Индекс],Centrum[Supplier/
Поставщик],"",0,1)</f>
        <v/>
      </c>
      <c r="F115" s="11" t="str">
        <f>_xlfn.XLOOKUP($A115,Centrum[Индекс],Centrum[Shippers invoice no/ 
Номер инвойса поставщика],"",1)</f>
        <v/>
      </c>
      <c r="G115" s="15" t="str">
        <f>_xlfn.XLOOKUP($A115,Centrum[Индекс],Centrum[Invoice value / Стоимость груза в к-ре по инвойсу],"",0,1)</f>
        <v/>
      </c>
      <c r="H115" s="14" t="s">
        <v>40</v>
      </c>
      <c r="I115" s="11" t="str">
        <f>_xlfn.XLOOKUP($A115,Centrum[Индекс],Centrum[CBM on the shipper/ 
CBM по поставщику],"",0,1)</f>
        <v/>
      </c>
      <c r="J115" s="16" t="str">
        <f>_xlfn.XLOOKUP($A115,Centrum[Индекс],Centrum[Gross weight of cont// 
Гросс.вес по конт.],"",0,1)</f>
        <v/>
      </c>
      <c r="K115" s="17" t="str">
        <f>_xlfn.XLOOKUP($A115,Centrum[Индекс],Centrum[Route/ Маршрут (TSR/TCR)],"",0,1)</f>
        <v/>
      </c>
      <c r="L115" s="11" t="str">
        <f>_xlfn.XLOOKUP($A115,Centrum[Индекс],Centrum[Условия поставки],"",0,1)</f>
        <v/>
      </c>
      <c r="M115" s="11" t="str">
        <f>_xlfn.XLOOKUP($A115,Centrum[Индекс],Centrum[№ HBL date / 
№/ дата коносамента],"",0,1)</f>
        <v/>
      </c>
      <c r="N115" s="11" t="str">
        <f>_xlfn.XLOOKUP($A115,Centrum[Индекс],Centrum[№ MBL / 
№/ коносамента],"",0,1)</f>
        <v/>
      </c>
      <c r="O115" s="8" t="e">
        <f>(_xlfn.XLOOKUP($A115,Centrum[Индекс],Centrum[Date on board / Дата погрузки на судно],"",0,1))*1</f>
        <v>#VALUE!</v>
      </c>
      <c r="P115" s="8" t="e">
        <f>(_xlfn.XLOOKUP($A115,Centrum[Индекс],Centrum[Date of arrival to Sary-Agach/ Дата прибытия на Сары-Агач],"",0,1))*1</f>
        <v>#VALUE!</v>
      </c>
      <c r="Q115" s="14" t="str">
        <f>_xlfn.XLOOKUP($A115,Centrum[Индекс],Centrum[Container type/ 
Тип контейнера],"",0,1)</f>
        <v/>
      </c>
      <c r="R115" s="16">
        <f>_xlfn.XLOOKUP($A115,Centrum[Индекс],Centrum[Transportation cost per supplier/ 
Cтоимость перевозки по поставщикам],0,0,1)</f>
        <v>0</v>
      </c>
      <c r="S115" s="16">
        <f>Шаблон_Формулы!$T115-Шаблон_Формулы!$R115</f>
        <v>0</v>
      </c>
      <c r="T115" s="16">
        <f>_xlfn.XLOOKUP($A115,Centrum[Индекс],Centrum[Transportation total amount / Общая стоимость перевозки],0,0,1)</f>
        <v>0</v>
      </c>
      <c r="U115" s="12" cm="1">
        <f t="array" ref="U11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5" s="16">
        <f>_xlfn.XLOOKUP(Шаблон_Формулы[[#This Row],[21]],Курс_USD[Дата],Курс_USD[Курс],,0,1)</f>
        <v>12228.05</v>
      </c>
      <c r="W115" s="16">
        <f>Шаблон_Формулы!$T115*Шаблон_Формулы!$V115</f>
        <v>0</v>
      </c>
      <c r="Y115" s="16">
        <f>Шаблон_Формулы!$W115+Шаблон_Формулы!$X115</f>
        <v>0</v>
      </c>
      <c r="Z115" s="14" t="str">
        <f>_xlfn.XLOOKUP($A115,Centrum[Индекс],Centrum[Transport co invoice no/ 
Номер инвойса ТК],"",0,1)</f>
        <v/>
      </c>
    </row>
    <row r="116" spans="1:26" s="11" customFormat="1" x14ac:dyDescent="0.3">
      <c r="A116" s="14">
        <v>112</v>
      </c>
      <c r="B116" s="11" t="str">
        <f>_xlfn.XLOOKUP($A116,Centrum[Индекс],Centrum[Carrier/ Перевозчик],"",0,1)</f>
        <v/>
      </c>
      <c r="C116" s="11" t="str">
        <f>_xlfn.XLOOKUP($A116,Centrum[Индекс],Centrum[Country /  Страна],"",0,1)</f>
        <v/>
      </c>
      <c r="D116" s="11" t="str">
        <f>_xlfn.XLOOKUP($A116,Centrum[Индекс],Centrum[Container num./ 
№ контейнера],"",0,1)</f>
        <v/>
      </c>
      <c r="E116" s="11" t="str">
        <f>_xlfn.XLOOKUP($A116,Centrum[Индекс],Centrum[Supplier/
Поставщик],"",0,1)</f>
        <v/>
      </c>
      <c r="F116" s="11" t="str">
        <f>_xlfn.XLOOKUP($A116,Centrum[Индекс],Centrum[Shippers invoice no/ 
Номер инвойса поставщика],"",1)</f>
        <v/>
      </c>
      <c r="G116" s="15" t="str">
        <f>_xlfn.XLOOKUP($A116,Centrum[Индекс],Centrum[Invoice value / Стоимость груза в к-ре по инвойсу],"",0,1)</f>
        <v/>
      </c>
      <c r="H116" s="14" t="s">
        <v>40</v>
      </c>
      <c r="I116" s="11" t="str">
        <f>_xlfn.XLOOKUP($A116,Centrum[Индекс],Centrum[CBM on the shipper/ 
CBM по поставщику],"",0,1)</f>
        <v/>
      </c>
      <c r="J116" s="16" t="str">
        <f>_xlfn.XLOOKUP($A116,Centrum[Индекс],Centrum[Gross weight of cont// 
Гросс.вес по конт.],"",0,1)</f>
        <v/>
      </c>
      <c r="K116" s="17" t="str">
        <f>_xlfn.XLOOKUP($A116,Centrum[Индекс],Centrum[Route/ Маршрут (TSR/TCR)],"",0,1)</f>
        <v/>
      </c>
      <c r="L116" s="11" t="str">
        <f>_xlfn.XLOOKUP($A116,Centrum[Индекс],Centrum[Условия поставки],"",0,1)</f>
        <v/>
      </c>
      <c r="M116" s="11" t="str">
        <f>_xlfn.XLOOKUP($A116,Centrum[Индекс],Centrum[№ HBL date / 
№/ дата коносамента],"",0,1)</f>
        <v/>
      </c>
      <c r="N116" s="11" t="str">
        <f>_xlfn.XLOOKUP($A116,Centrum[Индекс],Centrum[№ MBL / 
№/ коносамента],"",0,1)</f>
        <v/>
      </c>
      <c r="O116" s="8" t="e">
        <f>(_xlfn.XLOOKUP($A116,Centrum[Индекс],Centrum[Date on board / Дата погрузки на судно],"",0,1))*1</f>
        <v>#VALUE!</v>
      </c>
      <c r="P116" s="8" t="e">
        <f>(_xlfn.XLOOKUP($A116,Centrum[Индекс],Centrum[Date of arrival to Sary-Agach/ Дата прибытия на Сары-Агач],"",0,1))*1</f>
        <v>#VALUE!</v>
      </c>
      <c r="Q116" s="14" t="str">
        <f>_xlfn.XLOOKUP($A116,Centrum[Индекс],Centrum[Container type/ 
Тип контейнера],"",0,1)</f>
        <v/>
      </c>
      <c r="R116" s="16">
        <f>_xlfn.XLOOKUP($A116,Centrum[Индекс],Centrum[Transportation cost per supplier/ 
Cтоимость перевозки по поставщикам],0,0,1)</f>
        <v>0</v>
      </c>
      <c r="S116" s="16">
        <f>Шаблон_Формулы!$T116-Шаблон_Формулы!$R116</f>
        <v>0</v>
      </c>
      <c r="T116" s="16">
        <f>_xlfn.XLOOKUP($A116,Centrum[Индекс],Centrum[Transportation total amount / Общая стоимость перевозки],0,0,1)</f>
        <v>0</v>
      </c>
      <c r="U116" s="12" cm="1">
        <f t="array" ref="U11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6" s="16">
        <f>_xlfn.XLOOKUP(Шаблон_Формулы[[#This Row],[21]],Курс_USD[Дата],Курс_USD[Курс],,0,1)</f>
        <v>12228.05</v>
      </c>
      <c r="W116" s="16">
        <f>Шаблон_Формулы!$T116*Шаблон_Формулы!$V116</f>
        <v>0</v>
      </c>
      <c r="Y116" s="16">
        <f>Шаблон_Формулы!$W116+Шаблон_Формулы!$X116</f>
        <v>0</v>
      </c>
      <c r="Z116" s="14" t="str">
        <f>_xlfn.XLOOKUP($A116,Centrum[Индекс],Centrum[Transport co invoice no/ 
Номер инвойса ТК],"",0,1)</f>
        <v/>
      </c>
    </row>
    <row r="117" spans="1:26" s="11" customFormat="1" x14ac:dyDescent="0.3">
      <c r="A117" s="14">
        <v>113</v>
      </c>
      <c r="B117" s="11" t="str">
        <f>_xlfn.XLOOKUP($A117,Centrum[Индекс],Centrum[Carrier/ Перевозчик],"",0,1)</f>
        <v/>
      </c>
      <c r="C117" s="11" t="str">
        <f>_xlfn.XLOOKUP($A117,Centrum[Индекс],Centrum[Country /  Страна],"",0,1)</f>
        <v/>
      </c>
      <c r="D117" s="11" t="str">
        <f>_xlfn.XLOOKUP($A117,Centrum[Индекс],Centrum[Container num./ 
№ контейнера],"",0,1)</f>
        <v/>
      </c>
      <c r="E117" s="11" t="str">
        <f>_xlfn.XLOOKUP($A117,Centrum[Индекс],Centrum[Supplier/
Поставщик],"",0,1)</f>
        <v/>
      </c>
      <c r="F117" s="11" t="str">
        <f>_xlfn.XLOOKUP($A117,Centrum[Индекс],Centrum[Shippers invoice no/ 
Номер инвойса поставщика],"",1)</f>
        <v/>
      </c>
      <c r="G117" s="15" t="str">
        <f>_xlfn.XLOOKUP($A117,Centrum[Индекс],Centrum[Invoice value / Стоимость груза в к-ре по инвойсу],"",0,1)</f>
        <v/>
      </c>
      <c r="H117" s="14" t="s">
        <v>40</v>
      </c>
      <c r="I117" s="11" t="str">
        <f>_xlfn.XLOOKUP($A117,Centrum[Индекс],Centrum[CBM on the shipper/ 
CBM по поставщику],"",0,1)</f>
        <v/>
      </c>
      <c r="J117" s="16" t="str">
        <f>_xlfn.XLOOKUP($A117,Centrum[Индекс],Centrum[Gross weight of cont// 
Гросс.вес по конт.],"",0,1)</f>
        <v/>
      </c>
      <c r="K117" s="17" t="str">
        <f>_xlfn.XLOOKUP($A117,Centrum[Индекс],Centrum[Route/ Маршрут (TSR/TCR)],"",0,1)</f>
        <v/>
      </c>
      <c r="L117" s="11" t="str">
        <f>_xlfn.XLOOKUP($A117,Centrum[Индекс],Centrum[Условия поставки],"",0,1)</f>
        <v/>
      </c>
      <c r="M117" s="11" t="str">
        <f>_xlfn.XLOOKUP($A117,Centrum[Индекс],Centrum[№ HBL date / 
№/ дата коносамента],"",0,1)</f>
        <v/>
      </c>
      <c r="N117" s="11" t="str">
        <f>_xlfn.XLOOKUP($A117,Centrum[Индекс],Centrum[№ MBL / 
№/ коносамента],"",0,1)</f>
        <v/>
      </c>
      <c r="O117" s="8" t="e">
        <f>(_xlfn.XLOOKUP($A117,Centrum[Индекс],Centrum[Date on board / Дата погрузки на судно],"",0,1))*1</f>
        <v>#VALUE!</v>
      </c>
      <c r="P117" s="8" t="e">
        <f>(_xlfn.XLOOKUP($A117,Centrum[Индекс],Centrum[Date of arrival to Sary-Agach/ Дата прибытия на Сары-Агач],"",0,1))*1</f>
        <v>#VALUE!</v>
      </c>
      <c r="Q117" s="14" t="str">
        <f>_xlfn.XLOOKUP($A117,Centrum[Индекс],Centrum[Container type/ 
Тип контейнера],"",0,1)</f>
        <v/>
      </c>
      <c r="R117" s="16">
        <f>_xlfn.XLOOKUP($A117,Centrum[Индекс],Centrum[Transportation cost per supplier/ 
Cтоимость перевозки по поставщикам],0,0,1)</f>
        <v>0</v>
      </c>
      <c r="S117" s="16">
        <f>Шаблон_Формулы!$T117-Шаблон_Формулы!$R117</f>
        <v>0</v>
      </c>
      <c r="T117" s="16">
        <f>_xlfn.XLOOKUP($A117,Centrum[Индекс],Centrum[Transportation total amount / Общая стоимость перевозки],0,0,1)</f>
        <v>0</v>
      </c>
      <c r="U117" s="12" cm="1">
        <f t="array" ref="U11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7" s="16">
        <f>_xlfn.XLOOKUP(Шаблон_Формулы[[#This Row],[21]],Курс_USD[Дата],Курс_USD[Курс],,0,1)</f>
        <v>12228.05</v>
      </c>
      <c r="W117" s="16">
        <f>Шаблон_Формулы!$T117*Шаблон_Формулы!$V117</f>
        <v>0</v>
      </c>
      <c r="Y117" s="16">
        <f>Шаблон_Формулы!$W117+Шаблон_Формулы!$X117</f>
        <v>0</v>
      </c>
      <c r="Z117" s="14" t="str">
        <f>_xlfn.XLOOKUP($A117,Centrum[Индекс],Centrum[Transport co invoice no/ 
Номер инвойса ТК],"",0,1)</f>
        <v/>
      </c>
    </row>
    <row r="118" spans="1:26" s="11" customFormat="1" x14ac:dyDescent="0.3">
      <c r="A118" s="14">
        <v>114</v>
      </c>
      <c r="B118" s="11" t="str">
        <f>_xlfn.XLOOKUP($A118,Centrum[Индекс],Centrum[Carrier/ Перевозчик],"",0,1)</f>
        <v/>
      </c>
      <c r="C118" s="11" t="str">
        <f>_xlfn.XLOOKUP($A118,Centrum[Индекс],Centrum[Country /  Страна],"",0,1)</f>
        <v/>
      </c>
      <c r="D118" s="11" t="str">
        <f>_xlfn.XLOOKUP($A118,Centrum[Индекс],Centrum[Container num./ 
№ контейнера],"",0,1)</f>
        <v/>
      </c>
      <c r="E118" s="11" t="str">
        <f>_xlfn.XLOOKUP($A118,Centrum[Индекс],Centrum[Supplier/
Поставщик],"",0,1)</f>
        <v/>
      </c>
      <c r="F118" s="11" t="str">
        <f>_xlfn.XLOOKUP($A118,Centrum[Индекс],Centrum[Shippers invoice no/ 
Номер инвойса поставщика],"",1)</f>
        <v/>
      </c>
      <c r="G118" s="15" t="str">
        <f>_xlfn.XLOOKUP($A118,Centrum[Индекс],Centrum[Invoice value / Стоимость груза в к-ре по инвойсу],"",0,1)</f>
        <v/>
      </c>
      <c r="H118" s="14" t="s">
        <v>40</v>
      </c>
      <c r="I118" s="11" t="str">
        <f>_xlfn.XLOOKUP($A118,Centrum[Индекс],Centrum[CBM on the shipper/ 
CBM по поставщику],"",0,1)</f>
        <v/>
      </c>
      <c r="J118" s="16" t="str">
        <f>_xlfn.XLOOKUP($A118,Centrum[Индекс],Centrum[Gross weight of cont// 
Гросс.вес по конт.],"",0,1)</f>
        <v/>
      </c>
      <c r="K118" s="17" t="str">
        <f>_xlfn.XLOOKUP($A118,Centrum[Индекс],Centrum[Route/ Маршрут (TSR/TCR)],"",0,1)</f>
        <v/>
      </c>
      <c r="L118" s="11" t="str">
        <f>_xlfn.XLOOKUP($A118,Centrum[Индекс],Centrum[Условия поставки],"",0,1)</f>
        <v/>
      </c>
      <c r="M118" s="11" t="str">
        <f>_xlfn.XLOOKUP($A118,Centrum[Индекс],Centrum[№ HBL date / 
№/ дата коносамента],"",0,1)</f>
        <v/>
      </c>
      <c r="N118" s="11" t="str">
        <f>_xlfn.XLOOKUP($A118,Centrum[Индекс],Centrum[№ MBL / 
№/ коносамента],"",0,1)</f>
        <v/>
      </c>
      <c r="O118" s="8" t="e">
        <f>(_xlfn.XLOOKUP($A118,Centrum[Индекс],Centrum[Date on board / Дата погрузки на судно],"",0,1))*1</f>
        <v>#VALUE!</v>
      </c>
      <c r="P118" s="8" t="e">
        <f>(_xlfn.XLOOKUP($A118,Centrum[Индекс],Centrum[Date of arrival to Sary-Agach/ Дата прибытия на Сары-Агач],"",0,1))*1</f>
        <v>#VALUE!</v>
      </c>
      <c r="Q118" s="14" t="str">
        <f>_xlfn.XLOOKUP($A118,Centrum[Индекс],Centrum[Container type/ 
Тип контейнера],"",0,1)</f>
        <v/>
      </c>
      <c r="R118" s="16">
        <f>_xlfn.XLOOKUP($A118,Centrum[Индекс],Centrum[Transportation cost per supplier/ 
Cтоимость перевозки по поставщикам],0,0,1)</f>
        <v>0</v>
      </c>
      <c r="S118" s="16">
        <f>Шаблон_Формулы!$T118-Шаблон_Формулы!$R118</f>
        <v>0</v>
      </c>
      <c r="T118" s="16">
        <f>_xlfn.XLOOKUP($A118,Centrum[Индекс],Centrum[Transportation total amount / Общая стоимость перевозки],0,0,1)</f>
        <v>0</v>
      </c>
      <c r="U118" s="12" cm="1">
        <f t="array" ref="U11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8" s="16">
        <f>_xlfn.XLOOKUP(Шаблон_Формулы[[#This Row],[21]],Курс_USD[Дата],Курс_USD[Курс],,0,1)</f>
        <v>12228.05</v>
      </c>
      <c r="W118" s="16">
        <f>Шаблон_Формулы!$T118*Шаблон_Формулы!$V118</f>
        <v>0</v>
      </c>
      <c r="Y118" s="16">
        <f>Шаблон_Формулы!$W118+Шаблон_Формулы!$X118</f>
        <v>0</v>
      </c>
      <c r="Z118" s="14" t="str">
        <f>_xlfn.XLOOKUP($A118,Centrum[Индекс],Centrum[Transport co invoice no/ 
Номер инвойса ТК],"",0,1)</f>
        <v/>
      </c>
    </row>
    <row r="119" spans="1:26" s="11" customFormat="1" x14ac:dyDescent="0.3">
      <c r="A119" s="14">
        <v>115</v>
      </c>
      <c r="B119" s="11" t="str">
        <f>_xlfn.XLOOKUP($A119,Centrum[Индекс],Centrum[Carrier/ Перевозчик],"",0,1)</f>
        <v/>
      </c>
      <c r="C119" s="11" t="str">
        <f>_xlfn.XLOOKUP($A119,Centrum[Индекс],Centrum[Country /  Страна],"",0,1)</f>
        <v/>
      </c>
      <c r="D119" s="11" t="str">
        <f>_xlfn.XLOOKUP($A119,Centrum[Индекс],Centrum[Container num./ 
№ контейнера],"",0,1)</f>
        <v/>
      </c>
      <c r="E119" s="11" t="str">
        <f>_xlfn.XLOOKUP($A119,Centrum[Индекс],Centrum[Supplier/
Поставщик],"",0,1)</f>
        <v/>
      </c>
      <c r="F119" s="11" t="str">
        <f>_xlfn.XLOOKUP($A119,Centrum[Индекс],Centrum[Shippers invoice no/ 
Номер инвойса поставщика],"",1)</f>
        <v/>
      </c>
      <c r="G119" s="15" t="str">
        <f>_xlfn.XLOOKUP($A119,Centrum[Индекс],Centrum[Invoice value / Стоимость груза в к-ре по инвойсу],"",0,1)</f>
        <v/>
      </c>
      <c r="H119" s="14" t="s">
        <v>40</v>
      </c>
      <c r="I119" s="11" t="str">
        <f>_xlfn.XLOOKUP($A119,Centrum[Индекс],Centrum[CBM on the shipper/ 
CBM по поставщику],"",0,1)</f>
        <v/>
      </c>
      <c r="J119" s="16" t="str">
        <f>_xlfn.XLOOKUP($A119,Centrum[Индекс],Centrum[Gross weight of cont// 
Гросс.вес по конт.],"",0,1)</f>
        <v/>
      </c>
      <c r="K119" s="17" t="str">
        <f>_xlfn.XLOOKUP($A119,Centrum[Индекс],Centrum[Route/ Маршрут (TSR/TCR)],"",0,1)</f>
        <v/>
      </c>
      <c r="L119" s="11" t="str">
        <f>_xlfn.XLOOKUP($A119,Centrum[Индекс],Centrum[Условия поставки],"",0,1)</f>
        <v/>
      </c>
      <c r="M119" s="11" t="str">
        <f>_xlfn.XLOOKUP($A119,Centrum[Индекс],Centrum[№ HBL date / 
№/ дата коносамента],"",0,1)</f>
        <v/>
      </c>
      <c r="N119" s="11" t="str">
        <f>_xlfn.XLOOKUP($A119,Centrum[Индекс],Centrum[№ MBL / 
№/ коносамента],"",0,1)</f>
        <v/>
      </c>
      <c r="O119" s="8" t="e">
        <f>(_xlfn.XLOOKUP($A119,Centrum[Индекс],Centrum[Date on board / Дата погрузки на судно],"",0,1))*1</f>
        <v>#VALUE!</v>
      </c>
      <c r="P119" s="8" t="e">
        <f>(_xlfn.XLOOKUP($A119,Centrum[Индекс],Centrum[Date of arrival to Sary-Agach/ Дата прибытия на Сары-Агач],"",0,1))*1</f>
        <v>#VALUE!</v>
      </c>
      <c r="Q119" s="14" t="str">
        <f>_xlfn.XLOOKUP($A119,Centrum[Индекс],Centrum[Container type/ 
Тип контейнера],"",0,1)</f>
        <v/>
      </c>
      <c r="R119" s="16">
        <f>_xlfn.XLOOKUP($A119,Centrum[Индекс],Centrum[Transportation cost per supplier/ 
Cтоимость перевозки по поставщикам],0,0,1)</f>
        <v>0</v>
      </c>
      <c r="S119" s="16">
        <f>Шаблон_Формулы!$T119-Шаблон_Формулы!$R119</f>
        <v>0</v>
      </c>
      <c r="T119" s="16">
        <f>_xlfn.XLOOKUP($A119,Centrum[Индекс],Centrum[Transportation total amount / Общая стоимость перевозки],0,0,1)</f>
        <v>0</v>
      </c>
      <c r="U119" s="12" cm="1">
        <f t="array" ref="U11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19" s="16">
        <f>_xlfn.XLOOKUP(Шаблон_Формулы[[#This Row],[21]],Курс_USD[Дата],Курс_USD[Курс],,0,1)</f>
        <v>12228.05</v>
      </c>
      <c r="W119" s="16">
        <f>Шаблон_Формулы!$T119*Шаблон_Формулы!$V119</f>
        <v>0</v>
      </c>
      <c r="Y119" s="16">
        <f>Шаблон_Формулы!$W119+Шаблон_Формулы!$X119</f>
        <v>0</v>
      </c>
      <c r="Z119" s="14" t="str">
        <f>_xlfn.XLOOKUP($A119,Centrum[Индекс],Centrum[Transport co invoice no/ 
Номер инвойса ТК],"",0,1)</f>
        <v/>
      </c>
    </row>
    <row r="120" spans="1:26" s="11" customFormat="1" x14ac:dyDescent="0.3">
      <c r="A120" s="14">
        <v>116</v>
      </c>
      <c r="B120" s="11" t="str">
        <f>_xlfn.XLOOKUP($A120,Centrum[Индекс],Centrum[Carrier/ Перевозчик],"",0,1)</f>
        <v/>
      </c>
      <c r="C120" s="11" t="str">
        <f>_xlfn.XLOOKUP($A120,Centrum[Индекс],Centrum[Country /  Страна],"",0,1)</f>
        <v/>
      </c>
      <c r="D120" s="11" t="str">
        <f>_xlfn.XLOOKUP($A120,Centrum[Индекс],Centrum[Container num./ 
№ контейнера],"",0,1)</f>
        <v/>
      </c>
      <c r="E120" s="11" t="str">
        <f>_xlfn.XLOOKUP($A120,Centrum[Индекс],Centrum[Supplier/
Поставщик],"",0,1)</f>
        <v/>
      </c>
      <c r="F120" s="11" t="str">
        <f>_xlfn.XLOOKUP($A120,Centrum[Индекс],Centrum[Shippers invoice no/ 
Номер инвойса поставщика],"",1)</f>
        <v/>
      </c>
      <c r="G120" s="15" t="str">
        <f>_xlfn.XLOOKUP($A120,Centrum[Индекс],Centrum[Invoice value / Стоимость груза в к-ре по инвойсу],"",0,1)</f>
        <v/>
      </c>
      <c r="H120" s="14" t="s">
        <v>40</v>
      </c>
      <c r="I120" s="11" t="str">
        <f>_xlfn.XLOOKUP($A120,Centrum[Индекс],Centrum[CBM on the shipper/ 
CBM по поставщику],"",0,1)</f>
        <v/>
      </c>
      <c r="J120" s="16" t="str">
        <f>_xlfn.XLOOKUP($A120,Centrum[Индекс],Centrum[Gross weight of cont// 
Гросс.вес по конт.],"",0,1)</f>
        <v/>
      </c>
      <c r="K120" s="17" t="str">
        <f>_xlfn.XLOOKUP($A120,Centrum[Индекс],Centrum[Route/ Маршрут (TSR/TCR)],"",0,1)</f>
        <v/>
      </c>
      <c r="L120" s="11" t="str">
        <f>_xlfn.XLOOKUP($A120,Centrum[Индекс],Centrum[Условия поставки],"",0,1)</f>
        <v/>
      </c>
      <c r="M120" s="11" t="str">
        <f>_xlfn.XLOOKUP($A120,Centrum[Индекс],Centrum[№ HBL date / 
№/ дата коносамента],"",0,1)</f>
        <v/>
      </c>
      <c r="N120" s="11" t="str">
        <f>_xlfn.XLOOKUP($A120,Centrum[Индекс],Centrum[№ MBL / 
№/ коносамента],"",0,1)</f>
        <v/>
      </c>
      <c r="O120" s="8" t="e">
        <f>(_xlfn.XLOOKUP($A120,Centrum[Индекс],Centrum[Date on board / Дата погрузки на судно],"",0,1))*1</f>
        <v>#VALUE!</v>
      </c>
      <c r="P120" s="8" t="e">
        <f>(_xlfn.XLOOKUP($A120,Centrum[Индекс],Centrum[Date of arrival to Sary-Agach/ Дата прибытия на Сары-Агач],"",0,1))*1</f>
        <v>#VALUE!</v>
      </c>
      <c r="Q120" s="14" t="str">
        <f>_xlfn.XLOOKUP($A120,Centrum[Индекс],Centrum[Container type/ 
Тип контейнера],"",0,1)</f>
        <v/>
      </c>
      <c r="R120" s="16">
        <f>_xlfn.XLOOKUP($A120,Centrum[Индекс],Centrum[Transportation cost per supplier/ 
Cтоимость перевозки по поставщикам],0,0,1)</f>
        <v>0</v>
      </c>
      <c r="S120" s="16">
        <f>Шаблон_Формулы!$T120-Шаблон_Формулы!$R120</f>
        <v>0</v>
      </c>
      <c r="T120" s="16">
        <f>_xlfn.XLOOKUP($A120,Centrum[Индекс],Centrum[Transportation total amount / Общая стоимость перевозки],0,0,1)</f>
        <v>0</v>
      </c>
      <c r="U120" s="12" cm="1">
        <f t="array" ref="U12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0" s="16">
        <f>_xlfn.XLOOKUP(Шаблон_Формулы[[#This Row],[21]],Курс_USD[Дата],Курс_USD[Курс],,0,1)</f>
        <v>12228.05</v>
      </c>
      <c r="W120" s="16">
        <f>Шаблон_Формулы!$T120*Шаблон_Формулы!$V120</f>
        <v>0</v>
      </c>
      <c r="Y120" s="16">
        <f>Шаблон_Формулы!$W120+Шаблон_Формулы!$X120</f>
        <v>0</v>
      </c>
      <c r="Z120" s="14" t="str">
        <f>_xlfn.XLOOKUP($A120,Centrum[Индекс],Centrum[Transport co invoice no/ 
Номер инвойса ТК],"",0,1)</f>
        <v/>
      </c>
    </row>
    <row r="121" spans="1:26" s="11" customFormat="1" x14ac:dyDescent="0.3">
      <c r="A121" s="14">
        <v>117</v>
      </c>
      <c r="B121" s="11" t="str">
        <f>_xlfn.XLOOKUP($A121,Centrum[Индекс],Centrum[Carrier/ Перевозчик],"",0,1)</f>
        <v/>
      </c>
      <c r="C121" s="11" t="str">
        <f>_xlfn.XLOOKUP($A121,Centrum[Индекс],Centrum[Country /  Страна],"",0,1)</f>
        <v/>
      </c>
      <c r="D121" s="11" t="str">
        <f>_xlfn.XLOOKUP($A121,Centrum[Индекс],Centrum[Container num./ 
№ контейнера],"",0,1)</f>
        <v/>
      </c>
      <c r="E121" s="11" t="str">
        <f>_xlfn.XLOOKUP($A121,Centrum[Индекс],Centrum[Supplier/
Поставщик],"",0,1)</f>
        <v/>
      </c>
      <c r="F121" s="11" t="str">
        <f>_xlfn.XLOOKUP($A121,Centrum[Индекс],Centrum[Shippers invoice no/ 
Номер инвойса поставщика],"",1)</f>
        <v/>
      </c>
      <c r="G121" s="15" t="str">
        <f>_xlfn.XLOOKUP($A121,Centrum[Индекс],Centrum[Invoice value / Стоимость груза в к-ре по инвойсу],"",0,1)</f>
        <v/>
      </c>
      <c r="H121" s="14" t="s">
        <v>40</v>
      </c>
      <c r="I121" s="11" t="str">
        <f>_xlfn.XLOOKUP($A121,Centrum[Индекс],Centrum[CBM on the shipper/ 
CBM по поставщику],"",0,1)</f>
        <v/>
      </c>
      <c r="J121" s="16" t="str">
        <f>_xlfn.XLOOKUP($A121,Centrum[Индекс],Centrum[Gross weight of cont// 
Гросс.вес по конт.],"",0,1)</f>
        <v/>
      </c>
      <c r="K121" s="17" t="str">
        <f>_xlfn.XLOOKUP($A121,Centrum[Индекс],Centrum[Route/ Маршрут (TSR/TCR)],"",0,1)</f>
        <v/>
      </c>
      <c r="L121" s="11" t="str">
        <f>_xlfn.XLOOKUP($A121,Centrum[Индекс],Centrum[Условия поставки],"",0,1)</f>
        <v/>
      </c>
      <c r="M121" s="11" t="str">
        <f>_xlfn.XLOOKUP($A121,Centrum[Индекс],Centrum[№ HBL date / 
№/ дата коносамента],"",0,1)</f>
        <v/>
      </c>
      <c r="N121" s="11" t="str">
        <f>_xlfn.XLOOKUP($A121,Centrum[Индекс],Centrum[№ MBL / 
№/ коносамента],"",0,1)</f>
        <v/>
      </c>
      <c r="O121" s="8" t="e">
        <f>(_xlfn.XLOOKUP($A121,Centrum[Индекс],Centrum[Date on board / Дата погрузки на судно],"",0,1))*1</f>
        <v>#VALUE!</v>
      </c>
      <c r="P121" s="8" t="e">
        <f>(_xlfn.XLOOKUP($A121,Centrum[Индекс],Centrum[Date of arrival to Sary-Agach/ Дата прибытия на Сары-Агач],"",0,1))*1</f>
        <v>#VALUE!</v>
      </c>
      <c r="Q121" s="14" t="str">
        <f>_xlfn.XLOOKUP($A121,Centrum[Индекс],Centrum[Container type/ 
Тип контейнера],"",0,1)</f>
        <v/>
      </c>
      <c r="R121" s="16">
        <f>_xlfn.XLOOKUP($A121,Centrum[Индекс],Centrum[Transportation cost per supplier/ 
Cтоимость перевозки по поставщикам],0,0,1)</f>
        <v>0</v>
      </c>
      <c r="S121" s="16">
        <f>Шаблон_Формулы!$T121-Шаблон_Формулы!$R121</f>
        <v>0</v>
      </c>
      <c r="T121" s="16">
        <f>_xlfn.XLOOKUP($A121,Centrum[Индекс],Centrum[Transportation total amount / Общая стоимость перевозки],0,0,1)</f>
        <v>0</v>
      </c>
      <c r="U121" s="12" cm="1">
        <f t="array" ref="U12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1" s="16">
        <f>_xlfn.XLOOKUP(Шаблон_Формулы[[#This Row],[21]],Курс_USD[Дата],Курс_USD[Курс],,0,1)</f>
        <v>12228.05</v>
      </c>
      <c r="W121" s="16">
        <f>Шаблон_Формулы!$T121*Шаблон_Формулы!$V121</f>
        <v>0</v>
      </c>
      <c r="Y121" s="16">
        <f>Шаблон_Формулы!$W121+Шаблон_Формулы!$X121</f>
        <v>0</v>
      </c>
      <c r="Z121" s="14" t="str">
        <f>_xlfn.XLOOKUP($A121,Centrum[Индекс],Centrum[Transport co invoice no/ 
Номер инвойса ТК],"",0,1)</f>
        <v/>
      </c>
    </row>
    <row r="122" spans="1:26" s="11" customFormat="1" x14ac:dyDescent="0.3">
      <c r="A122" s="14">
        <v>118</v>
      </c>
      <c r="B122" s="11" t="str">
        <f>_xlfn.XLOOKUP($A122,Centrum[Индекс],Centrum[Carrier/ Перевозчик],"",0,1)</f>
        <v/>
      </c>
      <c r="C122" s="11" t="str">
        <f>_xlfn.XLOOKUP($A122,Centrum[Индекс],Centrum[Country /  Страна],"",0,1)</f>
        <v/>
      </c>
      <c r="D122" s="11" t="str">
        <f>_xlfn.XLOOKUP($A122,Centrum[Индекс],Centrum[Container num./ 
№ контейнера],"",0,1)</f>
        <v/>
      </c>
      <c r="E122" s="11" t="str">
        <f>_xlfn.XLOOKUP($A122,Centrum[Индекс],Centrum[Supplier/
Поставщик],"",0,1)</f>
        <v/>
      </c>
      <c r="F122" s="11" t="str">
        <f>_xlfn.XLOOKUP($A122,Centrum[Индекс],Centrum[Shippers invoice no/ 
Номер инвойса поставщика],"",1)</f>
        <v/>
      </c>
      <c r="G122" s="15" t="str">
        <f>_xlfn.XLOOKUP($A122,Centrum[Индекс],Centrum[Invoice value / Стоимость груза в к-ре по инвойсу],"",0,1)</f>
        <v/>
      </c>
      <c r="H122" s="14" t="s">
        <v>40</v>
      </c>
      <c r="I122" s="11" t="str">
        <f>_xlfn.XLOOKUP($A122,Centrum[Индекс],Centrum[CBM on the shipper/ 
CBM по поставщику],"",0,1)</f>
        <v/>
      </c>
      <c r="J122" s="16" t="str">
        <f>_xlfn.XLOOKUP($A122,Centrum[Индекс],Centrum[Gross weight of cont// 
Гросс.вес по конт.],"",0,1)</f>
        <v/>
      </c>
      <c r="K122" s="17" t="str">
        <f>_xlfn.XLOOKUP($A122,Centrum[Индекс],Centrum[Route/ Маршрут (TSR/TCR)],"",0,1)</f>
        <v/>
      </c>
      <c r="L122" s="11" t="str">
        <f>_xlfn.XLOOKUP($A122,Centrum[Индекс],Centrum[Условия поставки],"",0,1)</f>
        <v/>
      </c>
      <c r="M122" s="11" t="str">
        <f>_xlfn.XLOOKUP($A122,Centrum[Индекс],Centrum[№ HBL date / 
№/ дата коносамента],"",0,1)</f>
        <v/>
      </c>
      <c r="N122" s="11" t="str">
        <f>_xlfn.XLOOKUP($A122,Centrum[Индекс],Centrum[№ MBL / 
№/ коносамента],"",0,1)</f>
        <v/>
      </c>
      <c r="O122" s="8" t="e">
        <f>(_xlfn.XLOOKUP($A122,Centrum[Индекс],Centrum[Date on board / Дата погрузки на судно],"",0,1))*1</f>
        <v>#VALUE!</v>
      </c>
      <c r="P122" s="8" t="e">
        <f>(_xlfn.XLOOKUP($A122,Centrum[Индекс],Centrum[Date of arrival to Sary-Agach/ Дата прибытия на Сары-Агач],"",0,1))*1</f>
        <v>#VALUE!</v>
      </c>
      <c r="Q122" s="14" t="str">
        <f>_xlfn.XLOOKUP($A122,Centrum[Индекс],Centrum[Container type/ 
Тип контейнера],"",0,1)</f>
        <v/>
      </c>
      <c r="R122" s="16">
        <f>_xlfn.XLOOKUP($A122,Centrum[Индекс],Centrum[Transportation cost per supplier/ 
Cтоимость перевозки по поставщикам],0,0,1)</f>
        <v>0</v>
      </c>
      <c r="S122" s="16">
        <f>Шаблон_Формулы!$T122-Шаблон_Формулы!$R122</f>
        <v>0</v>
      </c>
      <c r="T122" s="16">
        <f>_xlfn.XLOOKUP($A122,Centrum[Индекс],Centrum[Transportation total amount / Общая стоимость перевозки],0,0,1)</f>
        <v>0</v>
      </c>
      <c r="U122" s="12" cm="1">
        <f t="array" ref="U12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2" s="16">
        <f>_xlfn.XLOOKUP(Шаблон_Формулы[[#This Row],[21]],Курс_USD[Дата],Курс_USD[Курс],,0,1)</f>
        <v>12228.05</v>
      </c>
      <c r="W122" s="16">
        <f>Шаблон_Формулы!$T122*Шаблон_Формулы!$V122</f>
        <v>0</v>
      </c>
      <c r="Y122" s="16">
        <f>Шаблон_Формулы!$W122+Шаблон_Формулы!$X122</f>
        <v>0</v>
      </c>
      <c r="Z122" s="14" t="str">
        <f>_xlfn.XLOOKUP($A122,Centrum[Индекс],Centrum[Transport co invoice no/ 
Номер инвойса ТК],"",0,1)</f>
        <v/>
      </c>
    </row>
    <row r="123" spans="1:26" s="11" customFormat="1" x14ac:dyDescent="0.3">
      <c r="A123" s="14">
        <v>119</v>
      </c>
      <c r="B123" s="11" t="str">
        <f>_xlfn.XLOOKUP($A123,Centrum[Индекс],Centrum[Carrier/ Перевозчик],"",0,1)</f>
        <v/>
      </c>
      <c r="C123" s="11" t="str">
        <f>_xlfn.XLOOKUP($A123,Centrum[Индекс],Centrum[Country /  Страна],"",0,1)</f>
        <v/>
      </c>
      <c r="D123" s="11" t="str">
        <f>_xlfn.XLOOKUP($A123,Centrum[Индекс],Centrum[Container num./ 
№ контейнера],"",0,1)</f>
        <v/>
      </c>
      <c r="E123" s="11" t="str">
        <f>_xlfn.XLOOKUP($A123,Centrum[Индекс],Centrum[Supplier/
Поставщик],"",0,1)</f>
        <v/>
      </c>
      <c r="F123" s="11" t="str">
        <f>_xlfn.XLOOKUP($A123,Centrum[Индекс],Centrum[Shippers invoice no/ 
Номер инвойса поставщика],"",1)</f>
        <v/>
      </c>
      <c r="G123" s="15" t="str">
        <f>_xlfn.XLOOKUP($A123,Centrum[Индекс],Centrum[Invoice value / Стоимость груза в к-ре по инвойсу],"",0,1)</f>
        <v/>
      </c>
      <c r="H123" s="14" t="s">
        <v>40</v>
      </c>
      <c r="I123" s="11" t="str">
        <f>_xlfn.XLOOKUP($A123,Centrum[Индекс],Centrum[CBM on the shipper/ 
CBM по поставщику],"",0,1)</f>
        <v/>
      </c>
      <c r="J123" s="16" t="str">
        <f>_xlfn.XLOOKUP($A123,Centrum[Индекс],Centrum[Gross weight of cont// 
Гросс.вес по конт.],"",0,1)</f>
        <v/>
      </c>
      <c r="K123" s="17" t="str">
        <f>_xlfn.XLOOKUP($A123,Centrum[Индекс],Centrum[Route/ Маршрут (TSR/TCR)],"",0,1)</f>
        <v/>
      </c>
      <c r="L123" s="11" t="str">
        <f>_xlfn.XLOOKUP($A123,Centrum[Индекс],Centrum[Условия поставки],"",0,1)</f>
        <v/>
      </c>
      <c r="M123" s="11" t="str">
        <f>_xlfn.XLOOKUP($A123,Centrum[Индекс],Centrum[№ HBL date / 
№/ дата коносамента],"",0,1)</f>
        <v/>
      </c>
      <c r="N123" s="11" t="str">
        <f>_xlfn.XLOOKUP($A123,Centrum[Индекс],Centrum[№ MBL / 
№/ коносамента],"",0,1)</f>
        <v/>
      </c>
      <c r="O123" s="8" t="e">
        <f>(_xlfn.XLOOKUP($A123,Centrum[Индекс],Centrum[Date on board / Дата погрузки на судно],"",0,1))*1</f>
        <v>#VALUE!</v>
      </c>
      <c r="P123" s="8" t="e">
        <f>(_xlfn.XLOOKUP($A123,Centrum[Индекс],Centrum[Date of arrival to Sary-Agach/ Дата прибытия на Сары-Агач],"",0,1))*1</f>
        <v>#VALUE!</v>
      </c>
      <c r="Q123" s="14" t="str">
        <f>_xlfn.XLOOKUP($A123,Centrum[Индекс],Centrum[Container type/ 
Тип контейнера],"",0,1)</f>
        <v/>
      </c>
      <c r="R123" s="16">
        <f>_xlfn.XLOOKUP($A123,Centrum[Индекс],Centrum[Transportation cost per supplier/ 
Cтоимость перевозки по поставщикам],0,0,1)</f>
        <v>0</v>
      </c>
      <c r="S123" s="16">
        <f>Шаблон_Формулы!$T123-Шаблон_Формулы!$R123</f>
        <v>0</v>
      </c>
      <c r="T123" s="16">
        <f>_xlfn.XLOOKUP($A123,Centrum[Индекс],Centrum[Transportation total amount / Общая стоимость перевозки],0,0,1)</f>
        <v>0</v>
      </c>
      <c r="U123" s="12" cm="1">
        <f t="array" ref="U12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3" s="16">
        <f>_xlfn.XLOOKUP(Шаблон_Формулы[[#This Row],[21]],Курс_USD[Дата],Курс_USD[Курс],,0,1)</f>
        <v>12228.05</v>
      </c>
      <c r="W123" s="16">
        <f>Шаблон_Формулы!$T123*Шаблон_Формулы!$V123</f>
        <v>0</v>
      </c>
      <c r="Y123" s="16">
        <f>Шаблон_Формулы!$W123+Шаблон_Формулы!$X123</f>
        <v>0</v>
      </c>
      <c r="Z123" s="14" t="str">
        <f>_xlfn.XLOOKUP($A123,Centrum[Индекс],Centrum[Transport co invoice no/ 
Номер инвойса ТК],"",0,1)</f>
        <v/>
      </c>
    </row>
    <row r="124" spans="1:26" s="11" customFormat="1" x14ac:dyDescent="0.3">
      <c r="A124" s="14">
        <v>120</v>
      </c>
      <c r="B124" s="11" t="str">
        <f>_xlfn.XLOOKUP($A124,Centrum[Индекс],Centrum[Carrier/ Перевозчик],"",0,1)</f>
        <v/>
      </c>
      <c r="C124" s="11" t="str">
        <f>_xlfn.XLOOKUP($A124,Centrum[Индекс],Centrum[Country /  Страна],"",0,1)</f>
        <v/>
      </c>
      <c r="D124" s="11" t="str">
        <f>_xlfn.XLOOKUP($A124,Centrum[Индекс],Centrum[Container num./ 
№ контейнера],"",0,1)</f>
        <v/>
      </c>
      <c r="E124" s="11" t="str">
        <f>_xlfn.XLOOKUP($A124,Centrum[Индекс],Centrum[Supplier/
Поставщик],"",0,1)</f>
        <v/>
      </c>
      <c r="F124" s="11" t="str">
        <f>_xlfn.XLOOKUP($A124,Centrum[Индекс],Centrum[Shippers invoice no/ 
Номер инвойса поставщика],"",1)</f>
        <v/>
      </c>
      <c r="G124" s="15" t="str">
        <f>_xlfn.XLOOKUP($A124,Centrum[Индекс],Centrum[Invoice value / Стоимость груза в к-ре по инвойсу],"",0,1)</f>
        <v/>
      </c>
      <c r="H124" s="14" t="s">
        <v>40</v>
      </c>
      <c r="I124" s="11" t="str">
        <f>_xlfn.XLOOKUP($A124,Centrum[Индекс],Centrum[CBM on the shipper/ 
CBM по поставщику],"",0,1)</f>
        <v/>
      </c>
      <c r="J124" s="16" t="str">
        <f>_xlfn.XLOOKUP($A124,Centrum[Индекс],Centrum[Gross weight of cont// 
Гросс.вес по конт.],"",0,1)</f>
        <v/>
      </c>
      <c r="K124" s="17" t="str">
        <f>_xlfn.XLOOKUP($A124,Centrum[Индекс],Centrum[Route/ Маршрут (TSR/TCR)],"",0,1)</f>
        <v/>
      </c>
      <c r="L124" s="11" t="str">
        <f>_xlfn.XLOOKUP($A124,Centrum[Индекс],Centrum[Условия поставки],"",0,1)</f>
        <v/>
      </c>
      <c r="M124" s="11" t="str">
        <f>_xlfn.XLOOKUP($A124,Centrum[Индекс],Centrum[№ HBL date / 
№/ дата коносамента],"",0,1)</f>
        <v/>
      </c>
      <c r="N124" s="11" t="str">
        <f>_xlfn.XLOOKUP($A124,Centrum[Индекс],Centrum[№ MBL / 
№/ коносамента],"",0,1)</f>
        <v/>
      </c>
      <c r="O124" s="8" t="e">
        <f>(_xlfn.XLOOKUP($A124,Centrum[Индекс],Centrum[Date on board / Дата погрузки на судно],"",0,1))*1</f>
        <v>#VALUE!</v>
      </c>
      <c r="P124" s="8" t="e">
        <f>(_xlfn.XLOOKUP($A124,Centrum[Индекс],Centrum[Date of arrival to Sary-Agach/ Дата прибытия на Сары-Агач],"",0,1))*1</f>
        <v>#VALUE!</v>
      </c>
      <c r="Q124" s="14" t="str">
        <f>_xlfn.XLOOKUP($A124,Centrum[Индекс],Centrum[Container type/ 
Тип контейнера],"",0,1)</f>
        <v/>
      </c>
      <c r="R124" s="16">
        <f>_xlfn.XLOOKUP($A124,Centrum[Индекс],Centrum[Transportation cost per supplier/ 
Cтоимость перевозки по поставщикам],0,0,1)</f>
        <v>0</v>
      </c>
      <c r="S124" s="16">
        <f>Шаблон_Формулы!$T124-Шаблон_Формулы!$R124</f>
        <v>0</v>
      </c>
      <c r="T124" s="16">
        <f>_xlfn.XLOOKUP($A124,Centrum[Индекс],Centrum[Transportation total amount / Общая стоимость перевозки],0,0,1)</f>
        <v>0</v>
      </c>
      <c r="U124" s="12" cm="1">
        <f t="array" ref="U12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4" s="16">
        <f>_xlfn.XLOOKUP(Шаблон_Формулы[[#This Row],[21]],Курс_USD[Дата],Курс_USD[Курс],,0,1)</f>
        <v>12228.05</v>
      </c>
      <c r="W124" s="16">
        <f>Шаблон_Формулы!$T124*Шаблон_Формулы!$V124</f>
        <v>0</v>
      </c>
      <c r="Y124" s="16">
        <f>Шаблон_Формулы!$W124+Шаблон_Формулы!$X124</f>
        <v>0</v>
      </c>
      <c r="Z124" s="14" t="str">
        <f>_xlfn.XLOOKUP($A124,Centrum[Индекс],Centrum[Transport co invoice no/ 
Номер инвойса ТК],"",0,1)</f>
        <v/>
      </c>
    </row>
    <row r="125" spans="1:26" s="11" customFormat="1" x14ac:dyDescent="0.3">
      <c r="A125" s="14">
        <v>121</v>
      </c>
      <c r="B125" s="11" t="str">
        <f>_xlfn.XLOOKUP($A125,Centrum[Индекс],Centrum[Carrier/ Перевозчик],"",0,1)</f>
        <v/>
      </c>
      <c r="C125" s="11" t="str">
        <f>_xlfn.XLOOKUP($A125,Centrum[Индекс],Centrum[Country /  Страна],"",0,1)</f>
        <v/>
      </c>
      <c r="D125" s="11" t="str">
        <f>_xlfn.XLOOKUP($A125,Centrum[Индекс],Centrum[Container num./ 
№ контейнера],"",0,1)</f>
        <v/>
      </c>
      <c r="E125" s="11" t="str">
        <f>_xlfn.XLOOKUP($A125,Centrum[Индекс],Centrum[Supplier/
Поставщик],"",0,1)</f>
        <v/>
      </c>
      <c r="F125" s="11" t="str">
        <f>_xlfn.XLOOKUP($A125,Centrum[Индекс],Centrum[Shippers invoice no/ 
Номер инвойса поставщика],"",1)</f>
        <v/>
      </c>
      <c r="G125" s="15" t="str">
        <f>_xlfn.XLOOKUP($A125,Centrum[Индекс],Centrum[Invoice value / Стоимость груза в к-ре по инвойсу],"",0,1)</f>
        <v/>
      </c>
      <c r="H125" s="14" t="s">
        <v>40</v>
      </c>
      <c r="I125" s="11" t="str">
        <f>_xlfn.XLOOKUP($A125,Centrum[Индекс],Centrum[CBM on the shipper/ 
CBM по поставщику],"",0,1)</f>
        <v/>
      </c>
      <c r="J125" s="16" t="str">
        <f>_xlfn.XLOOKUP($A125,Centrum[Индекс],Centrum[Gross weight of cont// 
Гросс.вес по конт.],"",0,1)</f>
        <v/>
      </c>
      <c r="K125" s="17" t="str">
        <f>_xlfn.XLOOKUP($A125,Centrum[Индекс],Centrum[Route/ Маршрут (TSR/TCR)],"",0,1)</f>
        <v/>
      </c>
      <c r="L125" s="11" t="str">
        <f>_xlfn.XLOOKUP($A125,Centrum[Индекс],Centrum[Условия поставки],"",0,1)</f>
        <v/>
      </c>
      <c r="M125" s="11" t="str">
        <f>_xlfn.XLOOKUP($A125,Centrum[Индекс],Centrum[№ HBL date / 
№/ дата коносамента],"",0,1)</f>
        <v/>
      </c>
      <c r="N125" s="11" t="str">
        <f>_xlfn.XLOOKUP($A125,Centrum[Индекс],Centrum[№ MBL / 
№/ коносамента],"",0,1)</f>
        <v/>
      </c>
      <c r="O125" s="8" t="e">
        <f>(_xlfn.XLOOKUP($A125,Centrum[Индекс],Centrum[Date on board / Дата погрузки на судно],"",0,1))*1</f>
        <v>#VALUE!</v>
      </c>
      <c r="P125" s="8" t="e">
        <f>(_xlfn.XLOOKUP($A125,Centrum[Индекс],Centrum[Date of arrival to Sary-Agach/ Дата прибытия на Сары-Агач],"",0,1))*1</f>
        <v>#VALUE!</v>
      </c>
      <c r="Q125" s="14" t="str">
        <f>_xlfn.XLOOKUP($A125,Centrum[Индекс],Centrum[Container type/ 
Тип контейнера],"",0,1)</f>
        <v/>
      </c>
      <c r="R125" s="16">
        <f>_xlfn.XLOOKUP($A125,Centrum[Индекс],Centrum[Transportation cost per supplier/ 
Cтоимость перевозки по поставщикам],0,0,1)</f>
        <v>0</v>
      </c>
      <c r="S125" s="16">
        <f>Шаблон_Формулы!$T125-Шаблон_Формулы!$R125</f>
        <v>0</v>
      </c>
      <c r="T125" s="16">
        <f>_xlfn.XLOOKUP($A125,Centrum[Индекс],Centrum[Transportation total amount / Общая стоимость перевозки],0,0,1)</f>
        <v>0</v>
      </c>
      <c r="U125" s="12" cm="1">
        <f t="array" ref="U12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5" s="16">
        <f>_xlfn.XLOOKUP(Шаблон_Формулы[[#This Row],[21]],Курс_USD[Дата],Курс_USD[Курс],,0,1)</f>
        <v>12228.05</v>
      </c>
      <c r="W125" s="16">
        <f>Шаблон_Формулы!$T125*Шаблон_Формулы!$V125</f>
        <v>0</v>
      </c>
      <c r="Y125" s="16">
        <f>Шаблон_Формулы!$W125+Шаблон_Формулы!$X125</f>
        <v>0</v>
      </c>
      <c r="Z125" s="14" t="str">
        <f>_xlfn.XLOOKUP($A125,Centrum[Индекс],Centrum[Transport co invoice no/ 
Номер инвойса ТК],"",0,1)</f>
        <v/>
      </c>
    </row>
    <row r="126" spans="1:26" s="11" customFormat="1" x14ac:dyDescent="0.3">
      <c r="A126" s="14">
        <v>122</v>
      </c>
      <c r="B126" s="11" t="str">
        <f>_xlfn.XLOOKUP($A126,Centrum[Индекс],Centrum[Carrier/ Перевозчик],"",0,1)</f>
        <v/>
      </c>
      <c r="C126" s="11" t="str">
        <f>_xlfn.XLOOKUP($A126,Centrum[Индекс],Centrum[Country /  Страна],"",0,1)</f>
        <v/>
      </c>
      <c r="D126" s="11" t="str">
        <f>_xlfn.XLOOKUP($A126,Centrum[Индекс],Centrum[Container num./ 
№ контейнера],"",0,1)</f>
        <v/>
      </c>
      <c r="E126" s="11" t="str">
        <f>_xlfn.XLOOKUP($A126,Centrum[Индекс],Centrum[Supplier/
Поставщик],"",0,1)</f>
        <v/>
      </c>
      <c r="F126" s="11" t="str">
        <f>_xlfn.XLOOKUP($A126,Centrum[Индекс],Centrum[Shippers invoice no/ 
Номер инвойса поставщика],"",1)</f>
        <v/>
      </c>
      <c r="G126" s="15" t="str">
        <f>_xlfn.XLOOKUP($A126,Centrum[Индекс],Centrum[Invoice value / Стоимость груза в к-ре по инвойсу],"",0,1)</f>
        <v/>
      </c>
      <c r="H126" s="14" t="s">
        <v>40</v>
      </c>
      <c r="I126" s="11" t="str">
        <f>_xlfn.XLOOKUP($A126,Centrum[Индекс],Centrum[CBM on the shipper/ 
CBM по поставщику],"",0,1)</f>
        <v/>
      </c>
      <c r="J126" s="16" t="str">
        <f>_xlfn.XLOOKUP($A126,Centrum[Индекс],Centrum[Gross weight of cont// 
Гросс.вес по конт.],"",0,1)</f>
        <v/>
      </c>
      <c r="K126" s="17" t="str">
        <f>_xlfn.XLOOKUP($A126,Centrum[Индекс],Centrum[Route/ Маршрут (TSR/TCR)],"",0,1)</f>
        <v/>
      </c>
      <c r="L126" s="11" t="str">
        <f>_xlfn.XLOOKUP($A126,Centrum[Индекс],Centrum[Условия поставки],"",0,1)</f>
        <v/>
      </c>
      <c r="M126" s="11" t="str">
        <f>_xlfn.XLOOKUP($A126,Centrum[Индекс],Centrum[№ HBL date / 
№/ дата коносамента],"",0,1)</f>
        <v/>
      </c>
      <c r="N126" s="11" t="str">
        <f>_xlfn.XLOOKUP($A126,Centrum[Индекс],Centrum[№ MBL / 
№/ коносамента],"",0,1)</f>
        <v/>
      </c>
      <c r="O126" s="8" t="e">
        <f>(_xlfn.XLOOKUP($A126,Centrum[Индекс],Centrum[Date on board / Дата погрузки на судно],"",0,1))*1</f>
        <v>#VALUE!</v>
      </c>
      <c r="P126" s="8" t="e">
        <f>(_xlfn.XLOOKUP($A126,Centrum[Индекс],Centrum[Date of arrival to Sary-Agach/ Дата прибытия на Сары-Агач],"",0,1))*1</f>
        <v>#VALUE!</v>
      </c>
      <c r="Q126" s="14" t="str">
        <f>_xlfn.XLOOKUP($A126,Centrum[Индекс],Centrum[Container type/ 
Тип контейнера],"",0,1)</f>
        <v/>
      </c>
      <c r="R126" s="16">
        <f>_xlfn.XLOOKUP($A126,Centrum[Индекс],Centrum[Transportation cost per supplier/ 
Cтоимость перевозки по поставщикам],0,0,1)</f>
        <v>0</v>
      </c>
      <c r="S126" s="16">
        <f>Шаблон_Формулы!$T126-Шаблон_Формулы!$R126</f>
        <v>0</v>
      </c>
      <c r="T126" s="16">
        <f>_xlfn.XLOOKUP($A126,Centrum[Индекс],Centrum[Transportation total amount / Общая стоимость перевозки],0,0,1)</f>
        <v>0</v>
      </c>
      <c r="U126" s="12" cm="1">
        <f t="array" ref="U12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6" s="16">
        <f>_xlfn.XLOOKUP(Шаблон_Формулы[[#This Row],[21]],Курс_USD[Дата],Курс_USD[Курс],,0,1)</f>
        <v>12228.05</v>
      </c>
      <c r="W126" s="16">
        <f>Шаблон_Формулы!$T126*Шаблон_Формулы!$V126</f>
        <v>0</v>
      </c>
      <c r="Y126" s="16">
        <f>Шаблон_Формулы!$W126+Шаблон_Формулы!$X126</f>
        <v>0</v>
      </c>
      <c r="Z126" s="14" t="str">
        <f>_xlfn.XLOOKUP($A126,Centrum[Индекс],Centrum[Transport co invoice no/ 
Номер инвойса ТК],"",0,1)</f>
        <v/>
      </c>
    </row>
    <row r="127" spans="1:26" s="11" customFormat="1" x14ac:dyDescent="0.3">
      <c r="A127" s="14">
        <v>123</v>
      </c>
      <c r="B127" s="11" t="str">
        <f>_xlfn.XLOOKUP($A127,Centrum[Индекс],Centrum[Carrier/ Перевозчик],"",0,1)</f>
        <v/>
      </c>
      <c r="C127" s="11" t="str">
        <f>_xlfn.XLOOKUP($A127,Centrum[Индекс],Centrum[Country /  Страна],"",0,1)</f>
        <v/>
      </c>
      <c r="D127" s="11" t="str">
        <f>_xlfn.XLOOKUP($A127,Centrum[Индекс],Centrum[Container num./ 
№ контейнера],"",0,1)</f>
        <v/>
      </c>
      <c r="E127" s="11" t="str">
        <f>_xlfn.XLOOKUP($A127,Centrum[Индекс],Centrum[Supplier/
Поставщик],"",0,1)</f>
        <v/>
      </c>
      <c r="F127" s="11" t="str">
        <f>_xlfn.XLOOKUP($A127,Centrum[Индекс],Centrum[Shippers invoice no/ 
Номер инвойса поставщика],"",1)</f>
        <v/>
      </c>
      <c r="G127" s="15" t="str">
        <f>_xlfn.XLOOKUP($A127,Centrum[Индекс],Centrum[Invoice value / Стоимость груза в к-ре по инвойсу],"",0,1)</f>
        <v/>
      </c>
      <c r="H127" s="14" t="s">
        <v>40</v>
      </c>
      <c r="I127" s="11" t="str">
        <f>_xlfn.XLOOKUP($A127,Centrum[Индекс],Centrum[CBM on the shipper/ 
CBM по поставщику],"",0,1)</f>
        <v/>
      </c>
      <c r="J127" s="16" t="str">
        <f>_xlfn.XLOOKUP($A127,Centrum[Индекс],Centrum[Gross weight of cont// 
Гросс.вес по конт.],"",0,1)</f>
        <v/>
      </c>
      <c r="K127" s="17" t="str">
        <f>_xlfn.XLOOKUP($A127,Centrum[Индекс],Centrum[Route/ Маршрут (TSR/TCR)],"",0,1)</f>
        <v/>
      </c>
      <c r="L127" s="11" t="str">
        <f>_xlfn.XLOOKUP($A127,Centrum[Индекс],Centrum[Условия поставки],"",0,1)</f>
        <v/>
      </c>
      <c r="M127" s="11" t="str">
        <f>_xlfn.XLOOKUP($A127,Centrum[Индекс],Centrum[№ HBL date / 
№/ дата коносамента],"",0,1)</f>
        <v/>
      </c>
      <c r="N127" s="11" t="str">
        <f>_xlfn.XLOOKUP($A127,Centrum[Индекс],Centrum[№ MBL / 
№/ коносамента],"",0,1)</f>
        <v/>
      </c>
      <c r="O127" s="8" t="e">
        <f>(_xlfn.XLOOKUP($A127,Centrum[Индекс],Centrum[Date on board / Дата погрузки на судно],"",0,1))*1</f>
        <v>#VALUE!</v>
      </c>
      <c r="P127" s="8" t="e">
        <f>(_xlfn.XLOOKUP($A127,Centrum[Индекс],Centrum[Date of arrival to Sary-Agach/ Дата прибытия на Сары-Агач],"",0,1))*1</f>
        <v>#VALUE!</v>
      </c>
      <c r="Q127" s="14" t="str">
        <f>_xlfn.XLOOKUP($A127,Centrum[Индекс],Centrum[Container type/ 
Тип контейнера],"",0,1)</f>
        <v/>
      </c>
      <c r="R127" s="16">
        <f>_xlfn.XLOOKUP($A127,Centrum[Индекс],Centrum[Transportation cost per supplier/ 
Cтоимость перевозки по поставщикам],0,0,1)</f>
        <v>0</v>
      </c>
      <c r="S127" s="16">
        <f>Шаблон_Формулы!$T127-Шаблон_Формулы!$R127</f>
        <v>0</v>
      </c>
      <c r="T127" s="16">
        <f>_xlfn.XLOOKUP($A127,Centrum[Индекс],Centrum[Transportation total amount / Общая стоимость перевозки],0,0,1)</f>
        <v>0</v>
      </c>
      <c r="U127" s="12" cm="1">
        <f t="array" ref="U12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7" s="16">
        <f>_xlfn.XLOOKUP(Шаблон_Формулы[[#This Row],[21]],Курс_USD[Дата],Курс_USD[Курс],,0,1)</f>
        <v>12228.05</v>
      </c>
      <c r="W127" s="16">
        <f>Шаблон_Формулы!$T127*Шаблон_Формулы!$V127</f>
        <v>0</v>
      </c>
      <c r="Y127" s="16">
        <f>Шаблон_Формулы!$W127+Шаблон_Формулы!$X127</f>
        <v>0</v>
      </c>
      <c r="Z127" s="14" t="str">
        <f>_xlfn.XLOOKUP($A127,Centrum[Индекс],Centrum[Transport co invoice no/ 
Номер инвойса ТК],"",0,1)</f>
        <v/>
      </c>
    </row>
    <row r="128" spans="1:26" s="11" customFormat="1" x14ac:dyDescent="0.3">
      <c r="A128" s="14">
        <v>124</v>
      </c>
      <c r="B128" s="11" t="str">
        <f>_xlfn.XLOOKUP($A128,Centrum[Индекс],Centrum[Carrier/ Перевозчик],"",0,1)</f>
        <v/>
      </c>
      <c r="C128" s="11" t="str">
        <f>_xlfn.XLOOKUP($A128,Centrum[Индекс],Centrum[Country /  Страна],"",0,1)</f>
        <v/>
      </c>
      <c r="D128" s="11" t="str">
        <f>_xlfn.XLOOKUP($A128,Centrum[Индекс],Centrum[Container num./ 
№ контейнера],"",0,1)</f>
        <v/>
      </c>
      <c r="E128" s="11" t="str">
        <f>_xlfn.XLOOKUP($A128,Centrum[Индекс],Centrum[Supplier/
Поставщик],"",0,1)</f>
        <v/>
      </c>
      <c r="F128" s="11" t="str">
        <f>_xlfn.XLOOKUP($A128,Centrum[Индекс],Centrum[Shippers invoice no/ 
Номер инвойса поставщика],"",1)</f>
        <v/>
      </c>
      <c r="G128" s="15" t="str">
        <f>_xlfn.XLOOKUP($A128,Centrum[Индекс],Centrum[Invoice value / Стоимость груза в к-ре по инвойсу],"",0,1)</f>
        <v/>
      </c>
      <c r="H128" s="14" t="s">
        <v>40</v>
      </c>
      <c r="I128" s="11" t="str">
        <f>_xlfn.XLOOKUP($A128,Centrum[Индекс],Centrum[CBM on the shipper/ 
CBM по поставщику],"",0,1)</f>
        <v/>
      </c>
      <c r="J128" s="16" t="str">
        <f>_xlfn.XLOOKUP($A128,Centrum[Индекс],Centrum[Gross weight of cont// 
Гросс.вес по конт.],"",0,1)</f>
        <v/>
      </c>
      <c r="K128" s="17" t="str">
        <f>_xlfn.XLOOKUP($A128,Centrum[Индекс],Centrum[Route/ Маршрут (TSR/TCR)],"",0,1)</f>
        <v/>
      </c>
      <c r="L128" s="11" t="str">
        <f>_xlfn.XLOOKUP($A128,Centrum[Индекс],Centrum[Условия поставки],"",0,1)</f>
        <v/>
      </c>
      <c r="M128" s="11" t="str">
        <f>_xlfn.XLOOKUP($A128,Centrum[Индекс],Centrum[№ HBL date / 
№/ дата коносамента],"",0,1)</f>
        <v/>
      </c>
      <c r="N128" s="11" t="str">
        <f>_xlfn.XLOOKUP($A128,Centrum[Индекс],Centrum[№ MBL / 
№/ коносамента],"",0,1)</f>
        <v/>
      </c>
      <c r="O128" s="8" t="e">
        <f>(_xlfn.XLOOKUP($A128,Centrum[Индекс],Centrum[Date on board / Дата погрузки на судно],"",0,1))*1</f>
        <v>#VALUE!</v>
      </c>
      <c r="P128" s="8" t="e">
        <f>(_xlfn.XLOOKUP($A128,Centrum[Индекс],Centrum[Date of arrival to Sary-Agach/ Дата прибытия на Сары-Агач],"",0,1))*1</f>
        <v>#VALUE!</v>
      </c>
      <c r="Q128" s="14" t="str">
        <f>_xlfn.XLOOKUP($A128,Centrum[Индекс],Centrum[Container type/ 
Тип контейнера],"",0,1)</f>
        <v/>
      </c>
      <c r="R128" s="16">
        <f>_xlfn.XLOOKUP($A128,Centrum[Индекс],Centrum[Transportation cost per supplier/ 
Cтоимость перевозки по поставщикам],0,0,1)</f>
        <v>0</v>
      </c>
      <c r="S128" s="16">
        <f>Шаблон_Формулы!$T128-Шаблон_Формулы!$R128</f>
        <v>0</v>
      </c>
      <c r="T128" s="16">
        <f>_xlfn.XLOOKUP($A128,Centrum[Индекс],Centrum[Transportation total amount / Общая стоимость перевозки],0,0,1)</f>
        <v>0</v>
      </c>
      <c r="U128" s="12" cm="1">
        <f t="array" ref="U12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8" s="16">
        <f>_xlfn.XLOOKUP(Шаблон_Формулы[[#This Row],[21]],Курс_USD[Дата],Курс_USD[Курс],,0,1)</f>
        <v>12228.05</v>
      </c>
      <c r="W128" s="16">
        <f>Шаблон_Формулы!$T128*Шаблон_Формулы!$V128</f>
        <v>0</v>
      </c>
      <c r="Y128" s="16">
        <f>Шаблон_Формулы!$W128+Шаблон_Формулы!$X128</f>
        <v>0</v>
      </c>
      <c r="Z128" s="14" t="str">
        <f>_xlfn.XLOOKUP($A128,Centrum[Индекс],Centrum[Transport co invoice no/ 
Номер инвойса ТК],"",0,1)</f>
        <v/>
      </c>
    </row>
    <row r="129" spans="1:26" s="11" customFormat="1" x14ac:dyDescent="0.3">
      <c r="A129" s="14">
        <v>125</v>
      </c>
      <c r="B129" s="11" t="str">
        <f>_xlfn.XLOOKUP($A129,Centrum[Индекс],Centrum[Carrier/ Перевозчик],"",0,1)</f>
        <v/>
      </c>
      <c r="C129" s="11" t="str">
        <f>_xlfn.XLOOKUP($A129,Centrum[Индекс],Centrum[Country /  Страна],"",0,1)</f>
        <v/>
      </c>
      <c r="D129" s="11" t="str">
        <f>_xlfn.XLOOKUP($A129,Centrum[Индекс],Centrum[Container num./ 
№ контейнера],"",0,1)</f>
        <v/>
      </c>
      <c r="E129" s="11" t="str">
        <f>_xlfn.XLOOKUP($A129,Centrum[Индекс],Centrum[Supplier/
Поставщик],"",0,1)</f>
        <v/>
      </c>
      <c r="F129" s="11" t="str">
        <f>_xlfn.XLOOKUP($A129,Centrum[Индекс],Centrum[Shippers invoice no/ 
Номер инвойса поставщика],"",1)</f>
        <v/>
      </c>
      <c r="G129" s="15" t="str">
        <f>_xlfn.XLOOKUP($A129,Centrum[Индекс],Centrum[Invoice value / Стоимость груза в к-ре по инвойсу],"",0,1)</f>
        <v/>
      </c>
      <c r="H129" s="14" t="s">
        <v>40</v>
      </c>
      <c r="I129" s="11" t="str">
        <f>_xlfn.XLOOKUP($A129,Centrum[Индекс],Centrum[CBM on the shipper/ 
CBM по поставщику],"",0,1)</f>
        <v/>
      </c>
      <c r="J129" s="16" t="str">
        <f>_xlfn.XLOOKUP($A129,Centrum[Индекс],Centrum[Gross weight of cont// 
Гросс.вес по конт.],"",0,1)</f>
        <v/>
      </c>
      <c r="K129" s="17" t="str">
        <f>_xlfn.XLOOKUP($A129,Centrum[Индекс],Centrum[Route/ Маршрут (TSR/TCR)],"",0,1)</f>
        <v/>
      </c>
      <c r="L129" s="11" t="str">
        <f>_xlfn.XLOOKUP($A129,Centrum[Индекс],Centrum[Условия поставки],"",0,1)</f>
        <v/>
      </c>
      <c r="M129" s="11" t="str">
        <f>_xlfn.XLOOKUP($A129,Centrum[Индекс],Centrum[№ HBL date / 
№/ дата коносамента],"",0,1)</f>
        <v/>
      </c>
      <c r="N129" s="11" t="str">
        <f>_xlfn.XLOOKUP($A129,Centrum[Индекс],Centrum[№ MBL / 
№/ коносамента],"",0,1)</f>
        <v/>
      </c>
      <c r="O129" s="8" t="e">
        <f>(_xlfn.XLOOKUP($A129,Centrum[Индекс],Centrum[Date on board / Дата погрузки на судно],"",0,1))*1</f>
        <v>#VALUE!</v>
      </c>
      <c r="P129" s="8" t="e">
        <f>(_xlfn.XLOOKUP($A129,Centrum[Индекс],Centrum[Date of arrival to Sary-Agach/ Дата прибытия на Сары-Агач],"",0,1))*1</f>
        <v>#VALUE!</v>
      </c>
      <c r="Q129" s="14" t="str">
        <f>_xlfn.XLOOKUP($A129,Centrum[Индекс],Centrum[Container type/ 
Тип контейнера],"",0,1)</f>
        <v/>
      </c>
      <c r="R129" s="16">
        <f>_xlfn.XLOOKUP($A129,Centrum[Индекс],Centrum[Transportation cost per supplier/ 
Cтоимость перевозки по поставщикам],0,0,1)</f>
        <v>0</v>
      </c>
      <c r="S129" s="16">
        <f>Шаблон_Формулы!$T129-Шаблон_Формулы!$R129</f>
        <v>0</v>
      </c>
      <c r="T129" s="16">
        <f>_xlfn.XLOOKUP($A129,Centrum[Индекс],Centrum[Transportation total amount / Общая стоимость перевозки],0,0,1)</f>
        <v>0</v>
      </c>
      <c r="U129" s="12" cm="1">
        <f t="array" ref="U12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29" s="16">
        <f>_xlfn.XLOOKUP(Шаблон_Формулы[[#This Row],[21]],Курс_USD[Дата],Курс_USD[Курс],,0,1)</f>
        <v>12228.05</v>
      </c>
      <c r="W129" s="16">
        <f>Шаблон_Формулы!$T129*Шаблон_Формулы!$V129</f>
        <v>0</v>
      </c>
      <c r="Y129" s="16">
        <f>Шаблон_Формулы!$W129+Шаблон_Формулы!$X129</f>
        <v>0</v>
      </c>
      <c r="Z129" s="14" t="str">
        <f>_xlfn.XLOOKUP($A129,Centrum[Индекс],Centrum[Transport co invoice no/ 
Номер инвойса ТК],"",0,1)</f>
        <v/>
      </c>
    </row>
    <row r="130" spans="1:26" s="11" customFormat="1" x14ac:dyDescent="0.3">
      <c r="A130" s="14">
        <v>126</v>
      </c>
      <c r="B130" s="11" t="str">
        <f>_xlfn.XLOOKUP($A130,Centrum[Индекс],Centrum[Carrier/ Перевозчик],"",0,1)</f>
        <v/>
      </c>
      <c r="C130" s="11" t="str">
        <f>_xlfn.XLOOKUP($A130,Centrum[Индекс],Centrum[Country /  Страна],"",0,1)</f>
        <v/>
      </c>
      <c r="D130" s="11" t="str">
        <f>_xlfn.XLOOKUP($A130,Centrum[Индекс],Centrum[Container num./ 
№ контейнера],"",0,1)</f>
        <v/>
      </c>
      <c r="E130" s="11" t="str">
        <f>_xlfn.XLOOKUP($A130,Centrum[Индекс],Centrum[Supplier/
Поставщик],"",0,1)</f>
        <v/>
      </c>
      <c r="F130" s="11" t="str">
        <f>_xlfn.XLOOKUP($A130,Centrum[Индекс],Centrum[Shippers invoice no/ 
Номер инвойса поставщика],"",1)</f>
        <v/>
      </c>
      <c r="G130" s="15" t="str">
        <f>_xlfn.XLOOKUP($A130,Centrum[Индекс],Centrum[Invoice value / Стоимость груза в к-ре по инвойсу],"",0,1)</f>
        <v/>
      </c>
      <c r="H130" s="14" t="s">
        <v>40</v>
      </c>
      <c r="I130" s="11" t="str">
        <f>_xlfn.XLOOKUP($A130,Centrum[Индекс],Centrum[CBM on the shipper/ 
CBM по поставщику],"",0,1)</f>
        <v/>
      </c>
      <c r="J130" s="16" t="str">
        <f>_xlfn.XLOOKUP($A130,Centrum[Индекс],Centrum[Gross weight of cont// 
Гросс.вес по конт.],"",0,1)</f>
        <v/>
      </c>
      <c r="K130" s="17" t="str">
        <f>_xlfn.XLOOKUP($A130,Centrum[Индекс],Centrum[Route/ Маршрут (TSR/TCR)],"",0,1)</f>
        <v/>
      </c>
      <c r="L130" s="11" t="str">
        <f>_xlfn.XLOOKUP($A130,Centrum[Индекс],Centrum[Условия поставки],"",0,1)</f>
        <v/>
      </c>
      <c r="M130" s="11" t="str">
        <f>_xlfn.XLOOKUP($A130,Centrum[Индекс],Centrum[№ HBL date / 
№/ дата коносамента],"",0,1)</f>
        <v/>
      </c>
      <c r="N130" s="11" t="str">
        <f>_xlfn.XLOOKUP($A130,Centrum[Индекс],Centrum[№ MBL / 
№/ коносамента],"",0,1)</f>
        <v/>
      </c>
      <c r="O130" s="8" t="e">
        <f>(_xlfn.XLOOKUP($A130,Centrum[Индекс],Centrum[Date on board / Дата погрузки на судно],"",0,1))*1</f>
        <v>#VALUE!</v>
      </c>
      <c r="P130" s="8" t="e">
        <f>(_xlfn.XLOOKUP($A130,Centrum[Индекс],Centrum[Date of arrival to Sary-Agach/ Дата прибытия на Сары-Агач],"",0,1))*1</f>
        <v>#VALUE!</v>
      </c>
      <c r="Q130" s="14" t="str">
        <f>_xlfn.XLOOKUP($A130,Centrum[Индекс],Centrum[Container type/ 
Тип контейнера],"",0,1)</f>
        <v/>
      </c>
      <c r="R130" s="16">
        <f>_xlfn.XLOOKUP($A130,Centrum[Индекс],Centrum[Transportation cost per supplier/ 
Cтоимость перевозки по поставщикам],0,0,1)</f>
        <v>0</v>
      </c>
      <c r="S130" s="16">
        <f>Шаблон_Формулы!$T130-Шаблон_Формулы!$R130</f>
        <v>0</v>
      </c>
      <c r="T130" s="16">
        <f>_xlfn.XLOOKUP($A130,Centrum[Индекс],Centrum[Transportation total amount / Общая стоимость перевозки],0,0,1)</f>
        <v>0</v>
      </c>
      <c r="U130" s="12" cm="1">
        <f t="array" ref="U13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0" s="16">
        <f>_xlfn.XLOOKUP(Шаблон_Формулы[[#This Row],[21]],Курс_USD[Дата],Курс_USD[Курс],,0,1)</f>
        <v>12228.05</v>
      </c>
      <c r="W130" s="16">
        <f>Шаблон_Формулы!$T130*Шаблон_Формулы!$V130</f>
        <v>0</v>
      </c>
      <c r="Y130" s="16">
        <f>Шаблон_Формулы!$W130+Шаблон_Формулы!$X130</f>
        <v>0</v>
      </c>
      <c r="Z130" s="14" t="str">
        <f>_xlfn.XLOOKUP($A130,Centrum[Индекс],Centrum[Transport co invoice no/ 
Номер инвойса ТК],"",0,1)</f>
        <v/>
      </c>
    </row>
    <row r="131" spans="1:26" s="11" customFormat="1" x14ac:dyDescent="0.3">
      <c r="A131" s="14">
        <v>127</v>
      </c>
      <c r="B131" s="11" t="str">
        <f>_xlfn.XLOOKUP($A131,Centrum[Индекс],Centrum[Carrier/ Перевозчик],"",0,1)</f>
        <v/>
      </c>
      <c r="C131" s="11" t="str">
        <f>_xlfn.XLOOKUP($A131,Centrum[Индекс],Centrum[Country /  Страна],"",0,1)</f>
        <v/>
      </c>
      <c r="D131" s="11" t="str">
        <f>_xlfn.XLOOKUP($A131,Centrum[Индекс],Centrum[Container num./ 
№ контейнера],"",0,1)</f>
        <v/>
      </c>
      <c r="E131" s="11" t="str">
        <f>_xlfn.XLOOKUP($A131,Centrum[Индекс],Centrum[Supplier/
Поставщик],"",0,1)</f>
        <v/>
      </c>
      <c r="F131" s="11" t="str">
        <f>_xlfn.XLOOKUP($A131,Centrum[Индекс],Centrum[Shippers invoice no/ 
Номер инвойса поставщика],"",1)</f>
        <v/>
      </c>
      <c r="G131" s="15" t="str">
        <f>_xlfn.XLOOKUP($A131,Centrum[Индекс],Centrum[Invoice value / Стоимость груза в к-ре по инвойсу],"",0,1)</f>
        <v/>
      </c>
      <c r="H131" s="14" t="s">
        <v>40</v>
      </c>
      <c r="I131" s="11" t="str">
        <f>_xlfn.XLOOKUP($A131,Centrum[Индекс],Centrum[CBM on the shipper/ 
CBM по поставщику],"",0,1)</f>
        <v/>
      </c>
      <c r="J131" s="16" t="str">
        <f>_xlfn.XLOOKUP($A131,Centrum[Индекс],Centrum[Gross weight of cont// 
Гросс.вес по конт.],"",0,1)</f>
        <v/>
      </c>
      <c r="K131" s="17" t="str">
        <f>_xlfn.XLOOKUP($A131,Centrum[Индекс],Centrum[Route/ Маршрут (TSR/TCR)],"",0,1)</f>
        <v/>
      </c>
      <c r="L131" s="11" t="str">
        <f>_xlfn.XLOOKUP($A131,Centrum[Индекс],Centrum[Условия поставки],"",0,1)</f>
        <v/>
      </c>
      <c r="M131" s="11" t="str">
        <f>_xlfn.XLOOKUP($A131,Centrum[Индекс],Centrum[№ HBL date / 
№/ дата коносамента],"",0,1)</f>
        <v/>
      </c>
      <c r="N131" s="11" t="str">
        <f>_xlfn.XLOOKUP($A131,Centrum[Индекс],Centrum[№ MBL / 
№/ коносамента],"",0,1)</f>
        <v/>
      </c>
      <c r="O131" s="8" t="e">
        <f>(_xlfn.XLOOKUP($A131,Centrum[Индекс],Centrum[Date on board / Дата погрузки на судно],"",0,1))*1</f>
        <v>#VALUE!</v>
      </c>
      <c r="P131" s="8" t="e">
        <f>(_xlfn.XLOOKUP($A131,Centrum[Индекс],Centrum[Date of arrival to Sary-Agach/ Дата прибытия на Сары-Агач],"",0,1))*1</f>
        <v>#VALUE!</v>
      </c>
      <c r="Q131" s="14" t="str">
        <f>_xlfn.XLOOKUP($A131,Centrum[Индекс],Centrum[Container type/ 
Тип контейнера],"",0,1)</f>
        <v/>
      </c>
      <c r="R131" s="16">
        <f>_xlfn.XLOOKUP($A131,Centrum[Индекс],Centrum[Transportation cost per supplier/ 
Cтоимость перевозки по поставщикам],0,0,1)</f>
        <v>0</v>
      </c>
      <c r="S131" s="16">
        <f>Шаблон_Формулы!$T131-Шаблон_Формулы!$R131</f>
        <v>0</v>
      </c>
      <c r="T131" s="16">
        <f>_xlfn.XLOOKUP($A131,Centrum[Индекс],Centrum[Transportation total amount / Общая стоимость перевозки],0,0,1)</f>
        <v>0</v>
      </c>
      <c r="U131" s="12" cm="1">
        <f t="array" ref="U13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1" s="16">
        <f>_xlfn.XLOOKUP(Шаблон_Формулы[[#This Row],[21]],Курс_USD[Дата],Курс_USD[Курс],,0,1)</f>
        <v>12228.05</v>
      </c>
      <c r="W131" s="16">
        <f>Шаблон_Формулы!$T131*Шаблон_Формулы!$V131</f>
        <v>0</v>
      </c>
      <c r="Y131" s="16">
        <f>Шаблон_Формулы!$W131+Шаблон_Формулы!$X131</f>
        <v>0</v>
      </c>
      <c r="Z131" s="14" t="str">
        <f>_xlfn.XLOOKUP($A131,Centrum[Индекс],Centrum[Transport co invoice no/ 
Номер инвойса ТК],"",0,1)</f>
        <v/>
      </c>
    </row>
    <row r="132" spans="1:26" s="11" customFormat="1" x14ac:dyDescent="0.3">
      <c r="A132" s="14">
        <v>128</v>
      </c>
      <c r="B132" s="11" t="str">
        <f>_xlfn.XLOOKUP($A132,Centrum[Индекс],Centrum[Carrier/ Перевозчик],"",0,1)</f>
        <v/>
      </c>
      <c r="C132" s="11" t="str">
        <f>_xlfn.XLOOKUP($A132,Centrum[Индекс],Centrum[Country /  Страна],"",0,1)</f>
        <v/>
      </c>
      <c r="D132" s="11" t="str">
        <f>_xlfn.XLOOKUP($A132,Centrum[Индекс],Centrum[Container num./ 
№ контейнера],"",0,1)</f>
        <v/>
      </c>
      <c r="E132" s="11" t="str">
        <f>_xlfn.XLOOKUP($A132,Centrum[Индекс],Centrum[Supplier/
Поставщик],"",0,1)</f>
        <v/>
      </c>
      <c r="F132" s="11" t="str">
        <f>_xlfn.XLOOKUP($A132,Centrum[Индекс],Centrum[Shippers invoice no/ 
Номер инвойса поставщика],"",1)</f>
        <v/>
      </c>
      <c r="G132" s="15" t="str">
        <f>_xlfn.XLOOKUP($A132,Centrum[Индекс],Centrum[Invoice value / Стоимость груза в к-ре по инвойсу],"",0,1)</f>
        <v/>
      </c>
      <c r="H132" s="14" t="s">
        <v>40</v>
      </c>
      <c r="I132" s="11" t="str">
        <f>_xlfn.XLOOKUP($A132,Centrum[Индекс],Centrum[CBM on the shipper/ 
CBM по поставщику],"",0,1)</f>
        <v/>
      </c>
      <c r="J132" s="16" t="str">
        <f>_xlfn.XLOOKUP($A132,Centrum[Индекс],Centrum[Gross weight of cont// 
Гросс.вес по конт.],"",0,1)</f>
        <v/>
      </c>
      <c r="K132" s="17" t="str">
        <f>_xlfn.XLOOKUP($A132,Centrum[Индекс],Centrum[Route/ Маршрут (TSR/TCR)],"",0,1)</f>
        <v/>
      </c>
      <c r="L132" s="11" t="str">
        <f>_xlfn.XLOOKUP($A132,Centrum[Индекс],Centrum[Условия поставки],"",0,1)</f>
        <v/>
      </c>
      <c r="M132" s="11" t="str">
        <f>_xlfn.XLOOKUP($A132,Centrum[Индекс],Centrum[№ HBL date / 
№/ дата коносамента],"",0,1)</f>
        <v/>
      </c>
      <c r="N132" s="11" t="str">
        <f>_xlfn.XLOOKUP($A132,Centrum[Индекс],Centrum[№ MBL / 
№/ коносамента],"",0,1)</f>
        <v/>
      </c>
      <c r="O132" s="8" t="e">
        <f>(_xlfn.XLOOKUP($A132,Centrum[Индекс],Centrum[Date on board / Дата погрузки на судно],"",0,1))*1</f>
        <v>#VALUE!</v>
      </c>
      <c r="P132" s="8" t="e">
        <f>(_xlfn.XLOOKUP($A132,Centrum[Индекс],Centrum[Date of arrival to Sary-Agach/ Дата прибытия на Сары-Агач],"",0,1))*1</f>
        <v>#VALUE!</v>
      </c>
      <c r="Q132" s="14" t="str">
        <f>_xlfn.XLOOKUP($A132,Centrum[Индекс],Centrum[Container type/ 
Тип контейнера],"",0,1)</f>
        <v/>
      </c>
      <c r="R132" s="16">
        <f>_xlfn.XLOOKUP($A132,Centrum[Индекс],Centrum[Transportation cost per supplier/ 
Cтоимость перевозки по поставщикам],0,0,1)</f>
        <v>0</v>
      </c>
      <c r="S132" s="16">
        <f>Шаблон_Формулы!$T132-Шаблон_Формулы!$R132</f>
        <v>0</v>
      </c>
      <c r="T132" s="16">
        <f>_xlfn.XLOOKUP($A132,Centrum[Индекс],Centrum[Transportation total amount / Общая стоимость перевозки],0,0,1)</f>
        <v>0</v>
      </c>
      <c r="U132" s="12" cm="1">
        <f t="array" ref="U13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2" s="16">
        <f>_xlfn.XLOOKUP(Шаблон_Формулы[[#This Row],[21]],Курс_USD[Дата],Курс_USD[Курс],,0,1)</f>
        <v>12228.05</v>
      </c>
      <c r="W132" s="16">
        <f>Шаблон_Формулы!$T132*Шаблон_Формулы!$V132</f>
        <v>0</v>
      </c>
      <c r="Y132" s="16">
        <f>Шаблон_Формулы!$W132+Шаблон_Формулы!$X132</f>
        <v>0</v>
      </c>
      <c r="Z132" s="14" t="str">
        <f>_xlfn.XLOOKUP($A132,Centrum[Индекс],Centrum[Transport co invoice no/ 
Номер инвойса ТК],"",0,1)</f>
        <v/>
      </c>
    </row>
    <row r="133" spans="1:26" s="11" customFormat="1" x14ac:dyDescent="0.3">
      <c r="A133" s="14">
        <v>129</v>
      </c>
      <c r="B133" s="11" t="str">
        <f>_xlfn.XLOOKUP($A133,Centrum[Индекс],Centrum[Carrier/ Перевозчик],"",0,1)</f>
        <v/>
      </c>
      <c r="C133" s="11" t="str">
        <f>_xlfn.XLOOKUP($A133,Centrum[Индекс],Centrum[Country /  Страна],"",0,1)</f>
        <v/>
      </c>
      <c r="D133" s="11" t="str">
        <f>_xlfn.XLOOKUP($A133,Centrum[Индекс],Centrum[Container num./ 
№ контейнера],"",0,1)</f>
        <v/>
      </c>
      <c r="E133" s="11" t="str">
        <f>_xlfn.XLOOKUP($A133,Centrum[Индекс],Centrum[Supplier/
Поставщик],"",0,1)</f>
        <v/>
      </c>
      <c r="F133" s="11" t="str">
        <f>_xlfn.XLOOKUP($A133,Centrum[Индекс],Centrum[Shippers invoice no/ 
Номер инвойса поставщика],"",1)</f>
        <v/>
      </c>
      <c r="G133" s="15" t="str">
        <f>_xlfn.XLOOKUP($A133,Centrum[Индекс],Centrum[Invoice value / Стоимость груза в к-ре по инвойсу],"",0,1)</f>
        <v/>
      </c>
      <c r="H133" s="14" t="s">
        <v>40</v>
      </c>
      <c r="I133" s="11" t="str">
        <f>_xlfn.XLOOKUP($A133,Centrum[Индекс],Centrum[CBM on the shipper/ 
CBM по поставщику],"",0,1)</f>
        <v/>
      </c>
      <c r="J133" s="16" t="str">
        <f>_xlfn.XLOOKUP($A133,Centrum[Индекс],Centrum[Gross weight of cont// 
Гросс.вес по конт.],"",0,1)</f>
        <v/>
      </c>
      <c r="K133" s="17" t="str">
        <f>_xlfn.XLOOKUP($A133,Centrum[Индекс],Centrum[Route/ Маршрут (TSR/TCR)],"",0,1)</f>
        <v/>
      </c>
      <c r="L133" s="11" t="str">
        <f>_xlfn.XLOOKUP($A133,Centrum[Индекс],Centrum[Условия поставки],"",0,1)</f>
        <v/>
      </c>
      <c r="M133" s="11" t="str">
        <f>_xlfn.XLOOKUP($A133,Centrum[Индекс],Centrum[№ HBL date / 
№/ дата коносамента],"",0,1)</f>
        <v/>
      </c>
      <c r="N133" s="11" t="str">
        <f>_xlfn.XLOOKUP($A133,Centrum[Индекс],Centrum[№ MBL / 
№/ коносамента],"",0,1)</f>
        <v/>
      </c>
      <c r="O133" s="8" t="e">
        <f>(_xlfn.XLOOKUP($A133,Centrum[Индекс],Centrum[Date on board / Дата погрузки на судно],"",0,1))*1</f>
        <v>#VALUE!</v>
      </c>
      <c r="P133" s="8" t="e">
        <f>(_xlfn.XLOOKUP($A133,Centrum[Индекс],Centrum[Date of arrival to Sary-Agach/ Дата прибытия на Сары-Агач],"",0,1))*1</f>
        <v>#VALUE!</v>
      </c>
      <c r="Q133" s="14" t="str">
        <f>_xlfn.XLOOKUP($A133,Centrum[Индекс],Centrum[Container type/ 
Тип контейнера],"",0,1)</f>
        <v/>
      </c>
      <c r="R133" s="16">
        <f>_xlfn.XLOOKUP($A133,Centrum[Индекс],Centrum[Transportation cost per supplier/ 
Cтоимость перевозки по поставщикам],0,0,1)</f>
        <v>0</v>
      </c>
      <c r="S133" s="16">
        <f>Шаблон_Формулы!$T133-Шаблон_Формулы!$R133</f>
        <v>0</v>
      </c>
      <c r="T133" s="16">
        <f>_xlfn.XLOOKUP($A133,Centrum[Индекс],Centrum[Transportation total amount / Общая стоимость перевозки],0,0,1)</f>
        <v>0</v>
      </c>
      <c r="U133" s="12" cm="1">
        <f t="array" ref="U13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3" s="16">
        <f>_xlfn.XLOOKUP(Шаблон_Формулы[[#This Row],[21]],Курс_USD[Дата],Курс_USD[Курс],,0,1)</f>
        <v>12228.05</v>
      </c>
      <c r="W133" s="16">
        <f>Шаблон_Формулы!$T133*Шаблон_Формулы!$V133</f>
        <v>0</v>
      </c>
      <c r="Y133" s="16">
        <f>Шаблон_Формулы!$W133+Шаблон_Формулы!$X133</f>
        <v>0</v>
      </c>
      <c r="Z133" s="14" t="str">
        <f>_xlfn.XLOOKUP($A133,Centrum[Индекс],Centrum[Transport co invoice no/ 
Номер инвойса ТК],"",0,1)</f>
        <v/>
      </c>
    </row>
    <row r="134" spans="1:26" s="11" customFormat="1" x14ac:dyDescent="0.3">
      <c r="A134" s="14">
        <v>130</v>
      </c>
      <c r="B134" s="11" t="str">
        <f>_xlfn.XLOOKUP($A134,Centrum[Индекс],Centrum[Carrier/ Перевозчик],"",0,1)</f>
        <v/>
      </c>
      <c r="C134" s="11" t="str">
        <f>_xlfn.XLOOKUP($A134,Centrum[Индекс],Centrum[Country /  Страна],"",0,1)</f>
        <v/>
      </c>
      <c r="D134" s="11" t="str">
        <f>_xlfn.XLOOKUP($A134,Centrum[Индекс],Centrum[Container num./ 
№ контейнера],"",0,1)</f>
        <v/>
      </c>
      <c r="E134" s="11" t="str">
        <f>_xlfn.XLOOKUP($A134,Centrum[Индекс],Centrum[Supplier/
Поставщик],"",0,1)</f>
        <v/>
      </c>
      <c r="F134" s="11" t="str">
        <f>_xlfn.XLOOKUP($A134,Centrum[Индекс],Centrum[Shippers invoice no/ 
Номер инвойса поставщика],"",1)</f>
        <v/>
      </c>
      <c r="G134" s="15" t="str">
        <f>_xlfn.XLOOKUP($A134,Centrum[Индекс],Centrum[Invoice value / Стоимость груза в к-ре по инвойсу],"",0,1)</f>
        <v/>
      </c>
      <c r="H134" s="14" t="s">
        <v>40</v>
      </c>
      <c r="I134" s="11" t="str">
        <f>_xlfn.XLOOKUP($A134,Centrum[Индекс],Centrum[CBM on the shipper/ 
CBM по поставщику],"",0,1)</f>
        <v/>
      </c>
      <c r="J134" s="16" t="str">
        <f>_xlfn.XLOOKUP($A134,Centrum[Индекс],Centrum[Gross weight of cont// 
Гросс.вес по конт.],"",0,1)</f>
        <v/>
      </c>
      <c r="K134" s="17" t="str">
        <f>_xlfn.XLOOKUP($A134,Centrum[Индекс],Centrum[Route/ Маршрут (TSR/TCR)],"",0,1)</f>
        <v/>
      </c>
      <c r="L134" s="11" t="str">
        <f>_xlfn.XLOOKUP($A134,Centrum[Индекс],Centrum[Условия поставки],"",0,1)</f>
        <v/>
      </c>
      <c r="M134" s="11" t="str">
        <f>_xlfn.XLOOKUP($A134,Centrum[Индекс],Centrum[№ HBL date / 
№/ дата коносамента],"",0,1)</f>
        <v/>
      </c>
      <c r="N134" s="11" t="str">
        <f>_xlfn.XLOOKUP($A134,Centrum[Индекс],Centrum[№ MBL / 
№/ коносамента],"",0,1)</f>
        <v/>
      </c>
      <c r="O134" s="8" t="e">
        <f>(_xlfn.XLOOKUP($A134,Centrum[Индекс],Centrum[Date on board / Дата погрузки на судно],"",0,1))*1</f>
        <v>#VALUE!</v>
      </c>
      <c r="P134" s="8" t="e">
        <f>(_xlfn.XLOOKUP($A134,Centrum[Индекс],Centrum[Date of arrival to Sary-Agach/ Дата прибытия на Сары-Агач],"",0,1))*1</f>
        <v>#VALUE!</v>
      </c>
      <c r="Q134" s="14" t="str">
        <f>_xlfn.XLOOKUP($A134,Centrum[Индекс],Centrum[Container type/ 
Тип контейнера],"",0,1)</f>
        <v/>
      </c>
      <c r="R134" s="16">
        <f>_xlfn.XLOOKUP($A134,Centrum[Индекс],Centrum[Transportation cost per supplier/ 
Cтоимость перевозки по поставщикам],0,0,1)</f>
        <v>0</v>
      </c>
      <c r="S134" s="16">
        <f>Шаблон_Формулы!$T134-Шаблон_Формулы!$R134</f>
        <v>0</v>
      </c>
      <c r="T134" s="16">
        <f>_xlfn.XLOOKUP($A134,Centrum[Индекс],Centrum[Transportation total amount / Общая стоимость перевозки],0,0,1)</f>
        <v>0</v>
      </c>
      <c r="U134" s="12" cm="1">
        <f t="array" ref="U13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4" s="16">
        <f>_xlfn.XLOOKUP(Шаблон_Формулы[[#This Row],[21]],Курс_USD[Дата],Курс_USD[Курс],,0,1)</f>
        <v>12228.05</v>
      </c>
      <c r="W134" s="16">
        <f>Шаблон_Формулы!$T134*Шаблон_Формулы!$V134</f>
        <v>0</v>
      </c>
      <c r="Y134" s="16">
        <f>Шаблон_Формулы!$W134+Шаблон_Формулы!$X134</f>
        <v>0</v>
      </c>
      <c r="Z134" s="14" t="str">
        <f>_xlfn.XLOOKUP($A134,Centrum[Индекс],Centrum[Transport co invoice no/ 
Номер инвойса ТК],"",0,1)</f>
        <v/>
      </c>
    </row>
    <row r="135" spans="1:26" s="11" customFormat="1" x14ac:dyDescent="0.3">
      <c r="A135" s="14">
        <v>131</v>
      </c>
      <c r="B135" s="11" t="str">
        <f>_xlfn.XLOOKUP($A135,Centrum[Индекс],Centrum[Carrier/ Перевозчик],"",0,1)</f>
        <v/>
      </c>
      <c r="C135" s="11" t="str">
        <f>_xlfn.XLOOKUP($A135,Centrum[Индекс],Centrum[Country /  Страна],"",0,1)</f>
        <v/>
      </c>
      <c r="D135" s="11" t="str">
        <f>_xlfn.XLOOKUP($A135,Centrum[Индекс],Centrum[Container num./ 
№ контейнера],"",0,1)</f>
        <v/>
      </c>
      <c r="E135" s="11" t="str">
        <f>_xlfn.XLOOKUP($A135,Centrum[Индекс],Centrum[Supplier/
Поставщик],"",0,1)</f>
        <v/>
      </c>
      <c r="F135" s="11" t="str">
        <f>_xlfn.XLOOKUP($A135,Centrum[Индекс],Centrum[Shippers invoice no/ 
Номер инвойса поставщика],"",1)</f>
        <v/>
      </c>
      <c r="G135" s="15" t="str">
        <f>_xlfn.XLOOKUP($A135,Centrum[Индекс],Centrum[Invoice value / Стоимость груза в к-ре по инвойсу],"",0,1)</f>
        <v/>
      </c>
      <c r="H135" s="14" t="s">
        <v>40</v>
      </c>
      <c r="I135" s="11" t="str">
        <f>_xlfn.XLOOKUP($A135,Centrum[Индекс],Centrum[CBM on the shipper/ 
CBM по поставщику],"",0,1)</f>
        <v/>
      </c>
      <c r="J135" s="16" t="str">
        <f>_xlfn.XLOOKUP($A135,Centrum[Индекс],Centrum[Gross weight of cont// 
Гросс.вес по конт.],"",0,1)</f>
        <v/>
      </c>
      <c r="K135" s="17" t="str">
        <f>_xlfn.XLOOKUP($A135,Centrum[Индекс],Centrum[Route/ Маршрут (TSR/TCR)],"",0,1)</f>
        <v/>
      </c>
      <c r="L135" s="11" t="str">
        <f>_xlfn.XLOOKUP($A135,Centrum[Индекс],Centrum[Условия поставки],"",0,1)</f>
        <v/>
      </c>
      <c r="M135" s="11" t="str">
        <f>_xlfn.XLOOKUP($A135,Centrum[Индекс],Centrum[№ HBL date / 
№/ дата коносамента],"",0,1)</f>
        <v/>
      </c>
      <c r="N135" s="11" t="str">
        <f>_xlfn.XLOOKUP($A135,Centrum[Индекс],Centrum[№ MBL / 
№/ коносамента],"",0,1)</f>
        <v/>
      </c>
      <c r="O135" s="8" t="e">
        <f>(_xlfn.XLOOKUP($A135,Centrum[Индекс],Centrum[Date on board / Дата погрузки на судно],"",0,1))*1</f>
        <v>#VALUE!</v>
      </c>
      <c r="P135" s="8" t="e">
        <f>(_xlfn.XLOOKUP($A135,Centrum[Индекс],Centrum[Date of arrival to Sary-Agach/ Дата прибытия на Сары-Агач],"",0,1))*1</f>
        <v>#VALUE!</v>
      </c>
      <c r="Q135" s="14" t="str">
        <f>_xlfn.XLOOKUP($A135,Centrum[Индекс],Centrum[Container type/ 
Тип контейнера],"",0,1)</f>
        <v/>
      </c>
      <c r="R135" s="16">
        <f>_xlfn.XLOOKUP($A135,Centrum[Индекс],Centrum[Transportation cost per supplier/ 
Cтоимость перевозки по поставщикам],0,0,1)</f>
        <v>0</v>
      </c>
      <c r="S135" s="16">
        <f>Шаблон_Формулы!$T135-Шаблон_Формулы!$R135</f>
        <v>0</v>
      </c>
      <c r="T135" s="16">
        <f>_xlfn.XLOOKUP($A135,Centrum[Индекс],Centrum[Transportation total amount / Общая стоимость перевозки],0,0,1)</f>
        <v>0</v>
      </c>
      <c r="U135" s="12" cm="1">
        <f t="array" ref="U13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5" s="16">
        <f>_xlfn.XLOOKUP(Шаблон_Формулы[[#This Row],[21]],Курс_USD[Дата],Курс_USD[Курс],,0,1)</f>
        <v>12228.05</v>
      </c>
      <c r="W135" s="16">
        <f>Шаблон_Формулы!$T135*Шаблон_Формулы!$V135</f>
        <v>0</v>
      </c>
      <c r="Y135" s="16">
        <f>Шаблон_Формулы!$W135+Шаблон_Формулы!$X135</f>
        <v>0</v>
      </c>
      <c r="Z135" s="14" t="str">
        <f>_xlfn.XLOOKUP($A135,Centrum[Индекс],Centrum[Transport co invoice no/ 
Номер инвойса ТК],"",0,1)</f>
        <v/>
      </c>
    </row>
    <row r="136" spans="1:26" s="11" customFormat="1" x14ac:dyDescent="0.3">
      <c r="A136" s="14">
        <v>132</v>
      </c>
      <c r="B136" s="11" t="str">
        <f>_xlfn.XLOOKUP($A136,Centrum[Индекс],Centrum[Carrier/ Перевозчик],"",0,1)</f>
        <v/>
      </c>
      <c r="C136" s="11" t="str">
        <f>_xlfn.XLOOKUP($A136,Centrum[Индекс],Centrum[Country /  Страна],"",0,1)</f>
        <v/>
      </c>
      <c r="D136" s="11" t="str">
        <f>_xlfn.XLOOKUP($A136,Centrum[Индекс],Centrum[Container num./ 
№ контейнера],"",0,1)</f>
        <v/>
      </c>
      <c r="E136" s="11" t="str">
        <f>_xlfn.XLOOKUP($A136,Centrum[Индекс],Centrum[Supplier/
Поставщик],"",0,1)</f>
        <v/>
      </c>
      <c r="F136" s="11" t="str">
        <f>_xlfn.XLOOKUP($A136,Centrum[Индекс],Centrum[Shippers invoice no/ 
Номер инвойса поставщика],"",1)</f>
        <v/>
      </c>
      <c r="G136" s="15" t="str">
        <f>_xlfn.XLOOKUP($A136,Centrum[Индекс],Centrum[Invoice value / Стоимость груза в к-ре по инвойсу],"",0,1)</f>
        <v/>
      </c>
      <c r="H136" s="14" t="s">
        <v>40</v>
      </c>
      <c r="I136" s="11" t="str">
        <f>_xlfn.XLOOKUP($A136,Centrum[Индекс],Centrum[CBM on the shipper/ 
CBM по поставщику],"",0,1)</f>
        <v/>
      </c>
      <c r="J136" s="16" t="str">
        <f>_xlfn.XLOOKUP($A136,Centrum[Индекс],Centrum[Gross weight of cont// 
Гросс.вес по конт.],"",0,1)</f>
        <v/>
      </c>
      <c r="K136" s="17" t="str">
        <f>_xlfn.XLOOKUP($A136,Centrum[Индекс],Centrum[Route/ Маршрут (TSR/TCR)],"",0,1)</f>
        <v/>
      </c>
      <c r="L136" s="11" t="str">
        <f>_xlfn.XLOOKUP($A136,Centrum[Индекс],Centrum[Условия поставки],"",0,1)</f>
        <v/>
      </c>
      <c r="M136" s="11" t="str">
        <f>_xlfn.XLOOKUP($A136,Centrum[Индекс],Centrum[№ HBL date / 
№/ дата коносамента],"",0,1)</f>
        <v/>
      </c>
      <c r="N136" s="11" t="str">
        <f>_xlfn.XLOOKUP($A136,Centrum[Индекс],Centrum[№ MBL / 
№/ коносамента],"",0,1)</f>
        <v/>
      </c>
      <c r="O136" s="8" t="e">
        <f>(_xlfn.XLOOKUP($A136,Centrum[Индекс],Centrum[Date on board / Дата погрузки на судно],"",0,1))*1</f>
        <v>#VALUE!</v>
      </c>
      <c r="P136" s="8" t="e">
        <f>(_xlfn.XLOOKUP($A136,Centrum[Индекс],Centrum[Date of arrival to Sary-Agach/ Дата прибытия на Сары-Агач],"",0,1))*1</f>
        <v>#VALUE!</v>
      </c>
      <c r="Q136" s="14" t="str">
        <f>_xlfn.XLOOKUP($A136,Centrum[Индекс],Centrum[Container type/ 
Тип контейнера],"",0,1)</f>
        <v/>
      </c>
      <c r="R136" s="16">
        <f>_xlfn.XLOOKUP($A136,Centrum[Индекс],Centrum[Transportation cost per supplier/ 
Cтоимость перевозки по поставщикам],0,0,1)</f>
        <v>0</v>
      </c>
      <c r="S136" s="16">
        <f>Шаблон_Формулы!$T136-Шаблон_Формулы!$R136</f>
        <v>0</v>
      </c>
      <c r="T136" s="16">
        <f>_xlfn.XLOOKUP($A136,Centrum[Индекс],Centrum[Transportation total amount / Общая стоимость перевозки],0,0,1)</f>
        <v>0</v>
      </c>
      <c r="U136" s="12" cm="1">
        <f t="array" ref="U13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6" s="16">
        <f>_xlfn.XLOOKUP(Шаблон_Формулы[[#This Row],[21]],Курс_USD[Дата],Курс_USD[Курс],,0,1)</f>
        <v>12228.05</v>
      </c>
      <c r="W136" s="16">
        <f>Шаблон_Формулы!$T136*Шаблон_Формулы!$V136</f>
        <v>0</v>
      </c>
      <c r="Y136" s="16">
        <f>Шаблон_Формулы!$W136+Шаблон_Формулы!$X136</f>
        <v>0</v>
      </c>
      <c r="Z136" s="14" t="str">
        <f>_xlfn.XLOOKUP($A136,Centrum[Индекс],Centrum[Transport co invoice no/ 
Номер инвойса ТК],"",0,1)</f>
        <v/>
      </c>
    </row>
    <row r="137" spans="1:26" s="11" customFormat="1" x14ac:dyDescent="0.3">
      <c r="A137" s="14">
        <v>133</v>
      </c>
      <c r="B137" s="11" t="str">
        <f>_xlfn.XLOOKUP($A137,Centrum[Индекс],Centrum[Carrier/ Перевозчик],"",0,1)</f>
        <v/>
      </c>
      <c r="C137" s="11" t="str">
        <f>_xlfn.XLOOKUP($A137,Centrum[Индекс],Centrum[Country /  Страна],"",0,1)</f>
        <v/>
      </c>
      <c r="D137" s="11" t="str">
        <f>_xlfn.XLOOKUP($A137,Centrum[Индекс],Centrum[Container num./ 
№ контейнера],"",0,1)</f>
        <v/>
      </c>
      <c r="E137" s="11" t="str">
        <f>_xlfn.XLOOKUP($A137,Centrum[Индекс],Centrum[Supplier/
Поставщик],"",0,1)</f>
        <v/>
      </c>
      <c r="F137" s="11" t="str">
        <f>_xlfn.XLOOKUP($A137,Centrum[Индекс],Centrum[Shippers invoice no/ 
Номер инвойса поставщика],"",1)</f>
        <v/>
      </c>
      <c r="G137" s="15" t="str">
        <f>_xlfn.XLOOKUP($A137,Centrum[Индекс],Centrum[Invoice value / Стоимость груза в к-ре по инвойсу],"",0,1)</f>
        <v/>
      </c>
      <c r="H137" s="14" t="s">
        <v>40</v>
      </c>
      <c r="I137" s="11" t="str">
        <f>_xlfn.XLOOKUP($A137,Centrum[Индекс],Centrum[CBM on the shipper/ 
CBM по поставщику],"",0,1)</f>
        <v/>
      </c>
      <c r="J137" s="16" t="str">
        <f>_xlfn.XLOOKUP($A137,Centrum[Индекс],Centrum[Gross weight of cont// 
Гросс.вес по конт.],"",0,1)</f>
        <v/>
      </c>
      <c r="K137" s="17" t="str">
        <f>_xlfn.XLOOKUP($A137,Centrum[Индекс],Centrum[Route/ Маршрут (TSR/TCR)],"",0,1)</f>
        <v/>
      </c>
      <c r="L137" s="11" t="str">
        <f>_xlfn.XLOOKUP($A137,Centrum[Индекс],Centrum[Условия поставки],"",0,1)</f>
        <v/>
      </c>
      <c r="M137" s="11" t="str">
        <f>_xlfn.XLOOKUP($A137,Centrum[Индекс],Centrum[№ HBL date / 
№/ дата коносамента],"",0,1)</f>
        <v/>
      </c>
      <c r="N137" s="11" t="str">
        <f>_xlfn.XLOOKUP($A137,Centrum[Индекс],Centrum[№ MBL / 
№/ коносамента],"",0,1)</f>
        <v/>
      </c>
      <c r="O137" s="8" t="e">
        <f>(_xlfn.XLOOKUP($A137,Centrum[Индекс],Centrum[Date on board / Дата погрузки на судно],"",0,1))*1</f>
        <v>#VALUE!</v>
      </c>
      <c r="P137" s="8" t="e">
        <f>(_xlfn.XLOOKUP($A137,Centrum[Индекс],Centrum[Date of arrival to Sary-Agach/ Дата прибытия на Сары-Агач],"",0,1))*1</f>
        <v>#VALUE!</v>
      </c>
      <c r="Q137" s="14" t="str">
        <f>_xlfn.XLOOKUP($A137,Centrum[Индекс],Centrum[Container type/ 
Тип контейнера],"",0,1)</f>
        <v/>
      </c>
      <c r="R137" s="16">
        <f>_xlfn.XLOOKUP($A137,Centrum[Индекс],Centrum[Transportation cost per supplier/ 
Cтоимость перевозки по поставщикам],0,0,1)</f>
        <v>0</v>
      </c>
      <c r="S137" s="16">
        <f>Шаблон_Формулы!$T137-Шаблон_Формулы!$R137</f>
        <v>0</v>
      </c>
      <c r="T137" s="16">
        <f>_xlfn.XLOOKUP($A137,Centrum[Индекс],Centrum[Transportation total amount / Общая стоимость перевозки],0,0,1)</f>
        <v>0</v>
      </c>
      <c r="U137" s="12" cm="1">
        <f t="array" ref="U13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7" s="16">
        <f>_xlfn.XLOOKUP(Шаблон_Формулы[[#This Row],[21]],Курс_USD[Дата],Курс_USD[Курс],,0,1)</f>
        <v>12228.05</v>
      </c>
      <c r="W137" s="16">
        <f>Шаблон_Формулы!$T137*Шаблон_Формулы!$V137</f>
        <v>0</v>
      </c>
      <c r="Y137" s="16">
        <f>Шаблон_Формулы!$W137+Шаблон_Формулы!$X137</f>
        <v>0</v>
      </c>
      <c r="Z137" s="14" t="str">
        <f>_xlfn.XLOOKUP($A137,Centrum[Индекс],Centrum[Transport co invoice no/ 
Номер инвойса ТК],"",0,1)</f>
        <v/>
      </c>
    </row>
    <row r="138" spans="1:26" s="11" customFormat="1" x14ac:dyDescent="0.3">
      <c r="A138" s="14">
        <v>134</v>
      </c>
      <c r="B138" s="11" t="str">
        <f>_xlfn.XLOOKUP($A138,Centrum[Индекс],Centrum[Carrier/ Перевозчик],"",0,1)</f>
        <v/>
      </c>
      <c r="C138" s="11" t="str">
        <f>_xlfn.XLOOKUP($A138,Centrum[Индекс],Centrum[Country /  Страна],"",0,1)</f>
        <v/>
      </c>
      <c r="D138" s="11" t="str">
        <f>_xlfn.XLOOKUP($A138,Centrum[Индекс],Centrum[Container num./ 
№ контейнера],"",0,1)</f>
        <v/>
      </c>
      <c r="E138" s="11" t="str">
        <f>_xlfn.XLOOKUP($A138,Centrum[Индекс],Centrum[Supplier/
Поставщик],"",0,1)</f>
        <v/>
      </c>
      <c r="F138" s="11" t="str">
        <f>_xlfn.XLOOKUP($A138,Centrum[Индекс],Centrum[Shippers invoice no/ 
Номер инвойса поставщика],"",1)</f>
        <v/>
      </c>
      <c r="G138" s="15" t="str">
        <f>_xlfn.XLOOKUP($A138,Centrum[Индекс],Centrum[Invoice value / Стоимость груза в к-ре по инвойсу],"",0,1)</f>
        <v/>
      </c>
      <c r="H138" s="14" t="s">
        <v>40</v>
      </c>
      <c r="I138" s="11" t="str">
        <f>_xlfn.XLOOKUP($A138,Centrum[Индекс],Centrum[CBM on the shipper/ 
CBM по поставщику],"",0,1)</f>
        <v/>
      </c>
      <c r="J138" s="16" t="str">
        <f>_xlfn.XLOOKUP($A138,Centrum[Индекс],Centrum[Gross weight of cont// 
Гросс.вес по конт.],"",0,1)</f>
        <v/>
      </c>
      <c r="K138" s="17" t="str">
        <f>_xlfn.XLOOKUP($A138,Centrum[Индекс],Centrum[Route/ Маршрут (TSR/TCR)],"",0,1)</f>
        <v/>
      </c>
      <c r="L138" s="11" t="str">
        <f>_xlfn.XLOOKUP($A138,Centrum[Индекс],Centrum[Условия поставки],"",0,1)</f>
        <v/>
      </c>
      <c r="M138" s="11" t="str">
        <f>_xlfn.XLOOKUP($A138,Centrum[Индекс],Centrum[№ HBL date / 
№/ дата коносамента],"",0,1)</f>
        <v/>
      </c>
      <c r="N138" s="11" t="str">
        <f>_xlfn.XLOOKUP($A138,Centrum[Индекс],Centrum[№ MBL / 
№/ коносамента],"",0,1)</f>
        <v/>
      </c>
      <c r="O138" s="8" t="e">
        <f>(_xlfn.XLOOKUP($A138,Centrum[Индекс],Centrum[Date on board / Дата погрузки на судно],"",0,1))*1</f>
        <v>#VALUE!</v>
      </c>
      <c r="P138" s="8" t="e">
        <f>(_xlfn.XLOOKUP($A138,Centrum[Индекс],Centrum[Date of arrival to Sary-Agach/ Дата прибытия на Сары-Агач],"",0,1))*1</f>
        <v>#VALUE!</v>
      </c>
      <c r="Q138" s="14" t="str">
        <f>_xlfn.XLOOKUP($A138,Centrum[Индекс],Centrum[Container type/ 
Тип контейнера],"",0,1)</f>
        <v/>
      </c>
      <c r="R138" s="16">
        <f>_xlfn.XLOOKUP($A138,Centrum[Индекс],Centrum[Transportation cost per supplier/ 
Cтоимость перевозки по поставщикам],0,0,1)</f>
        <v>0</v>
      </c>
      <c r="S138" s="16">
        <f>Шаблон_Формулы!$T138-Шаблон_Формулы!$R138</f>
        <v>0</v>
      </c>
      <c r="T138" s="16">
        <f>_xlfn.XLOOKUP($A138,Centrum[Индекс],Centrum[Transportation total amount / Общая стоимость перевозки],0,0,1)</f>
        <v>0</v>
      </c>
      <c r="U138" s="12" cm="1">
        <f t="array" ref="U13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8" s="16">
        <f>_xlfn.XLOOKUP(Шаблон_Формулы[[#This Row],[21]],Курс_USD[Дата],Курс_USD[Курс],,0,1)</f>
        <v>12228.05</v>
      </c>
      <c r="W138" s="16">
        <f>Шаблон_Формулы!$T138*Шаблон_Формулы!$V138</f>
        <v>0</v>
      </c>
      <c r="Y138" s="16">
        <f>Шаблон_Формулы!$W138+Шаблон_Формулы!$X138</f>
        <v>0</v>
      </c>
      <c r="Z138" s="14" t="str">
        <f>_xlfn.XLOOKUP($A138,Centrum[Индекс],Centrum[Transport co invoice no/ 
Номер инвойса ТК],"",0,1)</f>
        <v/>
      </c>
    </row>
    <row r="139" spans="1:26" s="11" customFormat="1" x14ac:dyDescent="0.3">
      <c r="A139" s="14">
        <v>135</v>
      </c>
      <c r="B139" s="11" t="str">
        <f>_xlfn.XLOOKUP($A139,Centrum[Индекс],Centrum[Carrier/ Перевозчик],"",0,1)</f>
        <v/>
      </c>
      <c r="C139" s="11" t="str">
        <f>_xlfn.XLOOKUP($A139,Centrum[Индекс],Centrum[Country /  Страна],"",0,1)</f>
        <v/>
      </c>
      <c r="D139" s="11" t="str">
        <f>_xlfn.XLOOKUP($A139,Centrum[Индекс],Centrum[Container num./ 
№ контейнера],"",0,1)</f>
        <v/>
      </c>
      <c r="E139" s="11" t="str">
        <f>_xlfn.XLOOKUP($A139,Centrum[Индекс],Centrum[Supplier/
Поставщик],"",0,1)</f>
        <v/>
      </c>
      <c r="F139" s="11" t="str">
        <f>_xlfn.XLOOKUP($A139,Centrum[Индекс],Centrum[Shippers invoice no/ 
Номер инвойса поставщика],"",1)</f>
        <v/>
      </c>
      <c r="G139" s="15" t="str">
        <f>_xlfn.XLOOKUP($A139,Centrum[Индекс],Centrum[Invoice value / Стоимость груза в к-ре по инвойсу],"",0,1)</f>
        <v/>
      </c>
      <c r="H139" s="14" t="s">
        <v>40</v>
      </c>
      <c r="I139" s="11" t="str">
        <f>_xlfn.XLOOKUP($A139,Centrum[Индекс],Centrum[CBM on the shipper/ 
CBM по поставщику],"",0,1)</f>
        <v/>
      </c>
      <c r="J139" s="16" t="str">
        <f>_xlfn.XLOOKUP($A139,Centrum[Индекс],Centrum[Gross weight of cont// 
Гросс.вес по конт.],"",0,1)</f>
        <v/>
      </c>
      <c r="K139" s="17" t="str">
        <f>_xlfn.XLOOKUP($A139,Centrum[Индекс],Centrum[Route/ Маршрут (TSR/TCR)],"",0,1)</f>
        <v/>
      </c>
      <c r="L139" s="11" t="str">
        <f>_xlfn.XLOOKUP($A139,Centrum[Индекс],Centrum[Условия поставки],"",0,1)</f>
        <v/>
      </c>
      <c r="M139" s="11" t="str">
        <f>_xlfn.XLOOKUP($A139,Centrum[Индекс],Centrum[№ HBL date / 
№/ дата коносамента],"",0,1)</f>
        <v/>
      </c>
      <c r="N139" s="11" t="str">
        <f>_xlfn.XLOOKUP($A139,Centrum[Индекс],Centrum[№ MBL / 
№/ коносамента],"",0,1)</f>
        <v/>
      </c>
      <c r="O139" s="8" t="e">
        <f>(_xlfn.XLOOKUP($A139,Centrum[Индекс],Centrum[Date on board / Дата погрузки на судно],"",0,1))*1</f>
        <v>#VALUE!</v>
      </c>
      <c r="P139" s="8" t="e">
        <f>(_xlfn.XLOOKUP($A139,Centrum[Индекс],Centrum[Date of arrival to Sary-Agach/ Дата прибытия на Сары-Агач],"",0,1))*1</f>
        <v>#VALUE!</v>
      </c>
      <c r="Q139" s="14" t="str">
        <f>_xlfn.XLOOKUP($A139,Centrum[Индекс],Centrum[Container type/ 
Тип контейнера],"",0,1)</f>
        <v/>
      </c>
      <c r="R139" s="16">
        <f>_xlfn.XLOOKUP($A139,Centrum[Индекс],Centrum[Transportation cost per supplier/ 
Cтоимость перевозки по поставщикам],0,0,1)</f>
        <v>0</v>
      </c>
      <c r="S139" s="16">
        <f>Шаблон_Формулы!$T139-Шаблон_Формулы!$R139</f>
        <v>0</v>
      </c>
      <c r="T139" s="16">
        <f>_xlfn.XLOOKUP($A139,Centrum[Индекс],Centrum[Transportation total amount / Общая стоимость перевозки],0,0,1)</f>
        <v>0</v>
      </c>
      <c r="U139" s="12" cm="1">
        <f t="array" ref="U13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39" s="16">
        <f>_xlfn.XLOOKUP(Шаблон_Формулы[[#This Row],[21]],Курс_USD[Дата],Курс_USD[Курс],,0,1)</f>
        <v>12228.05</v>
      </c>
      <c r="W139" s="16">
        <f>Шаблон_Формулы!$T139*Шаблон_Формулы!$V139</f>
        <v>0</v>
      </c>
      <c r="Y139" s="16">
        <f>Шаблон_Формулы!$W139+Шаблон_Формулы!$X139</f>
        <v>0</v>
      </c>
      <c r="Z139" s="14" t="str">
        <f>_xlfn.XLOOKUP($A139,Centrum[Индекс],Centrum[Transport co invoice no/ 
Номер инвойса ТК],"",0,1)</f>
        <v/>
      </c>
    </row>
    <row r="140" spans="1:26" s="11" customFormat="1" x14ac:dyDescent="0.3">
      <c r="A140" s="14">
        <v>136</v>
      </c>
      <c r="B140" s="11" t="str">
        <f>_xlfn.XLOOKUP($A140,Centrum[Индекс],Centrum[Carrier/ Перевозчик],"",0,1)</f>
        <v/>
      </c>
      <c r="C140" s="11" t="str">
        <f>_xlfn.XLOOKUP($A140,Centrum[Индекс],Centrum[Country /  Страна],"",0,1)</f>
        <v/>
      </c>
      <c r="D140" s="11" t="str">
        <f>_xlfn.XLOOKUP($A140,Centrum[Индекс],Centrum[Container num./ 
№ контейнера],"",0,1)</f>
        <v/>
      </c>
      <c r="E140" s="11" t="str">
        <f>_xlfn.XLOOKUP($A140,Centrum[Индекс],Centrum[Supplier/
Поставщик],"",0,1)</f>
        <v/>
      </c>
      <c r="F140" s="11" t="str">
        <f>_xlfn.XLOOKUP($A140,Centrum[Индекс],Centrum[Shippers invoice no/ 
Номер инвойса поставщика],"",1)</f>
        <v/>
      </c>
      <c r="G140" s="15" t="str">
        <f>_xlfn.XLOOKUP($A140,Centrum[Индекс],Centrum[Invoice value / Стоимость груза в к-ре по инвойсу],"",0,1)</f>
        <v/>
      </c>
      <c r="H140" s="14" t="s">
        <v>40</v>
      </c>
      <c r="I140" s="11" t="str">
        <f>_xlfn.XLOOKUP($A140,Centrum[Индекс],Centrum[CBM on the shipper/ 
CBM по поставщику],"",0,1)</f>
        <v/>
      </c>
      <c r="J140" s="16" t="str">
        <f>_xlfn.XLOOKUP($A140,Centrum[Индекс],Centrum[Gross weight of cont// 
Гросс.вес по конт.],"",0,1)</f>
        <v/>
      </c>
      <c r="K140" s="17" t="str">
        <f>_xlfn.XLOOKUP($A140,Centrum[Индекс],Centrum[Route/ Маршрут (TSR/TCR)],"",0,1)</f>
        <v/>
      </c>
      <c r="L140" s="11" t="str">
        <f>_xlfn.XLOOKUP($A140,Centrum[Индекс],Centrum[Условия поставки],"",0,1)</f>
        <v/>
      </c>
      <c r="M140" s="11" t="str">
        <f>_xlfn.XLOOKUP($A140,Centrum[Индекс],Centrum[№ HBL date / 
№/ дата коносамента],"",0,1)</f>
        <v/>
      </c>
      <c r="N140" s="11" t="str">
        <f>_xlfn.XLOOKUP($A140,Centrum[Индекс],Centrum[№ MBL / 
№/ коносамента],"",0,1)</f>
        <v/>
      </c>
      <c r="O140" s="8" t="e">
        <f>(_xlfn.XLOOKUP($A140,Centrum[Индекс],Centrum[Date on board / Дата погрузки на судно],"",0,1))*1</f>
        <v>#VALUE!</v>
      </c>
      <c r="P140" s="8" t="e">
        <f>(_xlfn.XLOOKUP($A140,Centrum[Индекс],Centrum[Date of arrival to Sary-Agach/ Дата прибытия на Сары-Агач],"",0,1))*1</f>
        <v>#VALUE!</v>
      </c>
      <c r="Q140" s="14" t="str">
        <f>_xlfn.XLOOKUP($A140,Centrum[Индекс],Centrum[Container type/ 
Тип контейнера],"",0,1)</f>
        <v/>
      </c>
      <c r="R140" s="16">
        <f>_xlfn.XLOOKUP($A140,Centrum[Индекс],Centrum[Transportation cost per supplier/ 
Cтоимость перевозки по поставщикам],0,0,1)</f>
        <v>0</v>
      </c>
      <c r="S140" s="16">
        <f>Шаблон_Формулы!$T140-Шаблон_Формулы!$R140</f>
        <v>0</v>
      </c>
      <c r="T140" s="16">
        <f>_xlfn.XLOOKUP($A140,Centrum[Индекс],Centrum[Transportation total amount / Общая стоимость перевозки],0,0,1)</f>
        <v>0</v>
      </c>
      <c r="U140" s="12" cm="1">
        <f t="array" ref="U14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0" s="16">
        <f>_xlfn.XLOOKUP(Шаблон_Формулы[[#This Row],[21]],Курс_USD[Дата],Курс_USD[Курс],,0,1)</f>
        <v>12228.05</v>
      </c>
      <c r="W140" s="16">
        <f>Шаблон_Формулы!$T140*Шаблон_Формулы!$V140</f>
        <v>0</v>
      </c>
      <c r="Y140" s="16">
        <f>Шаблон_Формулы!$W140+Шаблон_Формулы!$X140</f>
        <v>0</v>
      </c>
      <c r="Z140" s="14" t="str">
        <f>_xlfn.XLOOKUP($A140,Centrum[Индекс],Centrum[Transport co invoice no/ 
Номер инвойса ТК],"",0,1)</f>
        <v/>
      </c>
    </row>
    <row r="141" spans="1:26" s="11" customFormat="1" x14ac:dyDescent="0.3">
      <c r="A141" s="14">
        <v>137</v>
      </c>
      <c r="B141" s="11" t="str">
        <f>_xlfn.XLOOKUP($A141,Centrum[Индекс],Centrum[Carrier/ Перевозчик],"",0,1)</f>
        <v/>
      </c>
      <c r="C141" s="11" t="str">
        <f>_xlfn.XLOOKUP($A141,Centrum[Индекс],Centrum[Country /  Страна],"",0,1)</f>
        <v/>
      </c>
      <c r="D141" s="11" t="str">
        <f>_xlfn.XLOOKUP($A141,Centrum[Индекс],Centrum[Container num./ 
№ контейнера],"",0,1)</f>
        <v/>
      </c>
      <c r="E141" s="11" t="str">
        <f>_xlfn.XLOOKUP($A141,Centrum[Индекс],Centrum[Supplier/
Поставщик],"",0,1)</f>
        <v/>
      </c>
      <c r="F141" s="11" t="str">
        <f>_xlfn.XLOOKUP($A141,Centrum[Индекс],Centrum[Shippers invoice no/ 
Номер инвойса поставщика],"",1)</f>
        <v/>
      </c>
      <c r="G141" s="15" t="str">
        <f>_xlfn.XLOOKUP($A141,Centrum[Индекс],Centrum[Invoice value / Стоимость груза в к-ре по инвойсу],"",0,1)</f>
        <v/>
      </c>
      <c r="H141" s="14" t="s">
        <v>40</v>
      </c>
      <c r="I141" s="11" t="str">
        <f>_xlfn.XLOOKUP($A141,Centrum[Индекс],Centrum[CBM on the shipper/ 
CBM по поставщику],"",0,1)</f>
        <v/>
      </c>
      <c r="J141" s="16" t="str">
        <f>_xlfn.XLOOKUP($A141,Centrum[Индекс],Centrum[Gross weight of cont// 
Гросс.вес по конт.],"",0,1)</f>
        <v/>
      </c>
      <c r="K141" s="17" t="str">
        <f>_xlfn.XLOOKUP($A141,Centrum[Индекс],Centrum[Route/ Маршрут (TSR/TCR)],"",0,1)</f>
        <v/>
      </c>
      <c r="L141" s="11" t="str">
        <f>_xlfn.XLOOKUP($A141,Centrum[Индекс],Centrum[Условия поставки],"",0,1)</f>
        <v/>
      </c>
      <c r="M141" s="11" t="str">
        <f>_xlfn.XLOOKUP($A141,Centrum[Индекс],Centrum[№ HBL date / 
№/ дата коносамента],"",0,1)</f>
        <v/>
      </c>
      <c r="N141" s="11" t="str">
        <f>_xlfn.XLOOKUP($A141,Centrum[Индекс],Centrum[№ MBL / 
№/ коносамента],"",0,1)</f>
        <v/>
      </c>
      <c r="O141" s="8" t="e">
        <f>(_xlfn.XLOOKUP($A141,Centrum[Индекс],Centrum[Date on board / Дата погрузки на судно],"",0,1))*1</f>
        <v>#VALUE!</v>
      </c>
      <c r="P141" s="8" t="e">
        <f>(_xlfn.XLOOKUP($A141,Centrum[Индекс],Centrum[Date of arrival to Sary-Agach/ Дата прибытия на Сары-Агач],"",0,1))*1</f>
        <v>#VALUE!</v>
      </c>
      <c r="Q141" s="14" t="str">
        <f>_xlfn.XLOOKUP($A141,Centrum[Индекс],Centrum[Container type/ 
Тип контейнера],"",0,1)</f>
        <v/>
      </c>
      <c r="R141" s="16">
        <f>_xlfn.XLOOKUP($A141,Centrum[Индекс],Centrum[Transportation cost per supplier/ 
Cтоимость перевозки по поставщикам],0,0,1)</f>
        <v>0</v>
      </c>
      <c r="S141" s="16">
        <f>Шаблон_Формулы!$T141-Шаблон_Формулы!$R141</f>
        <v>0</v>
      </c>
      <c r="T141" s="16">
        <f>_xlfn.XLOOKUP($A141,Centrum[Индекс],Centrum[Transportation total amount / Общая стоимость перевозки],0,0,1)</f>
        <v>0</v>
      </c>
      <c r="U141" s="12" cm="1">
        <f t="array" ref="U14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1" s="16">
        <f>_xlfn.XLOOKUP(Шаблон_Формулы[[#This Row],[21]],Курс_USD[Дата],Курс_USD[Курс],,0,1)</f>
        <v>12228.05</v>
      </c>
      <c r="W141" s="16">
        <f>Шаблон_Формулы!$T141*Шаблон_Формулы!$V141</f>
        <v>0</v>
      </c>
      <c r="Y141" s="16">
        <f>Шаблон_Формулы!$W141+Шаблон_Формулы!$X141</f>
        <v>0</v>
      </c>
      <c r="Z141" s="14" t="str">
        <f>_xlfn.XLOOKUP($A141,Centrum[Индекс],Centrum[Transport co invoice no/ 
Номер инвойса ТК],"",0,1)</f>
        <v/>
      </c>
    </row>
    <row r="142" spans="1:26" s="11" customFormat="1" x14ac:dyDescent="0.3">
      <c r="A142" s="14">
        <v>138</v>
      </c>
      <c r="B142" s="11" t="str">
        <f>_xlfn.XLOOKUP($A142,Centrum[Индекс],Centrum[Carrier/ Перевозчик],"",0,1)</f>
        <v/>
      </c>
      <c r="C142" s="11" t="str">
        <f>_xlfn.XLOOKUP($A142,Centrum[Индекс],Centrum[Country /  Страна],"",0,1)</f>
        <v/>
      </c>
      <c r="D142" s="11" t="str">
        <f>_xlfn.XLOOKUP($A142,Centrum[Индекс],Centrum[Container num./ 
№ контейнера],"",0,1)</f>
        <v/>
      </c>
      <c r="E142" s="11" t="str">
        <f>_xlfn.XLOOKUP($A142,Centrum[Индекс],Centrum[Supplier/
Поставщик],"",0,1)</f>
        <v/>
      </c>
      <c r="F142" s="11" t="str">
        <f>_xlfn.XLOOKUP($A142,Centrum[Индекс],Centrum[Shippers invoice no/ 
Номер инвойса поставщика],"",1)</f>
        <v/>
      </c>
      <c r="G142" s="15" t="str">
        <f>_xlfn.XLOOKUP($A142,Centrum[Индекс],Centrum[Invoice value / Стоимость груза в к-ре по инвойсу],"",0,1)</f>
        <v/>
      </c>
      <c r="H142" s="14" t="s">
        <v>40</v>
      </c>
      <c r="I142" s="11" t="str">
        <f>_xlfn.XLOOKUP($A142,Centrum[Индекс],Centrum[CBM on the shipper/ 
CBM по поставщику],"",0,1)</f>
        <v/>
      </c>
      <c r="J142" s="16" t="str">
        <f>_xlfn.XLOOKUP($A142,Centrum[Индекс],Centrum[Gross weight of cont// 
Гросс.вес по конт.],"",0,1)</f>
        <v/>
      </c>
      <c r="K142" s="17" t="str">
        <f>_xlfn.XLOOKUP($A142,Centrum[Индекс],Centrum[Route/ Маршрут (TSR/TCR)],"",0,1)</f>
        <v/>
      </c>
      <c r="L142" s="11" t="str">
        <f>_xlfn.XLOOKUP($A142,Centrum[Индекс],Centrum[Условия поставки],"",0,1)</f>
        <v/>
      </c>
      <c r="M142" s="11" t="str">
        <f>_xlfn.XLOOKUP($A142,Centrum[Индекс],Centrum[№ HBL date / 
№/ дата коносамента],"",0,1)</f>
        <v/>
      </c>
      <c r="N142" s="11" t="str">
        <f>_xlfn.XLOOKUP($A142,Centrum[Индекс],Centrum[№ MBL / 
№/ коносамента],"",0,1)</f>
        <v/>
      </c>
      <c r="O142" s="8" t="e">
        <f>(_xlfn.XLOOKUP($A142,Centrum[Индекс],Centrum[Date on board / Дата погрузки на судно],"",0,1))*1</f>
        <v>#VALUE!</v>
      </c>
      <c r="P142" s="8" t="e">
        <f>(_xlfn.XLOOKUP($A142,Centrum[Индекс],Centrum[Date of arrival to Sary-Agach/ Дата прибытия на Сары-Агач],"",0,1))*1</f>
        <v>#VALUE!</v>
      </c>
      <c r="Q142" s="14" t="str">
        <f>_xlfn.XLOOKUP($A142,Centrum[Индекс],Centrum[Container type/ 
Тип контейнера],"",0,1)</f>
        <v/>
      </c>
      <c r="R142" s="16">
        <f>_xlfn.XLOOKUP($A142,Centrum[Индекс],Centrum[Transportation cost per supplier/ 
Cтоимость перевозки по поставщикам],0,0,1)</f>
        <v>0</v>
      </c>
      <c r="S142" s="16">
        <f>Шаблон_Формулы!$T142-Шаблон_Формулы!$R142</f>
        <v>0</v>
      </c>
      <c r="T142" s="16">
        <f>_xlfn.XLOOKUP($A142,Centrum[Индекс],Centrum[Transportation total amount / Общая стоимость перевозки],0,0,1)</f>
        <v>0</v>
      </c>
      <c r="U142" s="12" cm="1">
        <f t="array" ref="U14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2" s="16">
        <f>_xlfn.XLOOKUP(Шаблон_Формулы[[#This Row],[21]],Курс_USD[Дата],Курс_USD[Курс],,0,1)</f>
        <v>12228.05</v>
      </c>
      <c r="W142" s="16">
        <f>Шаблон_Формулы!$T142*Шаблон_Формулы!$V142</f>
        <v>0</v>
      </c>
      <c r="Y142" s="16">
        <f>Шаблон_Формулы!$W142+Шаблон_Формулы!$X142</f>
        <v>0</v>
      </c>
      <c r="Z142" s="14" t="str">
        <f>_xlfn.XLOOKUP($A142,Centrum[Индекс],Centrum[Transport co invoice no/ 
Номер инвойса ТК],"",0,1)</f>
        <v/>
      </c>
    </row>
    <row r="143" spans="1:26" s="11" customFormat="1" x14ac:dyDescent="0.3">
      <c r="A143" s="14">
        <v>139</v>
      </c>
      <c r="B143" s="11" t="str">
        <f>_xlfn.XLOOKUP($A143,Centrum[Индекс],Centrum[Carrier/ Перевозчик],"",0,1)</f>
        <v/>
      </c>
      <c r="C143" s="11" t="str">
        <f>_xlfn.XLOOKUP($A143,Centrum[Индекс],Centrum[Country /  Страна],"",0,1)</f>
        <v/>
      </c>
      <c r="D143" s="11" t="str">
        <f>_xlfn.XLOOKUP($A143,Centrum[Индекс],Centrum[Container num./ 
№ контейнера],"",0,1)</f>
        <v/>
      </c>
      <c r="E143" s="11" t="str">
        <f>_xlfn.XLOOKUP($A143,Centrum[Индекс],Centrum[Supplier/
Поставщик],"",0,1)</f>
        <v/>
      </c>
      <c r="F143" s="11" t="str">
        <f>_xlfn.XLOOKUP($A143,Centrum[Индекс],Centrum[Shippers invoice no/ 
Номер инвойса поставщика],"",1)</f>
        <v/>
      </c>
      <c r="G143" s="15" t="str">
        <f>_xlfn.XLOOKUP($A143,Centrum[Индекс],Centrum[Invoice value / Стоимость груза в к-ре по инвойсу],"",0,1)</f>
        <v/>
      </c>
      <c r="H143" s="14" t="s">
        <v>40</v>
      </c>
      <c r="I143" s="11" t="str">
        <f>_xlfn.XLOOKUP($A143,Centrum[Индекс],Centrum[CBM on the shipper/ 
CBM по поставщику],"",0,1)</f>
        <v/>
      </c>
      <c r="J143" s="16" t="str">
        <f>_xlfn.XLOOKUP($A143,Centrum[Индекс],Centrum[Gross weight of cont// 
Гросс.вес по конт.],"",0,1)</f>
        <v/>
      </c>
      <c r="K143" s="17" t="str">
        <f>_xlfn.XLOOKUP($A143,Centrum[Индекс],Centrum[Route/ Маршрут (TSR/TCR)],"",0,1)</f>
        <v/>
      </c>
      <c r="L143" s="11" t="str">
        <f>_xlfn.XLOOKUP($A143,Centrum[Индекс],Centrum[Условия поставки],"",0,1)</f>
        <v/>
      </c>
      <c r="M143" s="11" t="str">
        <f>_xlfn.XLOOKUP($A143,Centrum[Индекс],Centrum[№ HBL date / 
№/ дата коносамента],"",0,1)</f>
        <v/>
      </c>
      <c r="N143" s="11" t="str">
        <f>_xlfn.XLOOKUP($A143,Centrum[Индекс],Centrum[№ MBL / 
№/ коносамента],"",0,1)</f>
        <v/>
      </c>
      <c r="O143" s="8" t="e">
        <f>(_xlfn.XLOOKUP($A143,Centrum[Индекс],Centrum[Date on board / Дата погрузки на судно],"",0,1))*1</f>
        <v>#VALUE!</v>
      </c>
      <c r="P143" s="8" t="e">
        <f>(_xlfn.XLOOKUP($A143,Centrum[Индекс],Centrum[Date of arrival to Sary-Agach/ Дата прибытия на Сары-Агач],"",0,1))*1</f>
        <v>#VALUE!</v>
      </c>
      <c r="Q143" s="14" t="str">
        <f>_xlfn.XLOOKUP($A143,Centrum[Индекс],Centrum[Container type/ 
Тип контейнера],"",0,1)</f>
        <v/>
      </c>
      <c r="R143" s="16">
        <f>_xlfn.XLOOKUP($A143,Centrum[Индекс],Centrum[Transportation cost per supplier/ 
Cтоимость перевозки по поставщикам],0,0,1)</f>
        <v>0</v>
      </c>
      <c r="S143" s="16">
        <f>Шаблон_Формулы!$T143-Шаблон_Формулы!$R143</f>
        <v>0</v>
      </c>
      <c r="T143" s="16">
        <f>_xlfn.XLOOKUP($A143,Centrum[Индекс],Centrum[Transportation total amount / Общая стоимость перевозки],0,0,1)</f>
        <v>0</v>
      </c>
      <c r="U143" s="12" cm="1">
        <f t="array" ref="U14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3" s="16">
        <f>_xlfn.XLOOKUP(Шаблон_Формулы[[#This Row],[21]],Курс_USD[Дата],Курс_USD[Курс],,0,1)</f>
        <v>12228.05</v>
      </c>
      <c r="W143" s="16">
        <f>Шаблон_Формулы!$T143*Шаблон_Формулы!$V143</f>
        <v>0</v>
      </c>
      <c r="Y143" s="16">
        <f>Шаблон_Формулы!$W143+Шаблон_Формулы!$X143</f>
        <v>0</v>
      </c>
      <c r="Z143" s="14" t="str">
        <f>_xlfn.XLOOKUP($A143,Centrum[Индекс],Centrum[Transport co invoice no/ 
Номер инвойса ТК],"",0,1)</f>
        <v/>
      </c>
    </row>
    <row r="144" spans="1:26" s="11" customFormat="1" x14ac:dyDescent="0.3">
      <c r="A144" s="14">
        <v>140</v>
      </c>
      <c r="B144" s="11" t="str">
        <f>_xlfn.XLOOKUP($A144,Centrum[Индекс],Centrum[Carrier/ Перевозчик],"",0,1)</f>
        <v/>
      </c>
      <c r="C144" s="11" t="str">
        <f>_xlfn.XLOOKUP($A144,Centrum[Индекс],Centrum[Country /  Страна],"",0,1)</f>
        <v/>
      </c>
      <c r="D144" s="11" t="str">
        <f>_xlfn.XLOOKUP($A144,Centrum[Индекс],Centrum[Container num./ 
№ контейнера],"",0,1)</f>
        <v/>
      </c>
      <c r="E144" s="11" t="str">
        <f>_xlfn.XLOOKUP($A144,Centrum[Индекс],Centrum[Supplier/
Поставщик],"",0,1)</f>
        <v/>
      </c>
      <c r="F144" s="11" t="str">
        <f>_xlfn.XLOOKUP($A144,Centrum[Индекс],Centrum[Shippers invoice no/ 
Номер инвойса поставщика],"",1)</f>
        <v/>
      </c>
      <c r="G144" s="15" t="str">
        <f>_xlfn.XLOOKUP($A144,Centrum[Индекс],Centrum[Invoice value / Стоимость груза в к-ре по инвойсу],"",0,1)</f>
        <v/>
      </c>
      <c r="H144" s="14" t="s">
        <v>40</v>
      </c>
      <c r="I144" s="11" t="str">
        <f>_xlfn.XLOOKUP($A144,Centrum[Индекс],Centrum[CBM on the shipper/ 
CBM по поставщику],"",0,1)</f>
        <v/>
      </c>
      <c r="J144" s="16" t="str">
        <f>_xlfn.XLOOKUP($A144,Centrum[Индекс],Centrum[Gross weight of cont// 
Гросс.вес по конт.],"",0,1)</f>
        <v/>
      </c>
      <c r="K144" s="17" t="str">
        <f>_xlfn.XLOOKUP($A144,Centrum[Индекс],Centrum[Route/ Маршрут (TSR/TCR)],"",0,1)</f>
        <v/>
      </c>
      <c r="L144" s="11" t="str">
        <f>_xlfn.XLOOKUP($A144,Centrum[Индекс],Centrum[Условия поставки],"",0,1)</f>
        <v/>
      </c>
      <c r="M144" s="11" t="str">
        <f>_xlfn.XLOOKUP($A144,Centrum[Индекс],Centrum[№ HBL date / 
№/ дата коносамента],"",0,1)</f>
        <v/>
      </c>
      <c r="N144" s="11" t="str">
        <f>_xlfn.XLOOKUP($A144,Centrum[Индекс],Centrum[№ MBL / 
№/ коносамента],"",0,1)</f>
        <v/>
      </c>
      <c r="O144" s="8" t="e">
        <f>(_xlfn.XLOOKUP($A144,Centrum[Индекс],Centrum[Date on board / Дата погрузки на судно],"",0,1))*1</f>
        <v>#VALUE!</v>
      </c>
      <c r="P144" s="8" t="e">
        <f>(_xlfn.XLOOKUP($A144,Centrum[Индекс],Centrum[Date of arrival to Sary-Agach/ Дата прибытия на Сары-Агач],"",0,1))*1</f>
        <v>#VALUE!</v>
      </c>
      <c r="Q144" s="14" t="str">
        <f>_xlfn.XLOOKUP($A144,Centrum[Индекс],Centrum[Container type/ 
Тип контейнера],"",0,1)</f>
        <v/>
      </c>
      <c r="R144" s="16">
        <f>_xlfn.XLOOKUP($A144,Centrum[Индекс],Centrum[Transportation cost per supplier/ 
Cтоимость перевозки по поставщикам],0,0,1)</f>
        <v>0</v>
      </c>
      <c r="S144" s="16">
        <f>Шаблон_Формулы!$T144-Шаблон_Формулы!$R144</f>
        <v>0</v>
      </c>
      <c r="T144" s="16">
        <f>_xlfn.XLOOKUP($A144,Centrum[Индекс],Centrum[Transportation total amount / Общая стоимость перевозки],0,0,1)</f>
        <v>0</v>
      </c>
      <c r="U144" s="12" cm="1">
        <f t="array" ref="U14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4" s="16">
        <f>_xlfn.XLOOKUP(Шаблон_Формулы[[#This Row],[21]],Курс_USD[Дата],Курс_USD[Курс],,0,1)</f>
        <v>12228.05</v>
      </c>
      <c r="W144" s="16">
        <f>Шаблон_Формулы!$T144*Шаблон_Формулы!$V144</f>
        <v>0</v>
      </c>
      <c r="Y144" s="16">
        <f>Шаблон_Формулы!$W144+Шаблон_Формулы!$X144</f>
        <v>0</v>
      </c>
      <c r="Z144" s="14" t="str">
        <f>_xlfn.XLOOKUP($A144,Centrum[Индекс],Centrum[Transport co invoice no/ 
Номер инвойса ТК],"",0,1)</f>
        <v/>
      </c>
    </row>
    <row r="145" spans="1:26" s="11" customFormat="1" x14ac:dyDescent="0.3">
      <c r="A145" s="14">
        <v>141</v>
      </c>
      <c r="B145" s="11" t="str">
        <f>_xlfn.XLOOKUP($A145,Centrum[Индекс],Centrum[Carrier/ Перевозчик],"",0,1)</f>
        <v/>
      </c>
      <c r="C145" s="11" t="str">
        <f>_xlfn.XLOOKUP($A145,Centrum[Индекс],Centrum[Country /  Страна],"",0,1)</f>
        <v/>
      </c>
      <c r="D145" s="11" t="str">
        <f>_xlfn.XLOOKUP($A145,Centrum[Индекс],Centrum[Container num./ 
№ контейнера],"",0,1)</f>
        <v/>
      </c>
      <c r="E145" s="11" t="str">
        <f>_xlfn.XLOOKUP($A145,Centrum[Индекс],Centrum[Supplier/
Поставщик],"",0,1)</f>
        <v/>
      </c>
      <c r="F145" s="11" t="str">
        <f>_xlfn.XLOOKUP($A145,Centrum[Индекс],Centrum[Shippers invoice no/ 
Номер инвойса поставщика],"",1)</f>
        <v/>
      </c>
      <c r="G145" s="15" t="str">
        <f>_xlfn.XLOOKUP($A145,Centrum[Индекс],Centrum[Invoice value / Стоимость груза в к-ре по инвойсу],"",0,1)</f>
        <v/>
      </c>
      <c r="H145" s="14" t="s">
        <v>40</v>
      </c>
      <c r="I145" s="11" t="str">
        <f>_xlfn.XLOOKUP($A145,Centrum[Индекс],Centrum[CBM on the shipper/ 
CBM по поставщику],"",0,1)</f>
        <v/>
      </c>
      <c r="J145" s="16" t="str">
        <f>_xlfn.XLOOKUP($A145,Centrum[Индекс],Centrum[Gross weight of cont// 
Гросс.вес по конт.],"",0,1)</f>
        <v/>
      </c>
      <c r="K145" s="17" t="str">
        <f>_xlfn.XLOOKUP($A145,Centrum[Индекс],Centrum[Route/ Маршрут (TSR/TCR)],"",0,1)</f>
        <v/>
      </c>
      <c r="L145" s="11" t="str">
        <f>_xlfn.XLOOKUP($A145,Centrum[Индекс],Centrum[Условия поставки],"",0,1)</f>
        <v/>
      </c>
      <c r="M145" s="11" t="str">
        <f>_xlfn.XLOOKUP($A145,Centrum[Индекс],Centrum[№ HBL date / 
№/ дата коносамента],"",0,1)</f>
        <v/>
      </c>
      <c r="N145" s="11" t="str">
        <f>_xlfn.XLOOKUP($A145,Centrum[Индекс],Centrum[№ MBL / 
№/ коносамента],"",0,1)</f>
        <v/>
      </c>
      <c r="O145" s="8" t="e">
        <f>(_xlfn.XLOOKUP($A145,Centrum[Индекс],Centrum[Date on board / Дата погрузки на судно],"",0,1))*1</f>
        <v>#VALUE!</v>
      </c>
      <c r="P145" s="8" t="e">
        <f>(_xlfn.XLOOKUP($A145,Centrum[Индекс],Centrum[Date of arrival to Sary-Agach/ Дата прибытия на Сары-Агач],"",0,1))*1</f>
        <v>#VALUE!</v>
      </c>
      <c r="Q145" s="14" t="str">
        <f>_xlfn.XLOOKUP($A145,Centrum[Индекс],Centrum[Container type/ 
Тип контейнера],"",0,1)</f>
        <v/>
      </c>
      <c r="R145" s="16">
        <f>_xlfn.XLOOKUP($A145,Centrum[Индекс],Centrum[Transportation cost per supplier/ 
Cтоимость перевозки по поставщикам],0,0,1)</f>
        <v>0</v>
      </c>
      <c r="S145" s="16">
        <f>Шаблон_Формулы!$T145-Шаблон_Формулы!$R145</f>
        <v>0</v>
      </c>
      <c r="T145" s="16">
        <f>_xlfn.XLOOKUP($A145,Centrum[Индекс],Centrum[Transportation total amount / Общая стоимость перевозки],0,0,1)</f>
        <v>0</v>
      </c>
      <c r="U145" s="12" cm="1">
        <f t="array" ref="U145">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5" s="16">
        <f>_xlfn.XLOOKUP(Шаблон_Формулы[[#This Row],[21]],Курс_USD[Дата],Курс_USD[Курс],,0,1)</f>
        <v>12228.05</v>
      </c>
      <c r="W145" s="16">
        <f>Шаблон_Формулы!$T145*Шаблон_Формулы!$V145</f>
        <v>0</v>
      </c>
      <c r="Y145" s="16">
        <f>Шаблон_Формулы!$W145+Шаблон_Формулы!$X145</f>
        <v>0</v>
      </c>
      <c r="Z145" s="14" t="str">
        <f>_xlfn.XLOOKUP($A145,Centrum[Индекс],Centrum[Transport co invoice no/ 
Номер инвойса ТК],"",0,1)</f>
        <v/>
      </c>
    </row>
    <row r="146" spans="1:26" s="11" customFormat="1" x14ac:dyDescent="0.3">
      <c r="A146" s="14">
        <v>142</v>
      </c>
      <c r="B146" s="11" t="str">
        <f>_xlfn.XLOOKUP($A146,Centrum[Индекс],Centrum[Carrier/ Перевозчик],"",0,1)</f>
        <v/>
      </c>
      <c r="C146" s="11" t="str">
        <f>_xlfn.XLOOKUP($A146,Centrum[Индекс],Centrum[Country /  Страна],"",0,1)</f>
        <v/>
      </c>
      <c r="D146" s="11" t="str">
        <f>_xlfn.XLOOKUP($A146,Centrum[Индекс],Centrum[Container num./ 
№ контейнера],"",0,1)</f>
        <v/>
      </c>
      <c r="E146" s="11" t="str">
        <f>_xlfn.XLOOKUP($A146,Centrum[Индекс],Centrum[Supplier/
Поставщик],"",0,1)</f>
        <v/>
      </c>
      <c r="F146" s="11" t="str">
        <f>_xlfn.XLOOKUP($A146,Centrum[Индекс],Centrum[Shippers invoice no/ 
Номер инвойса поставщика],"",1)</f>
        <v/>
      </c>
      <c r="G146" s="15" t="str">
        <f>_xlfn.XLOOKUP($A146,Centrum[Индекс],Centrum[Invoice value / Стоимость груза в к-ре по инвойсу],"",0,1)</f>
        <v/>
      </c>
      <c r="H146" s="14" t="s">
        <v>40</v>
      </c>
      <c r="I146" s="11" t="str">
        <f>_xlfn.XLOOKUP($A146,Centrum[Индекс],Centrum[CBM on the shipper/ 
CBM по поставщику],"",0,1)</f>
        <v/>
      </c>
      <c r="J146" s="16" t="str">
        <f>_xlfn.XLOOKUP($A146,Centrum[Индекс],Centrum[Gross weight of cont// 
Гросс.вес по конт.],"",0,1)</f>
        <v/>
      </c>
      <c r="K146" s="17" t="str">
        <f>_xlfn.XLOOKUP($A146,Centrum[Индекс],Centrum[Route/ Маршрут (TSR/TCR)],"",0,1)</f>
        <v/>
      </c>
      <c r="L146" s="11" t="str">
        <f>_xlfn.XLOOKUP($A146,Centrum[Индекс],Centrum[Условия поставки],"",0,1)</f>
        <v/>
      </c>
      <c r="M146" s="11" t="str">
        <f>_xlfn.XLOOKUP($A146,Centrum[Индекс],Centrum[№ HBL date / 
№/ дата коносамента],"",0,1)</f>
        <v/>
      </c>
      <c r="N146" s="11" t="str">
        <f>_xlfn.XLOOKUP($A146,Centrum[Индекс],Centrum[№ MBL / 
№/ коносамента],"",0,1)</f>
        <v/>
      </c>
      <c r="O146" s="8" t="e">
        <f>(_xlfn.XLOOKUP($A146,Centrum[Индекс],Centrum[Date on board / Дата погрузки на судно],"",0,1))*1</f>
        <v>#VALUE!</v>
      </c>
      <c r="P146" s="8" t="e">
        <f>(_xlfn.XLOOKUP($A146,Centrum[Индекс],Centrum[Date of arrival to Sary-Agach/ Дата прибытия на Сары-Агач],"",0,1))*1</f>
        <v>#VALUE!</v>
      </c>
      <c r="Q146" s="14" t="str">
        <f>_xlfn.XLOOKUP($A146,Centrum[Индекс],Centrum[Container type/ 
Тип контейнера],"",0,1)</f>
        <v/>
      </c>
      <c r="R146" s="16">
        <f>_xlfn.XLOOKUP($A146,Centrum[Индекс],Centrum[Transportation cost per supplier/ 
Cтоимость перевозки по поставщикам],0,0,1)</f>
        <v>0</v>
      </c>
      <c r="S146" s="16">
        <f>Шаблон_Формулы!$T146-Шаблон_Формулы!$R146</f>
        <v>0</v>
      </c>
      <c r="T146" s="16">
        <f>_xlfn.XLOOKUP($A146,Centrum[Индекс],Centrum[Transportation total amount / Общая стоимость перевозки],0,0,1)</f>
        <v>0</v>
      </c>
      <c r="U146" s="12" cm="1">
        <f t="array" ref="U146">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6" s="16">
        <f>_xlfn.XLOOKUP(Шаблон_Формулы[[#This Row],[21]],Курс_USD[Дата],Курс_USD[Курс],,0,1)</f>
        <v>12228.05</v>
      </c>
      <c r="W146" s="16">
        <f>Шаблон_Формулы!$T146*Шаблон_Формулы!$V146</f>
        <v>0</v>
      </c>
      <c r="Y146" s="16">
        <f>Шаблон_Формулы!$W146+Шаблон_Формулы!$X146</f>
        <v>0</v>
      </c>
      <c r="Z146" s="14" t="str">
        <f>_xlfn.XLOOKUP($A146,Centrum[Индекс],Centrum[Transport co invoice no/ 
Номер инвойса ТК],"",0,1)</f>
        <v/>
      </c>
    </row>
    <row r="147" spans="1:26" s="11" customFormat="1" x14ac:dyDescent="0.3">
      <c r="A147" s="14">
        <v>143</v>
      </c>
      <c r="B147" s="11" t="str">
        <f>_xlfn.XLOOKUP($A147,Centrum[Индекс],Centrum[Carrier/ Перевозчик],"",0,1)</f>
        <v/>
      </c>
      <c r="C147" s="11" t="str">
        <f>_xlfn.XLOOKUP($A147,Centrum[Индекс],Centrum[Country /  Страна],"",0,1)</f>
        <v/>
      </c>
      <c r="D147" s="11" t="str">
        <f>_xlfn.XLOOKUP($A147,Centrum[Индекс],Centrum[Container num./ 
№ контейнера],"",0,1)</f>
        <v/>
      </c>
      <c r="E147" s="11" t="str">
        <f>_xlfn.XLOOKUP($A147,Centrum[Индекс],Centrum[Supplier/
Поставщик],"",0,1)</f>
        <v/>
      </c>
      <c r="F147" s="11" t="str">
        <f>_xlfn.XLOOKUP($A147,Centrum[Индекс],Centrum[Shippers invoice no/ 
Номер инвойса поставщика],"",1)</f>
        <v/>
      </c>
      <c r="G147" s="15" t="str">
        <f>_xlfn.XLOOKUP($A147,Centrum[Индекс],Centrum[Invoice value / Стоимость груза в к-ре по инвойсу],"",0,1)</f>
        <v/>
      </c>
      <c r="H147" s="14" t="s">
        <v>40</v>
      </c>
      <c r="I147" s="11" t="str">
        <f>_xlfn.XLOOKUP($A147,Centrum[Индекс],Centrum[CBM on the shipper/ 
CBM по поставщику],"",0,1)</f>
        <v/>
      </c>
      <c r="J147" s="16" t="str">
        <f>_xlfn.XLOOKUP($A147,Centrum[Индекс],Centrum[Gross weight of cont// 
Гросс.вес по конт.],"",0,1)</f>
        <v/>
      </c>
      <c r="K147" s="17" t="str">
        <f>_xlfn.XLOOKUP($A147,Centrum[Индекс],Centrum[Route/ Маршрут (TSR/TCR)],"",0,1)</f>
        <v/>
      </c>
      <c r="L147" s="11" t="str">
        <f>_xlfn.XLOOKUP($A147,Centrum[Индекс],Centrum[Условия поставки],"",0,1)</f>
        <v/>
      </c>
      <c r="M147" s="11" t="str">
        <f>_xlfn.XLOOKUP($A147,Centrum[Индекс],Centrum[№ HBL date / 
№/ дата коносамента],"",0,1)</f>
        <v/>
      </c>
      <c r="N147" s="11" t="str">
        <f>_xlfn.XLOOKUP($A147,Centrum[Индекс],Centrum[№ MBL / 
№/ коносамента],"",0,1)</f>
        <v/>
      </c>
      <c r="O147" s="8" t="e">
        <f>(_xlfn.XLOOKUP($A147,Centrum[Индекс],Centrum[Date on board / Дата погрузки на судно],"",0,1))*1</f>
        <v>#VALUE!</v>
      </c>
      <c r="P147" s="8" t="e">
        <f>(_xlfn.XLOOKUP($A147,Centrum[Индекс],Centrum[Date of arrival to Sary-Agach/ Дата прибытия на Сары-Агач],"",0,1))*1</f>
        <v>#VALUE!</v>
      </c>
      <c r="Q147" s="14" t="str">
        <f>_xlfn.XLOOKUP($A147,Centrum[Индекс],Centrum[Container type/ 
Тип контейнера],"",0,1)</f>
        <v/>
      </c>
      <c r="R147" s="16">
        <f>_xlfn.XLOOKUP($A147,Centrum[Индекс],Centrum[Transportation cost per supplier/ 
Cтоимость перевозки по поставщикам],0,0,1)</f>
        <v>0</v>
      </c>
      <c r="S147" s="16">
        <f>Шаблон_Формулы!$T147-Шаблон_Формулы!$R147</f>
        <v>0</v>
      </c>
      <c r="T147" s="16">
        <f>_xlfn.XLOOKUP($A147,Centrum[Индекс],Centrum[Transportation total amount / Общая стоимость перевозки],0,0,1)</f>
        <v>0</v>
      </c>
      <c r="U147" s="12" cm="1">
        <f t="array" ref="U147">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7" s="16">
        <f>_xlfn.XLOOKUP(Шаблон_Формулы[[#This Row],[21]],Курс_USD[Дата],Курс_USD[Курс],,0,1)</f>
        <v>12228.05</v>
      </c>
      <c r="W147" s="16">
        <f>Шаблон_Формулы!$T147*Шаблон_Формулы!$V147</f>
        <v>0</v>
      </c>
      <c r="Y147" s="16">
        <f>Шаблон_Формулы!$W147+Шаблон_Формулы!$X147</f>
        <v>0</v>
      </c>
      <c r="Z147" s="14" t="str">
        <f>_xlfn.XLOOKUP($A147,Centrum[Индекс],Centrum[Transport co invoice no/ 
Номер инвойса ТК],"",0,1)</f>
        <v/>
      </c>
    </row>
    <row r="148" spans="1:26" s="11" customFormat="1" x14ac:dyDescent="0.3">
      <c r="A148" s="14">
        <v>144</v>
      </c>
      <c r="B148" s="11" t="str">
        <f>_xlfn.XLOOKUP($A148,Centrum[Индекс],Centrum[Carrier/ Перевозчик],"",0,1)</f>
        <v/>
      </c>
      <c r="C148" s="11" t="str">
        <f>_xlfn.XLOOKUP($A148,Centrum[Индекс],Centrum[Country /  Страна],"",0,1)</f>
        <v/>
      </c>
      <c r="D148" s="11" t="str">
        <f>_xlfn.XLOOKUP($A148,Centrum[Индекс],Centrum[Container num./ 
№ контейнера],"",0,1)</f>
        <v/>
      </c>
      <c r="E148" s="11" t="str">
        <f>_xlfn.XLOOKUP($A148,Centrum[Индекс],Centrum[Supplier/
Поставщик],"",0,1)</f>
        <v/>
      </c>
      <c r="F148" s="11" t="str">
        <f>_xlfn.XLOOKUP($A148,Centrum[Индекс],Centrum[Shippers invoice no/ 
Номер инвойса поставщика],"",1)</f>
        <v/>
      </c>
      <c r="G148" s="15" t="str">
        <f>_xlfn.XLOOKUP($A148,Centrum[Индекс],Centrum[Invoice value / Стоимость груза в к-ре по инвойсу],"",0,1)</f>
        <v/>
      </c>
      <c r="H148" s="14" t="s">
        <v>40</v>
      </c>
      <c r="I148" s="11" t="str">
        <f>_xlfn.XLOOKUP($A148,Centrum[Индекс],Centrum[CBM on the shipper/ 
CBM по поставщику],"",0,1)</f>
        <v/>
      </c>
      <c r="J148" s="16" t="str">
        <f>_xlfn.XLOOKUP($A148,Centrum[Индекс],Centrum[Gross weight of cont// 
Гросс.вес по конт.],"",0,1)</f>
        <v/>
      </c>
      <c r="K148" s="17" t="str">
        <f>_xlfn.XLOOKUP($A148,Centrum[Индекс],Centrum[Route/ Маршрут (TSR/TCR)],"",0,1)</f>
        <v/>
      </c>
      <c r="L148" s="11" t="str">
        <f>_xlfn.XLOOKUP($A148,Centrum[Индекс],Centrum[Условия поставки],"",0,1)</f>
        <v/>
      </c>
      <c r="M148" s="11" t="str">
        <f>_xlfn.XLOOKUP($A148,Centrum[Индекс],Centrum[№ HBL date / 
№/ дата коносамента],"",0,1)</f>
        <v/>
      </c>
      <c r="N148" s="11" t="str">
        <f>_xlfn.XLOOKUP($A148,Centrum[Индекс],Centrum[№ MBL / 
№/ коносамента],"",0,1)</f>
        <v/>
      </c>
      <c r="O148" s="8" t="e">
        <f>(_xlfn.XLOOKUP($A148,Centrum[Индекс],Centrum[Date on board / Дата погрузки на судно],"",0,1))*1</f>
        <v>#VALUE!</v>
      </c>
      <c r="P148" s="8" t="e">
        <f>(_xlfn.XLOOKUP($A148,Centrum[Индекс],Centrum[Date of arrival to Sary-Agach/ Дата прибытия на Сары-Агач],"",0,1))*1</f>
        <v>#VALUE!</v>
      </c>
      <c r="Q148" s="14" t="str">
        <f>_xlfn.XLOOKUP($A148,Centrum[Индекс],Centrum[Container type/ 
Тип контейнера],"",0,1)</f>
        <v/>
      </c>
      <c r="R148" s="16">
        <f>_xlfn.XLOOKUP($A148,Centrum[Индекс],Centrum[Transportation cost per supplier/ 
Cтоимость перевозки по поставщикам],0,0,1)</f>
        <v>0</v>
      </c>
      <c r="S148" s="16">
        <f>Шаблон_Формулы!$T148-Шаблон_Формулы!$R148</f>
        <v>0</v>
      </c>
      <c r="T148" s="16">
        <f>_xlfn.XLOOKUP($A148,Centrum[Индекс],Centrum[Transportation total amount / Общая стоимость перевозки],0,0,1)</f>
        <v>0</v>
      </c>
      <c r="U148" s="12" cm="1">
        <f t="array" ref="U148">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8" s="16">
        <f>_xlfn.XLOOKUP(Шаблон_Формулы[[#This Row],[21]],Курс_USD[Дата],Курс_USD[Курс],,0,1)</f>
        <v>12228.05</v>
      </c>
      <c r="W148" s="16">
        <f>Шаблон_Формулы!$T148*Шаблон_Формулы!$V148</f>
        <v>0</v>
      </c>
      <c r="Y148" s="16">
        <f>Шаблон_Формулы!$W148+Шаблон_Формулы!$X148</f>
        <v>0</v>
      </c>
      <c r="Z148" s="14" t="str">
        <f>_xlfn.XLOOKUP($A148,Centrum[Индекс],Centrum[Transport co invoice no/ 
Номер инвойса ТК],"",0,1)</f>
        <v/>
      </c>
    </row>
    <row r="149" spans="1:26" s="11" customFormat="1" x14ac:dyDescent="0.3">
      <c r="A149" s="14">
        <v>145</v>
      </c>
      <c r="B149" s="11" t="str">
        <f>_xlfn.XLOOKUP($A149,Centrum[Индекс],Centrum[Carrier/ Перевозчик],"",0,1)</f>
        <v/>
      </c>
      <c r="C149" s="11" t="str">
        <f>_xlfn.XLOOKUP($A149,Centrum[Индекс],Centrum[Country /  Страна],"",0,1)</f>
        <v/>
      </c>
      <c r="D149" s="11" t="str">
        <f>_xlfn.XLOOKUP($A149,Centrum[Индекс],Centrum[Container num./ 
№ контейнера],"",0,1)</f>
        <v/>
      </c>
      <c r="E149" s="11" t="str">
        <f>_xlfn.XLOOKUP($A149,Centrum[Индекс],Centrum[Supplier/
Поставщик],"",0,1)</f>
        <v/>
      </c>
      <c r="F149" s="11" t="str">
        <f>_xlfn.XLOOKUP($A149,Centrum[Индекс],Centrum[Shippers invoice no/ 
Номер инвойса поставщика],"",1)</f>
        <v/>
      </c>
      <c r="G149" s="15" t="str">
        <f>_xlfn.XLOOKUP($A149,Centrum[Индекс],Centrum[Invoice value / Стоимость груза в к-ре по инвойсу],"",0,1)</f>
        <v/>
      </c>
      <c r="H149" s="14" t="s">
        <v>40</v>
      </c>
      <c r="I149" s="11" t="str">
        <f>_xlfn.XLOOKUP($A149,Centrum[Индекс],Centrum[CBM on the shipper/ 
CBM по поставщику],"",0,1)</f>
        <v/>
      </c>
      <c r="J149" s="16" t="str">
        <f>_xlfn.XLOOKUP($A149,Centrum[Индекс],Centrum[Gross weight of cont// 
Гросс.вес по конт.],"",0,1)</f>
        <v/>
      </c>
      <c r="K149" s="17" t="str">
        <f>_xlfn.XLOOKUP($A149,Centrum[Индекс],Centrum[Route/ Маршрут (TSR/TCR)],"",0,1)</f>
        <v/>
      </c>
      <c r="L149" s="11" t="str">
        <f>_xlfn.XLOOKUP($A149,Centrum[Индекс],Centrum[Условия поставки],"",0,1)</f>
        <v/>
      </c>
      <c r="M149" s="11" t="str">
        <f>_xlfn.XLOOKUP($A149,Centrum[Индекс],Centrum[№ HBL date / 
№/ дата коносамента],"",0,1)</f>
        <v/>
      </c>
      <c r="N149" s="11" t="str">
        <f>_xlfn.XLOOKUP($A149,Centrum[Индекс],Centrum[№ MBL / 
№/ коносамента],"",0,1)</f>
        <v/>
      </c>
      <c r="O149" s="8" t="e">
        <f>(_xlfn.XLOOKUP($A149,Centrum[Индекс],Centrum[Date on board / Дата погрузки на судно],"",0,1))*1</f>
        <v>#VALUE!</v>
      </c>
      <c r="P149" s="8" t="e">
        <f>(_xlfn.XLOOKUP($A149,Centrum[Индекс],Centrum[Date of arrival to Sary-Agach/ Дата прибытия на Сары-Агач],"",0,1))*1</f>
        <v>#VALUE!</v>
      </c>
      <c r="Q149" s="14" t="str">
        <f>_xlfn.XLOOKUP($A149,Centrum[Индекс],Centrum[Container type/ 
Тип контейнера],"",0,1)</f>
        <v/>
      </c>
      <c r="R149" s="16">
        <f>_xlfn.XLOOKUP($A149,Centrum[Индекс],Centrum[Transportation cost per supplier/ 
Cтоимость перевозки по поставщикам],0,0,1)</f>
        <v>0</v>
      </c>
      <c r="S149" s="16">
        <f>Шаблон_Формулы!$T149-Шаблон_Формулы!$R149</f>
        <v>0</v>
      </c>
      <c r="T149" s="16">
        <f>_xlfn.XLOOKUP($A149,Centrum[Индекс],Centrum[Transportation total amount / Общая стоимость перевозки],0,0,1)</f>
        <v>0</v>
      </c>
      <c r="U149" s="12" cm="1">
        <f t="array" ref="U149">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49" s="16">
        <f>_xlfn.XLOOKUP(Шаблон_Формулы[[#This Row],[21]],Курс_USD[Дата],Курс_USD[Курс],,0,1)</f>
        <v>12228.05</v>
      </c>
      <c r="W149" s="16">
        <f>Шаблон_Формулы!$T149*Шаблон_Формулы!$V149</f>
        <v>0</v>
      </c>
      <c r="Y149" s="16">
        <f>Шаблон_Формулы!$W149+Шаблон_Формулы!$X149</f>
        <v>0</v>
      </c>
      <c r="Z149" s="14" t="str">
        <f>_xlfn.XLOOKUP($A149,Centrum[Индекс],Centrum[Transport co invoice no/ 
Номер инвойса ТК],"",0,1)</f>
        <v/>
      </c>
    </row>
    <row r="150" spans="1:26" s="11" customFormat="1" x14ac:dyDescent="0.3">
      <c r="A150" s="14">
        <v>146</v>
      </c>
      <c r="B150" s="11" t="str">
        <f>_xlfn.XLOOKUP($A150,Centrum[Индекс],Centrum[Carrier/ Перевозчик],"",0,1)</f>
        <v/>
      </c>
      <c r="C150" s="11" t="str">
        <f>_xlfn.XLOOKUP($A150,Centrum[Индекс],Centrum[Country /  Страна],"",0,1)</f>
        <v/>
      </c>
      <c r="D150" s="11" t="str">
        <f>_xlfn.XLOOKUP($A150,Centrum[Индекс],Centrum[Container num./ 
№ контейнера],"",0,1)</f>
        <v/>
      </c>
      <c r="E150" s="11" t="str">
        <f>_xlfn.XLOOKUP($A150,Centrum[Индекс],Centrum[Supplier/
Поставщик],"",0,1)</f>
        <v/>
      </c>
      <c r="F150" s="11" t="str">
        <f>_xlfn.XLOOKUP($A150,Centrum[Индекс],Centrum[Shippers invoice no/ 
Номер инвойса поставщика],"",1)</f>
        <v/>
      </c>
      <c r="G150" s="15" t="str">
        <f>_xlfn.XLOOKUP($A150,Centrum[Индекс],Centrum[Invoice value / Стоимость груза в к-ре по инвойсу],"",0,1)</f>
        <v/>
      </c>
      <c r="H150" s="14" t="s">
        <v>40</v>
      </c>
      <c r="I150" s="11" t="str">
        <f>_xlfn.XLOOKUP($A150,Centrum[Индекс],Centrum[CBM on the shipper/ 
CBM по поставщику],"",0,1)</f>
        <v/>
      </c>
      <c r="J150" s="16" t="str">
        <f>_xlfn.XLOOKUP($A150,Centrum[Индекс],Centrum[Gross weight of cont// 
Гросс.вес по конт.],"",0,1)</f>
        <v/>
      </c>
      <c r="K150" s="17" t="str">
        <f>_xlfn.XLOOKUP($A150,Centrum[Индекс],Centrum[Route/ Маршрут (TSR/TCR)],"",0,1)</f>
        <v/>
      </c>
      <c r="L150" s="11" t="str">
        <f>_xlfn.XLOOKUP($A150,Centrum[Индекс],Centrum[Условия поставки],"",0,1)</f>
        <v/>
      </c>
      <c r="M150" s="11" t="str">
        <f>_xlfn.XLOOKUP($A150,Centrum[Индекс],Centrum[№ HBL date / 
№/ дата коносамента],"",0,1)</f>
        <v/>
      </c>
      <c r="N150" s="11" t="str">
        <f>_xlfn.XLOOKUP($A150,Centrum[Индекс],Centrum[№ MBL / 
№/ коносамента],"",0,1)</f>
        <v/>
      </c>
      <c r="O150" s="8" t="e">
        <f>(_xlfn.XLOOKUP($A150,Centrum[Индекс],Centrum[Date on board / Дата погрузки на судно],"",0,1))*1</f>
        <v>#VALUE!</v>
      </c>
      <c r="P150" s="8" t="e">
        <f>(_xlfn.XLOOKUP($A150,Centrum[Индекс],Centrum[Date of arrival to Sary-Agach/ Дата прибытия на Сары-Агач],"",0,1))*1</f>
        <v>#VALUE!</v>
      </c>
      <c r="Q150" s="14" t="str">
        <f>_xlfn.XLOOKUP($A150,Centrum[Индекс],Centrum[Container type/ 
Тип контейнера],"",0,1)</f>
        <v/>
      </c>
      <c r="R150" s="16">
        <f>_xlfn.XLOOKUP($A150,Centrum[Индекс],Centrum[Transportation cost per supplier/ 
Cтоимость перевозки по поставщикам],0,0,1)</f>
        <v>0</v>
      </c>
      <c r="S150" s="16">
        <f>Шаблон_Формулы!$T150-Шаблон_Формулы!$R150</f>
        <v>0</v>
      </c>
      <c r="T150" s="16">
        <f>_xlfn.XLOOKUP($A150,Centrum[Индекс],Centrum[Transportation total amount / Общая стоимость перевозки],0,0,1)</f>
        <v>0</v>
      </c>
      <c r="U150" s="12" cm="1">
        <f t="array" ref="U150">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0" s="16">
        <f>_xlfn.XLOOKUP(Шаблон_Формулы[[#This Row],[21]],Курс_USD[Дата],Курс_USD[Курс],,0,1)</f>
        <v>12228.05</v>
      </c>
      <c r="W150" s="16">
        <f>Шаблон_Формулы!$T150*Шаблон_Формулы!$V150</f>
        <v>0</v>
      </c>
      <c r="Y150" s="16">
        <f>Шаблон_Формулы!$W150+Шаблон_Формулы!$X150</f>
        <v>0</v>
      </c>
      <c r="Z150" s="14" t="str">
        <f>_xlfn.XLOOKUP($A150,Centrum[Индекс],Centrum[Transport co invoice no/ 
Номер инвойса ТК],"",0,1)</f>
        <v/>
      </c>
    </row>
    <row r="151" spans="1:26" s="11" customFormat="1" x14ac:dyDescent="0.3">
      <c r="A151" s="14">
        <v>147</v>
      </c>
      <c r="B151" s="11" t="str">
        <f>_xlfn.XLOOKUP($A151,Centrum[Индекс],Centrum[Carrier/ Перевозчик],"",0,1)</f>
        <v/>
      </c>
      <c r="C151" s="11" t="str">
        <f>_xlfn.XLOOKUP($A151,Centrum[Индекс],Centrum[Country /  Страна],"",0,1)</f>
        <v/>
      </c>
      <c r="D151" s="11" t="str">
        <f>_xlfn.XLOOKUP($A151,Centrum[Индекс],Centrum[Container num./ 
№ контейнера],"",0,1)</f>
        <v/>
      </c>
      <c r="E151" s="11" t="str">
        <f>_xlfn.XLOOKUP($A151,Centrum[Индекс],Centrum[Supplier/
Поставщик],"",0,1)</f>
        <v/>
      </c>
      <c r="F151" s="11" t="str">
        <f>_xlfn.XLOOKUP($A151,Centrum[Индекс],Centrum[Shippers invoice no/ 
Номер инвойса поставщика],"",1)</f>
        <v/>
      </c>
      <c r="G151" s="15" t="str">
        <f>_xlfn.XLOOKUP($A151,Centrum[Индекс],Centrum[Invoice value / Стоимость груза в к-ре по инвойсу],"",0,1)</f>
        <v/>
      </c>
      <c r="H151" s="14" t="s">
        <v>40</v>
      </c>
      <c r="I151" s="11" t="str">
        <f>_xlfn.XLOOKUP($A151,Centrum[Индекс],Centrum[CBM on the shipper/ 
CBM по поставщику],"",0,1)</f>
        <v/>
      </c>
      <c r="J151" s="16" t="str">
        <f>_xlfn.XLOOKUP($A151,Centrum[Индекс],Centrum[Gross weight of cont// 
Гросс.вес по конт.],"",0,1)</f>
        <v/>
      </c>
      <c r="K151" s="17" t="str">
        <f>_xlfn.XLOOKUP($A151,Centrum[Индекс],Centrum[Route/ Маршрут (TSR/TCR)],"",0,1)</f>
        <v/>
      </c>
      <c r="L151" s="11" t="str">
        <f>_xlfn.XLOOKUP($A151,Centrum[Индекс],Centrum[Условия поставки],"",0,1)</f>
        <v/>
      </c>
      <c r="M151" s="11" t="str">
        <f>_xlfn.XLOOKUP($A151,Centrum[Индекс],Centrum[№ HBL date / 
№/ дата коносамента],"",0,1)</f>
        <v/>
      </c>
      <c r="N151" s="11" t="str">
        <f>_xlfn.XLOOKUP($A151,Centrum[Индекс],Centrum[№ MBL / 
№/ коносамента],"",0,1)</f>
        <v/>
      </c>
      <c r="O151" s="8" t="e">
        <f>(_xlfn.XLOOKUP($A151,Centrum[Индекс],Centrum[Date on board / Дата погрузки на судно],"",0,1))*1</f>
        <v>#VALUE!</v>
      </c>
      <c r="P151" s="8" t="e">
        <f>(_xlfn.XLOOKUP($A151,Centrum[Индекс],Centrum[Date of arrival to Sary-Agach/ Дата прибытия на Сары-Агач],"",0,1))*1</f>
        <v>#VALUE!</v>
      </c>
      <c r="Q151" s="14" t="str">
        <f>_xlfn.XLOOKUP($A151,Centrum[Индекс],Centrum[Container type/ 
Тип контейнера],"",0,1)</f>
        <v/>
      </c>
      <c r="R151" s="16">
        <f>_xlfn.XLOOKUP($A151,Centrum[Индекс],Centrum[Transportation cost per supplier/ 
Cтоимость перевозки по поставщикам],0,0,1)</f>
        <v>0</v>
      </c>
      <c r="S151" s="16">
        <f>Шаблон_Формулы!$T151-Шаблон_Формулы!$R151</f>
        <v>0</v>
      </c>
      <c r="T151" s="16">
        <f>_xlfn.XLOOKUP($A151,Centrum[Индекс],Centrum[Transportation total amount / Общая стоимость перевозки],0,0,1)</f>
        <v>0</v>
      </c>
      <c r="U151" s="12" cm="1">
        <f t="array" ref="U151">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1" s="16">
        <f>_xlfn.XLOOKUP(Шаблон_Формулы[[#This Row],[21]],Курс_USD[Дата],Курс_USD[Курс],,0,1)</f>
        <v>12228.05</v>
      </c>
      <c r="W151" s="16">
        <f>Шаблон_Формулы!$T151*Шаблон_Формулы!$V151</f>
        <v>0</v>
      </c>
      <c r="Y151" s="16">
        <f>Шаблон_Формулы!$W151+Шаблон_Формулы!$X151</f>
        <v>0</v>
      </c>
      <c r="Z151" s="14" t="str">
        <f>_xlfn.XLOOKUP($A151,Centrum[Индекс],Centrum[Transport co invoice no/ 
Номер инвойса ТК],"",0,1)</f>
        <v/>
      </c>
    </row>
    <row r="152" spans="1:26" s="11" customFormat="1" x14ac:dyDescent="0.3">
      <c r="A152" s="14">
        <v>148</v>
      </c>
      <c r="B152" s="11" t="str">
        <f>_xlfn.XLOOKUP($A152,Centrum[Индекс],Centrum[Carrier/ Перевозчик],"",0,1)</f>
        <v/>
      </c>
      <c r="C152" s="11" t="str">
        <f>_xlfn.XLOOKUP($A152,Centrum[Индекс],Centrum[Country /  Страна],"",0,1)</f>
        <v/>
      </c>
      <c r="D152" s="11" t="str">
        <f>_xlfn.XLOOKUP($A152,Centrum[Индекс],Centrum[Container num./ 
№ контейнера],"",0,1)</f>
        <v/>
      </c>
      <c r="E152" s="11" t="str">
        <f>_xlfn.XLOOKUP($A152,Centrum[Индекс],Centrum[Supplier/
Поставщик],"",0,1)</f>
        <v/>
      </c>
      <c r="F152" s="11" t="str">
        <f>_xlfn.XLOOKUP($A152,Centrum[Индекс],Centrum[Shippers invoice no/ 
Номер инвойса поставщика],"",1)</f>
        <v/>
      </c>
      <c r="G152" s="15" t="str">
        <f>_xlfn.XLOOKUP($A152,Centrum[Индекс],Centrum[Invoice value / Стоимость груза в к-ре по инвойсу],"",0,1)</f>
        <v/>
      </c>
      <c r="H152" s="14" t="s">
        <v>40</v>
      </c>
      <c r="I152" s="11" t="str">
        <f>_xlfn.XLOOKUP($A152,Centrum[Индекс],Centrum[CBM on the shipper/ 
CBM по поставщику],"",0,1)</f>
        <v/>
      </c>
      <c r="J152" s="16" t="str">
        <f>_xlfn.XLOOKUP($A152,Centrum[Индекс],Centrum[Gross weight of cont// 
Гросс.вес по конт.],"",0,1)</f>
        <v/>
      </c>
      <c r="K152" s="17" t="str">
        <f>_xlfn.XLOOKUP($A152,Centrum[Индекс],Centrum[Route/ Маршрут (TSR/TCR)],"",0,1)</f>
        <v/>
      </c>
      <c r="L152" s="11" t="str">
        <f>_xlfn.XLOOKUP($A152,Centrum[Индекс],Centrum[Условия поставки],"",0,1)</f>
        <v/>
      </c>
      <c r="M152" s="11" t="str">
        <f>_xlfn.XLOOKUP($A152,Centrum[Индекс],Centrum[№ HBL date / 
№/ дата коносамента],"",0,1)</f>
        <v/>
      </c>
      <c r="N152" s="11" t="str">
        <f>_xlfn.XLOOKUP($A152,Centrum[Индекс],Centrum[№ MBL / 
№/ коносамента],"",0,1)</f>
        <v/>
      </c>
      <c r="O152" s="8" t="e">
        <f>(_xlfn.XLOOKUP($A152,Centrum[Индекс],Centrum[Date on board / Дата погрузки на судно],"",0,1))*1</f>
        <v>#VALUE!</v>
      </c>
      <c r="P152" s="8" t="e">
        <f>(_xlfn.XLOOKUP($A152,Centrum[Индекс],Centrum[Date of arrival to Sary-Agach/ Дата прибытия на Сары-Агач],"",0,1))*1</f>
        <v>#VALUE!</v>
      </c>
      <c r="Q152" s="14" t="str">
        <f>_xlfn.XLOOKUP($A152,Centrum[Индекс],Centrum[Container type/ 
Тип контейнера],"",0,1)</f>
        <v/>
      </c>
      <c r="R152" s="16">
        <f>_xlfn.XLOOKUP($A152,Centrum[Индекс],Centrum[Transportation cost per supplier/ 
Cтоимость перевозки по поставщикам],0,0,1)</f>
        <v>0</v>
      </c>
      <c r="S152" s="16">
        <f>Шаблон_Формулы!$T152-Шаблон_Формулы!$R152</f>
        <v>0</v>
      </c>
      <c r="T152" s="16">
        <f>_xlfn.XLOOKUP($A152,Centrum[Индекс],Centrum[Transportation total amount / Общая стоимость перевозки],0,0,1)</f>
        <v>0</v>
      </c>
      <c r="U152" s="12" cm="1">
        <f t="array" ref="U152">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2" s="16">
        <f>_xlfn.XLOOKUP(Шаблон_Формулы[[#This Row],[21]],Курс_USD[Дата],Курс_USD[Курс],,0,1)</f>
        <v>12228.05</v>
      </c>
      <c r="W152" s="16">
        <f>Шаблон_Формулы!$T152*Шаблон_Формулы!$V152</f>
        <v>0</v>
      </c>
      <c r="Y152" s="16">
        <f>Шаблон_Формулы!$W152+Шаблон_Формулы!$X152</f>
        <v>0</v>
      </c>
      <c r="Z152" s="14" t="str">
        <f>_xlfn.XLOOKUP($A152,Centrum[Индекс],Centrum[Transport co invoice no/ 
Номер инвойса ТК],"",0,1)</f>
        <v/>
      </c>
    </row>
    <row r="153" spans="1:26" s="11" customFormat="1" x14ac:dyDescent="0.3">
      <c r="A153" s="14">
        <v>149</v>
      </c>
      <c r="B153" s="11" t="str">
        <f>_xlfn.XLOOKUP($A153,Centrum[Индекс],Centrum[Carrier/ Перевозчик],"",0,1)</f>
        <v/>
      </c>
      <c r="C153" s="11" t="str">
        <f>_xlfn.XLOOKUP($A153,Centrum[Индекс],Centrum[Country /  Страна],"",0,1)</f>
        <v/>
      </c>
      <c r="D153" s="11" t="str">
        <f>_xlfn.XLOOKUP($A153,Centrum[Индекс],Centrum[Container num./ 
№ контейнера],"",0,1)</f>
        <v/>
      </c>
      <c r="E153" s="11" t="str">
        <f>_xlfn.XLOOKUP($A153,Centrum[Индекс],Centrum[Supplier/
Поставщик],"",0,1)</f>
        <v/>
      </c>
      <c r="F153" s="11" t="str">
        <f>_xlfn.XLOOKUP($A153,Centrum[Индекс],Centrum[Shippers invoice no/ 
Номер инвойса поставщика],"",1)</f>
        <v/>
      </c>
      <c r="G153" s="15" t="str">
        <f>_xlfn.XLOOKUP($A153,Centrum[Индекс],Centrum[Invoice value / Стоимость груза в к-ре по инвойсу],"",0,1)</f>
        <v/>
      </c>
      <c r="H153" s="14" t="s">
        <v>40</v>
      </c>
      <c r="I153" s="11" t="str">
        <f>_xlfn.XLOOKUP($A153,Centrum[Индекс],Centrum[CBM on the shipper/ 
CBM по поставщику],"",0,1)</f>
        <v/>
      </c>
      <c r="J153" s="16" t="str">
        <f>_xlfn.XLOOKUP($A153,Centrum[Индекс],Centrum[Gross weight of cont// 
Гросс.вес по конт.],"",0,1)</f>
        <v/>
      </c>
      <c r="K153" s="17" t="str">
        <f>_xlfn.XLOOKUP($A153,Centrum[Индекс],Centrum[Route/ Маршрут (TSR/TCR)],"",0,1)</f>
        <v/>
      </c>
      <c r="L153" s="11" t="str">
        <f>_xlfn.XLOOKUP($A153,Centrum[Индекс],Centrum[Условия поставки],"",0,1)</f>
        <v/>
      </c>
      <c r="M153" s="11" t="str">
        <f>_xlfn.XLOOKUP($A153,Centrum[Индекс],Centrum[№ HBL date / 
№/ дата коносамента],"",0,1)</f>
        <v/>
      </c>
      <c r="N153" s="11" t="str">
        <f>_xlfn.XLOOKUP($A153,Centrum[Индекс],Centrum[№ MBL / 
№/ коносамента],"",0,1)</f>
        <v/>
      </c>
      <c r="O153" s="8" t="e">
        <f>(_xlfn.XLOOKUP($A153,Centrum[Индекс],Centrum[Date on board / Дата погрузки на судно],"",0,1))*1</f>
        <v>#VALUE!</v>
      </c>
      <c r="P153" s="8" t="e">
        <f>(_xlfn.XLOOKUP($A153,Centrum[Индекс],Centrum[Date of arrival to Sary-Agach/ Дата прибытия на Сары-Агач],"",0,1))*1</f>
        <v>#VALUE!</v>
      </c>
      <c r="Q153" s="14" t="str">
        <f>_xlfn.XLOOKUP($A153,Centrum[Индекс],Centrum[Container type/ 
Тип контейнера],"",0,1)</f>
        <v/>
      </c>
      <c r="R153" s="16">
        <f>_xlfn.XLOOKUP($A153,Centrum[Индекс],Centrum[Transportation cost per supplier/ 
Cтоимость перевозки по поставщикам],0,0,1)</f>
        <v>0</v>
      </c>
      <c r="S153" s="16">
        <f>Шаблон_Формулы!$T153-Шаблон_Формулы!$R153</f>
        <v>0</v>
      </c>
      <c r="T153" s="16">
        <f>_xlfn.XLOOKUP($A153,Centrum[Индекс],Centrum[Transportation total amount / Общая стоимость перевозки],0,0,1)</f>
        <v>0</v>
      </c>
      <c r="U153" s="12" cm="1">
        <f t="array" ref="U153">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3" s="16">
        <f>_xlfn.XLOOKUP(Шаблон_Формулы[[#This Row],[21]],Курс_USD[Дата],Курс_USD[Курс],,0,1)</f>
        <v>12228.05</v>
      </c>
      <c r="W153" s="16">
        <f>Шаблон_Формулы!$T153*Шаблон_Формулы!$V153</f>
        <v>0</v>
      </c>
      <c r="Y153" s="16">
        <f>Шаблон_Формулы!$W153+Шаблон_Формулы!$X153</f>
        <v>0</v>
      </c>
      <c r="Z153" s="14" t="str">
        <f>_xlfn.XLOOKUP($A153,Centrum[Индекс],Centrum[Transport co invoice no/ 
Номер инвойса ТК],"",0,1)</f>
        <v/>
      </c>
    </row>
    <row r="154" spans="1:26" s="11" customFormat="1" x14ac:dyDescent="0.3">
      <c r="A154" s="14">
        <v>150</v>
      </c>
      <c r="B154" s="11" t="str">
        <f>_xlfn.XLOOKUP($A154,Centrum[Индекс],Centrum[Carrier/ Перевозчик],"",0,1)</f>
        <v/>
      </c>
      <c r="C154" s="11" t="str">
        <f>_xlfn.XLOOKUP($A154,Centrum[Индекс],Centrum[Country /  Страна],"",0,1)</f>
        <v/>
      </c>
      <c r="D154" s="11" t="str">
        <f>_xlfn.XLOOKUP($A154,Centrum[Индекс],Centrum[Container num./ 
№ контейнера],"",0,1)</f>
        <v/>
      </c>
      <c r="E154" s="11" t="str">
        <f>_xlfn.XLOOKUP($A154,Centrum[Индекс],Centrum[Supplier/
Поставщик],"",0,1)</f>
        <v/>
      </c>
      <c r="F154" s="11" t="str">
        <f>_xlfn.XLOOKUP($A154,Centrum[Индекс],Centrum[Shippers invoice no/ 
Номер инвойса поставщика],"",1)</f>
        <v/>
      </c>
      <c r="G154" s="15" t="str">
        <f>_xlfn.XLOOKUP($A154,Centrum[Индекс],Centrum[Invoice value / Стоимость груза в к-ре по инвойсу],"",0,1)</f>
        <v/>
      </c>
      <c r="H154" s="14" t="s">
        <v>40</v>
      </c>
      <c r="I154" s="11" t="str">
        <f>_xlfn.XLOOKUP($A154,Centrum[Индекс],Centrum[CBM on the shipper/ 
CBM по поставщику],"",0,1)</f>
        <v/>
      </c>
      <c r="J154" s="16" t="str">
        <f>_xlfn.XLOOKUP($A154,Centrum[Индекс],Centrum[Gross weight of cont// 
Гросс.вес по конт.],"",0,1)</f>
        <v/>
      </c>
      <c r="K154" s="17" t="str">
        <f>_xlfn.XLOOKUP($A154,Centrum[Индекс],Centrum[Route/ Маршрут (TSR/TCR)],"",0,1)</f>
        <v/>
      </c>
      <c r="L154" s="11" t="str">
        <f>_xlfn.XLOOKUP($A154,Centrum[Индекс],Centrum[Условия поставки],"",0,1)</f>
        <v/>
      </c>
      <c r="M154" s="11" t="str">
        <f>_xlfn.XLOOKUP($A154,Centrum[Индекс],Centrum[№ HBL date / 
№/ дата коносамента],"",0,1)</f>
        <v/>
      </c>
      <c r="N154" s="11" t="str">
        <f>_xlfn.XLOOKUP($A154,Centrum[Индекс],Centrum[№ MBL / 
№/ коносамента],"",0,1)</f>
        <v/>
      </c>
      <c r="O154" s="8" t="e">
        <f>(_xlfn.XLOOKUP($A154,Centrum[Индекс],Centrum[Date on board / Дата погрузки на судно],"",0,1))*1</f>
        <v>#VALUE!</v>
      </c>
      <c r="P154" s="8" t="e">
        <f>(_xlfn.XLOOKUP($A154,Centrum[Индекс],Centrum[Date of arrival to Sary-Agach/ Дата прибытия на Сары-Агач],"",0,1))*1</f>
        <v>#VALUE!</v>
      </c>
      <c r="Q154" s="14" t="str">
        <f>_xlfn.XLOOKUP($A154,Centrum[Индекс],Centrum[Container type/ 
Тип контейнера],"",0,1)</f>
        <v/>
      </c>
      <c r="R154" s="16">
        <f>_xlfn.XLOOKUP($A154,Centrum[Индекс],Centrum[Transportation cost per supplier/ 
Cтоимость перевозки по поставщикам],0,0,1)</f>
        <v>0</v>
      </c>
      <c r="S154" s="16">
        <f>Шаблон_Формулы!$T154-Шаблон_Формулы!$R154</f>
        <v>0</v>
      </c>
      <c r="T154" s="16">
        <f>_xlfn.XLOOKUP($A154,Centrum[Индекс],Centrum[Transportation total amount / Общая стоимость перевозки],0,0,1)</f>
        <v>0</v>
      </c>
      <c r="U154" s="12" cm="1">
        <f t="array" ref="U154">IF(ПериодОтбора[Дата курса без поиска максимального (заполняется при необходимости)]="",_xlfn.XLOOKUP("МАКС",Курс_USD[Максимальный курс],Курс_USD[Дата],,0,1),ПериодОтбора[Дата курса без поиска максимального (заполняется при необходимости)])</f>
        <v>45229</v>
      </c>
      <c r="V154" s="16">
        <f>_xlfn.XLOOKUP(Шаблон_Формулы[[#This Row],[21]],Курс_USD[Дата],Курс_USD[Курс],,0,1)</f>
        <v>12228.05</v>
      </c>
      <c r="W154" s="16">
        <f>Шаблон_Формулы!$T154*Шаблон_Формулы!$V154</f>
        <v>0</v>
      </c>
      <c r="Y154" s="16">
        <f>Шаблон_Формулы!$W154+Шаблон_Формулы!$X154</f>
        <v>0</v>
      </c>
      <c r="Z154" s="14" t="str">
        <f>_xlfn.XLOOKUP($A154,Centrum[Индекс],Centrum[Transport co invoice no/ 
Номер инвойса ТК],"",0,1)</f>
        <v/>
      </c>
    </row>
  </sheetData>
  <mergeCells count="3">
    <mergeCell ref="A1:C1"/>
    <mergeCell ref="D1:G1"/>
    <mergeCell ref="H1:Z1"/>
  </mergeCell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9"/>
  <sheetViews>
    <sheetView workbookViewId="0">
      <selection activeCell="E17" sqref="E17"/>
    </sheetView>
  </sheetViews>
  <sheetFormatPr defaultRowHeight="14.4" x14ac:dyDescent="0.3"/>
  <sheetData>
    <row r="2" spans="1:2" x14ac:dyDescent="0.3">
      <c r="A2" s="4" t="s">
        <v>28</v>
      </c>
      <c r="B2" s="4" t="s">
        <v>30</v>
      </c>
    </row>
    <row r="3" spans="1:2" x14ac:dyDescent="0.3">
      <c r="A3" s="4" t="s">
        <v>29</v>
      </c>
      <c r="B3" s="4" t="s">
        <v>31</v>
      </c>
    </row>
    <row r="4" spans="1:2" x14ac:dyDescent="0.3">
      <c r="A4" s="4" t="s">
        <v>32</v>
      </c>
      <c r="B4" s="4" t="s">
        <v>33</v>
      </c>
    </row>
    <row r="5" spans="1:2" x14ac:dyDescent="0.3">
      <c r="A5" s="4" t="s">
        <v>34</v>
      </c>
      <c r="B5" s="4" t="s">
        <v>35</v>
      </c>
    </row>
    <row r="6" spans="1:2" x14ac:dyDescent="0.3">
      <c r="A6" s="4" t="s">
        <v>36</v>
      </c>
      <c r="B6" s="4" t="s">
        <v>37</v>
      </c>
    </row>
    <row r="7" spans="1:2" x14ac:dyDescent="0.3">
      <c r="A7" s="4" t="s">
        <v>38</v>
      </c>
      <c r="B7" s="4" t="s">
        <v>39</v>
      </c>
    </row>
    <row r="8" spans="1:2" x14ac:dyDescent="0.3">
      <c r="A8" s="4" t="s">
        <v>40</v>
      </c>
      <c r="B8" s="4" t="s">
        <v>41</v>
      </c>
    </row>
    <row r="9" spans="1:2" x14ac:dyDescent="0.3">
      <c r="A9" s="4" t="s">
        <v>42</v>
      </c>
      <c r="B9" s="4"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EE1D42-1A93-422A-B5D7-E973A2F16D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Лист1</vt:lpstr>
      <vt:lpstr>Путь</vt:lpstr>
      <vt:lpstr>Centrum</vt:lpstr>
      <vt:lpstr>Курс</vt:lpstr>
      <vt:lpstr>Шаблон_Формулы</vt:lpstr>
      <vt:lpstr>Лист2</vt:lpstr>
      <vt:lpstr>Rate</vt:lpstr>
      <vt:lpstr>SRC</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Ziyovuddin Radjabmukhamedov</cp:lastModifiedBy>
  <cp:lastPrinted>2023-05-04T05:33:20Z</cp:lastPrinted>
  <dcterms:created xsi:type="dcterms:W3CDTF">2023-02-15T11:48:29Z</dcterms:created>
  <dcterms:modified xsi:type="dcterms:W3CDTF">2023-10-31T05:26:57Z</dcterms:modified>
</cp:coreProperties>
</file>