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.radjabmukhamedov\Desktop\"/>
    </mc:Choice>
  </mc:AlternateContent>
  <xr:revisionPtr revIDLastSave="0" documentId="13_ncr:1_{C1D86A01-EAB8-40D1-8AA0-548483577BA9}" xr6:coauthVersionLast="47" xr6:coauthVersionMax="47" xr10:uidLastSave="{00000000-0000-0000-0000-000000000000}"/>
  <bookViews>
    <workbookView xWindow="-28908" yWindow="-108" windowWidth="29016" windowHeight="15696" xr2:uid="{00000000-000D-0000-FFFF-FFFF00000000}"/>
  </bookViews>
  <sheets>
    <sheet name="Лист1" sheetId="8" r:id="rId1"/>
    <sheet name="Путь" sheetId="3" r:id="rId2"/>
    <sheet name="Centrum" sheetId="4" state="hidden" r:id="rId3"/>
    <sheet name="Курс" sheetId="7" r:id="rId4"/>
    <sheet name="Шаблон_Формулы" sheetId="5" state="hidden" r:id="rId5"/>
    <sheet name="Лист2" sheetId="2" state="hidden" r:id="rId6"/>
  </sheets>
  <definedNames>
    <definedName name="ExternalData_1" localSheetId="2" hidden="1">'Centrum'!$A$1:$V$51</definedName>
    <definedName name="ExternalData_1" localSheetId="3" hidden="1">Курс!$A$5:$D$26</definedName>
    <definedName name="ExternalData_1" localSheetId="0" hidden="1">Лист1!$A$2:$Z$10</definedName>
    <definedName name="Rate">Путь!$B$4</definedName>
    <definedName name="SRC">Путь!$B$2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4" i="8" l="1"/>
  <c r="U4" i="8"/>
  <c r="T4" i="8"/>
  <c r="Y6" i="8"/>
  <c r="Y7" i="8"/>
  <c r="Y8" i="8"/>
  <c r="Y9" i="8"/>
  <c r="Y10" i="8"/>
  <c r="W6" i="8"/>
  <c r="W7" i="8"/>
  <c r="W8" i="8"/>
  <c r="W9" i="8"/>
  <c r="W10" i="8"/>
  <c r="W5" i="8"/>
  <c r="T6" i="8"/>
  <c r="T7" i="8"/>
  <c r="T8" i="8"/>
  <c r="T9" i="8"/>
  <c r="T10" i="8"/>
  <c r="T4" i="5" l="1"/>
  <c r="U6" i="5" a="1"/>
  <c r="U6" i="5" s="1"/>
  <c r="V6" i="5" s="1"/>
  <c r="U7" i="5" a="1"/>
  <c r="U7" i="5" s="1"/>
  <c r="V7" i="5" s="1"/>
  <c r="U8" i="5" a="1"/>
  <c r="U8" i="5" s="1"/>
  <c r="V8" i="5" s="1"/>
  <c r="U9" i="5" a="1"/>
  <c r="U9" i="5" s="1"/>
  <c r="V9" i="5" s="1"/>
  <c r="U10" i="5" a="1"/>
  <c r="U10" i="5" s="1"/>
  <c r="V10" i="5" s="1"/>
  <c r="U11" i="5" a="1"/>
  <c r="U11" i="5" s="1"/>
  <c r="V11" i="5" s="1"/>
  <c r="U12" i="5" a="1"/>
  <c r="U12" i="5" s="1"/>
  <c r="V12" i="5" s="1"/>
  <c r="U13" i="5" a="1"/>
  <c r="U13" i="5" s="1"/>
  <c r="V13" i="5" s="1"/>
  <c r="U14" i="5" a="1"/>
  <c r="U14" i="5" s="1"/>
  <c r="V14" i="5" s="1"/>
  <c r="U15" i="5" a="1"/>
  <c r="U15" i="5" s="1"/>
  <c r="V15" i="5" s="1"/>
  <c r="U16" i="5" a="1"/>
  <c r="U16" i="5" s="1"/>
  <c r="V16" i="5" s="1"/>
  <c r="U17" i="5" a="1"/>
  <c r="U17" i="5" s="1"/>
  <c r="V17" i="5" s="1"/>
  <c r="U18" i="5" a="1"/>
  <c r="U18" i="5" s="1"/>
  <c r="V18" i="5" s="1"/>
  <c r="U19" i="5" a="1"/>
  <c r="U19" i="5" s="1"/>
  <c r="V19" i="5" s="1"/>
  <c r="U20" i="5" a="1"/>
  <c r="U20" i="5" s="1"/>
  <c r="V20" i="5" s="1"/>
  <c r="U21" i="5" a="1"/>
  <c r="U21" i="5" s="1"/>
  <c r="V21" i="5" s="1"/>
  <c r="U22" i="5" a="1"/>
  <c r="U22" i="5" s="1"/>
  <c r="V22" i="5" s="1"/>
  <c r="U23" i="5" a="1"/>
  <c r="U23" i="5" s="1"/>
  <c r="V23" i="5" s="1"/>
  <c r="U24" i="5" a="1"/>
  <c r="U24" i="5" s="1"/>
  <c r="V24" i="5" s="1"/>
  <c r="U25" i="5" a="1"/>
  <c r="U25" i="5" s="1"/>
  <c r="V25" i="5" s="1"/>
  <c r="U26" i="5" a="1"/>
  <c r="U26" i="5" s="1"/>
  <c r="V26" i="5" s="1"/>
  <c r="U27" i="5" a="1"/>
  <c r="U27" i="5" s="1"/>
  <c r="V27" i="5" s="1"/>
  <c r="U28" i="5" a="1"/>
  <c r="U28" i="5" s="1"/>
  <c r="V28" i="5" s="1"/>
  <c r="U29" i="5" a="1"/>
  <c r="U29" i="5" s="1"/>
  <c r="V29" i="5" s="1"/>
  <c r="U30" i="5" a="1"/>
  <c r="U30" i="5" s="1"/>
  <c r="V30" i="5" s="1"/>
  <c r="U31" i="5" a="1"/>
  <c r="U31" i="5" s="1"/>
  <c r="V31" i="5" s="1"/>
  <c r="U32" i="5" a="1"/>
  <c r="U32" i="5" s="1"/>
  <c r="V32" i="5" s="1"/>
  <c r="U33" i="5" a="1"/>
  <c r="U33" i="5" s="1"/>
  <c r="V33" i="5" s="1"/>
  <c r="U34" i="5" a="1"/>
  <c r="U34" i="5" s="1"/>
  <c r="V34" i="5" s="1"/>
  <c r="U35" i="5" a="1"/>
  <c r="U35" i="5" s="1"/>
  <c r="V35" i="5" s="1"/>
  <c r="U36" i="5" a="1"/>
  <c r="U36" i="5" s="1"/>
  <c r="V36" i="5" s="1"/>
  <c r="U37" i="5" a="1"/>
  <c r="U37" i="5" s="1"/>
  <c r="V37" i="5" s="1"/>
  <c r="U38" i="5" a="1"/>
  <c r="U38" i="5" s="1"/>
  <c r="V38" i="5" s="1"/>
  <c r="U39" i="5" a="1"/>
  <c r="U39" i="5" s="1"/>
  <c r="V39" i="5" s="1"/>
  <c r="U40" i="5" a="1"/>
  <c r="U40" i="5" s="1"/>
  <c r="V40" i="5" s="1"/>
  <c r="U41" i="5" a="1"/>
  <c r="U41" i="5" s="1"/>
  <c r="V41" i="5" s="1"/>
  <c r="U42" i="5" a="1"/>
  <c r="U42" i="5" s="1"/>
  <c r="V42" i="5" s="1"/>
  <c r="U43" i="5" a="1"/>
  <c r="U43" i="5" s="1"/>
  <c r="V43" i="5" s="1"/>
  <c r="U44" i="5" a="1"/>
  <c r="U44" i="5" s="1"/>
  <c r="V44" i="5" s="1"/>
  <c r="U45" i="5" a="1"/>
  <c r="U45" i="5" s="1"/>
  <c r="V45" i="5" s="1"/>
  <c r="U46" i="5" a="1"/>
  <c r="U46" i="5" s="1"/>
  <c r="V46" i="5" s="1"/>
  <c r="U47" i="5" a="1"/>
  <c r="U47" i="5" s="1"/>
  <c r="V47" i="5" s="1"/>
  <c r="U48" i="5" a="1"/>
  <c r="U48" i="5" s="1"/>
  <c r="V48" i="5" s="1"/>
  <c r="U49" i="5" a="1"/>
  <c r="U49" i="5" s="1"/>
  <c r="V49" i="5" s="1"/>
  <c r="U50" i="5" a="1"/>
  <c r="U50" i="5" s="1"/>
  <c r="V50" i="5" s="1"/>
  <c r="U51" i="5" a="1"/>
  <c r="U51" i="5" s="1"/>
  <c r="V51" i="5" s="1"/>
  <c r="U52" i="5" a="1"/>
  <c r="U52" i="5" s="1"/>
  <c r="V52" i="5" s="1"/>
  <c r="U53" i="5" a="1"/>
  <c r="U53" i="5" s="1"/>
  <c r="V53" i="5" s="1"/>
  <c r="U54" i="5" a="1"/>
  <c r="U54" i="5" s="1"/>
  <c r="V54" i="5" s="1"/>
  <c r="U55" i="5" a="1"/>
  <c r="U55" i="5" s="1"/>
  <c r="V55" i="5" s="1"/>
  <c r="U56" i="5" a="1"/>
  <c r="U56" i="5" s="1"/>
  <c r="V56" i="5" s="1"/>
  <c r="U57" i="5" a="1"/>
  <c r="U57" i="5" s="1"/>
  <c r="V57" i="5" s="1"/>
  <c r="U58" i="5" a="1"/>
  <c r="U58" i="5" s="1"/>
  <c r="V58" i="5" s="1"/>
  <c r="U59" i="5" a="1"/>
  <c r="U59" i="5" s="1"/>
  <c r="V59" i="5" s="1"/>
  <c r="U60" i="5" a="1"/>
  <c r="U60" i="5" s="1"/>
  <c r="V60" i="5" s="1"/>
  <c r="U61" i="5" a="1"/>
  <c r="U61" i="5" s="1"/>
  <c r="V61" i="5" s="1"/>
  <c r="U62" i="5" a="1"/>
  <c r="U62" i="5" s="1"/>
  <c r="V62" i="5" s="1"/>
  <c r="U63" i="5" a="1"/>
  <c r="U63" i="5" s="1"/>
  <c r="V63" i="5" s="1"/>
  <c r="U64" i="5" a="1"/>
  <c r="U64" i="5" s="1"/>
  <c r="V64" i="5" s="1"/>
  <c r="U65" i="5" a="1"/>
  <c r="U65" i="5" s="1"/>
  <c r="V65" i="5" s="1"/>
  <c r="U66" i="5" a="1"/>
  <c r="U66" i="5" s="1"/>
  <c r="V66" i="5" s="1"/>
  <c r="U67" i="5" a="1"/>
  <c r="U67" i="5" s="1"/>
  <c r="V67" i="5" s="1"/>
  <c r="U68" i="5" a="1"/>
  <c r="U68" i="5" s="1"/>
  <c r="V68" i="5" s="1"/>
  <c r="U69" i="5" a="1"/>
  <c r="U69" i="5" s="1"/>
  <c r="V69" i="5" s="1"/>
  <c r="U70" i="5" a="1"/>
  <c r="U70" i="5" s="1"/>
  <c r="V70" i="5" s="1"/>
  <c r="U71" i="5" a="1"/>
  <c r="U71" i="5" s="1"/>
  <c r="V71" i="5" s="1"/>
  <c r="U72" i="5" a="1"/>
  <c r="U72" i="5" s="1"/>
  <c r="V72" i="5" s="1"/>
  <c r="U73" i="5" a="1"/>
  <c r="U73" i="5" s="1"/>
  <c r="V73" i="5" s="1"/>
  <c r="U74" i="5" a="1"/>
  <c r="U74" i="5" s="1"/>
  <c r="V74" i="5" s="1"/>
  <c r="U75" i="5" a="1"/>
  <c r="U75" i="5" s="1"/>
  <c r="V75" i="5" s="1"/>
  <c r="U76" i="5" a="1"/>
  <c r="U76" i="5" s="1"/>
  <c r="V76" i="5" s="1"/>
  <c r="U77" i="5" a="1"/>
  <c r="U77" i="5" s="1"/>
  <c r="V77" i="5" s="1"/>
  <c r="U78" i="5" a="1"/>
  <c r="U78" i="5" s="1"/>
  <c r="V78" i="5" s="1"/>
  <c r="U79" i="5" a="1"/>
  <c r="U79" i="5" s="1"/>
  <c r="V79" i="5" s="1"/>
  <c r="U80" i="5" a="1"/>
  <c r="U80" i="5" s="1"/>
  <c r="V80" i="5" s="1"/>
  <c r="U81" i="5" a="1"/>
  <c r="U81" i="5" s="1"/>
  <c r="V81" i="5" s="1"/>
  <c r="U82" i="5" a="1"/>
  <c r="U82" i="5" s="1"/>
  <c r="V82" i="5" s="1"/>
  <c r="U83" i="5" a="1"/>
  <c r="U83" i="5" s="1"/>
  <c r="V83" i="5" s="1"/>
  <c r="U84" i="5" a="1"/>
  <c r="U84" i="5" s="1"/>
  <c r="V84" i="5" s="1"/>
  <c r="U85" i="5" a="1"/>
  <c r="U85" i="5" s="1"/>
  <c r="V85" i="5" s="1"/>
  <c r="U86" i="5" a="1"/>
  <c r="U86" i="5" s="1"/>
  <c r="V86" i="5" s="1"/>
  <c r="U87" i="5" a="1"/>
  <c r="U87" i="5" s="1"/>
  <c r="V87" i="5" s="1"/>
  <c r="U88" i="5" a="1"/>
  <c r="U88" i="5" s="1"/>
  <c r="V88" i="5" s="1"/>
  <c r="U89" i="5" a="1"/>
  <c r="U89" i="5" s="1"/>
  <c r="V89" i="5" s="1"/>
  <c r="U90" i="5" a="1"/>
  <c r="U90" i="5" s="1"/>
  <c r="V90" i="5" s="1"/>
  <c r="U91" i="5" a="1"/>
  <c r="U91" i="5" s="1"/>
  <c r="V91" i="5" s="1"/>
  <c r="U92" i="5" a="1"/>
  <c r="U92" i="5" s="1"/>
  <c r="V92" i="5" s="1"/>
  <c r="U93" i="5" a="1"/>
  <c r="U93" i="5" s="1"/>
  <c r="V93" i="5" s="1"/>
  <c r="U94" i="5" a="1"/>
  <c r="U94" i="5" s="1"/>
  <c r="V94" i="5" s="1"/>
  <c r="U95" i="5" a="1"/>
  <c r="U95" i="5" s="1"/>
  <c r="V95" i="5" s="1"/>
  <c r="U96" i="5" a="1"/>
  <c r="U96" i="5" s="1"/>
  <c r="V96" i="5" s="1"/>
  <c r="U97" i="5" a="1"/>
  <c r="U97" i="5" s="1"/>
  <c r="V97" i="5" s="1"/>
  <c r="U98" i="5" a="1"/>
  <c r="U98" i="5" s="1"/>
  <c r="V98" i="5" s="1"/>
  <c r="U99" i="5" a="1"/>
  <c r="U99" i="5" s="1"/>
  <c r="V99" i="5" s="1"/>
  <c r="U100" i="5" a="1"/>
  <c r="U100" i="5" s="1"/>
  <c r="V100" i="5" s="1"/>
  <c r="U101" i="5" a="1"/>
  <c r="U101" i="5" s="1"/>
  <c r="V101" i="5" s="1"/>
  <c r="U102" i="5" a="1"/>
  <c r="U102" i="5" s="1"/>
  <c r="V102" i="5" s="1"/>
  <c r="U103" i="5" a="1"/>
  <c r="U103" i="5" s="1"/>
  <c r="V103" i="5" s="1"/>
  <c r="U104" i="5" a="1"/>
  <c r="U104" i="5" s="1"/>
  <c r="V104" i="5" s="1"/>
  <c r="U105" i="5" a="1"/>
  <c r="U105" i="5" s="1"/>
  <c r="V105" i="5" s="1"/>
  <c r="U106" i="5" a="1"/>
  <c r="U106" i="5" s="1"/>
  <c r="V106" i="5" s="1"/>
  <c r="U107" i="5" a="1"/>
  <c r="U107" i="5" s="1"/>
  <c r="V107" i="5" s="1"/>
  <c r="U108" i="5" a="1"/>
  <c r="U108" i="5" s="1"/>
  <c r="V108" i="5" s="1"/>
  <c r="U109" i="5" a="1"/>
  <c r="U109" i="5" s="1"/>
  <c r="V109" i="5" s="1"/>
  <c r="U110" i="5" a="1"/>
  <c r="U110" i="5" s="1"/>
  <c r="V110" i="5" s="1"/>
  <c r="U111" i="5" a="1"/>
  <c r="U111" i="5" s="1"/>
  <c r="V111" i="5" s="1"/>
  <c r="U112" i="5" a="1"/>
  <c r="U112" i="5" s="1"/>
  <c r="V112" i="5" s="1"/>
  <c r="U113" i="5" a="1"/>
  <c r="U113" i="5" s="1"/>
  <c r="V113" i="5" s="1"/>
  <c r="U114" i="5" a="1"/>
  <c r="U114" i="5" s="1"/>
  <c r="V114" i="5" s="1"/>
  <c r="U115" i="5" a="1"/>
  <c r="U115" i="5" s="1"/>
  <c r="V115" i="5" s="1"/>
  <c r="U116" i="5" a="1"/>
  <c r="U116" i="5" s="1"/>
  <c r="V116" i="5" s="1"/>
  <c r="U117" i="5" a="1"/>
  <c r="U117" i="5" s="1"/>
  <c r="V117" i="5" s="1"/>
  <c r="U118" i="5" a="1"/>
  <c r="U118" i="5" s="1"/>
  <c r="V118" i="5" s="1"/>
  <c r="U119" i="5" a="1"/>
  <c r="U119" i="5" s="1"/>
  <c r="V119" i="5" s="1"/>
  <c r="U120" i="5" a="1"/>
  <c r="U120" i="5" s="1"/>
  <c r="V120" i="5" s="1"/>
  <c r="U121" i="5" a="1"/>
  <c r="U121" i="5" s="1"/>
  <c r="V121" i="5" s="1"/>
  <c r="U122" i="5" a="1"/>
  <c r="U122" i="5" s="1"/>
  <c r="V122" i="5" s="1"/>
  <c r="U123" i="5" a="1"/>
  <c r="U123" i="5" s="1"/>
  <c r="V123" i="5" s="1"/>
  <c r="U124" i="5" a="1"/>
  <c r="U124" i="5" s="1"/>
  <c r="V124" i="5" s="1"/>
  <c r="U125" i="5" a="1"/>
  <c r="U125" i="5" s="1"/>
  <c r="V125" i="5" s="1"/>
  <c r="U126" i="5" a="1"/>
  <c r="U126" i="5" s="1"/>
  <c r="V126" i="5" s="1"/>
  <c r="U127" i="5" a="1"/>
  <c r="U127" i="5" s="1"/>
  <c r="V127" i="5" s="1"/>
  <c r="U128" i="5" a="1"/>
  <c r="U128" i="5" s="1"/>
  <c r="V128" i="5" s="1"/>
  <c r="U129" i="5" a="1"/>
  <c r="U129" i="5" s="1"/>
  <c r="V129" i="5" s="1"/>
  <c r="U130" i="5" a="1"/>
  <c r="U130" i="5" s="1"/>
  <c r="V130" i="5" s="1"/>
  <c r="U131" i="5" a="1"/>
  <c r="U131" i="5" s="1"/>
  <c r="V131" i="5" s="1"/>
  <c r="U132" i="5" a="1"/>
  <c r="U132" i="5" s="1"/>
  <c r="V132" i="5" s="1"/>
  <c r="U133" i="5" a="1"/>
  <c r="U133" i="5" s="1"/>
  <c r="V133" i="5" s="1"/>
  <c r="U134" i="5" a="1"/>
  <c r="U134" i="5" s="1"/>
  <c r="V134" i="5" s="1"/>
  <c r="U135" i="5" a="1"/>
  <c r="U135" i="5" s="1"/>
  <c r="V135" i="5" s="1"/>
  <c r="U136" i="5" a="1"/>
  <c r="U136" i="5" s="1"/>
  <c r="V136" i="5" s="1"/>
  <c r="U137" i="5" a="1"/>
  <c r="U137" i="5" s="1"/>
  <c r="V137" i="5" s="1"/>
  <c r="U138" i="5" a="1"/>
  <c r="U138" i="5" s="1"/>
  <c r="V138" i="5" s="1"/>
  <c r="U139" i="5" a="1"/>
  <c r="U139" i="5" s="1"/>
  <c r="V139" i="5" s="1"/>
  <c r="U140" i="5" a="1"/>
  <c r="U140" i="5" s="1"/>
  <c r="V140" i="5" s="1"/>
  <c r="U141" i="5" a="1"/>
  <c r="U141" i="5" s="1"/>
  <c r="V141" i="5" s="1"/>
  <c r="U142" i="5" a="1"/>
  <c r="U142" i="5" s="1"/>
  <c r="V142" i="5" s="1"/>
  <c r="U143" i="5" a="1"/>
  <c r="U143" i="5" s="1"/>
  <c r="V143" i="5" s="1"/>
  <c r="U144" i="5" a="1"/>
  <c r="U144" i="5" s="1"/>
  <c r="V144" i="5" s="1"/>
  <c r="U145" i="5" a="1"/>
  <c r="U145" i="5" s="1"/>
  <c r="V145" i="5" s="1"/>
  <c r="U146" i="5" a="1"/>
  <c r="U146" i="5" s="1"/>
  <c r="V146" i="5" s="1"/>
  <c r="U147" i="5" a="1"/>
  <c r="U147" i="5" s="1"/>
  <c r="V147" i="5" s="1"/>
  <c r="U148" i="5" a="1"/>
  <c r="U148" i="5" s="1"/>
  <c r="V148" i="5" s="1"/>
  <c r="U149" i="5" a="1"/>
  <c r="U149" i="5" s="1"/>
  <c r="V149" i="5" s="1"/>
  <c r="U150" i="5" a="1"/>
  <c r="U150" i="5" s="1"/>
  <c r="V150" i="5" s="1"/>
  <c r="U151" i="5" a="1"/>
  <c r="U151" i="5" s="1"/>
  <c r="V151" i="5" s="1"/>
  <c r="U152" i="5" a="1"/>
  <c r="U152" i="5" s="1"/>
  <c r="V152" i="5" s="1"/>
  <c r="U153" i="5" a="1"/>
  <c r="U153" i="5" s="1"/>
  <c r="V153" i="5" s="1"/>
  <c r="U154" i="5" a="1"/>
  <c r="U154" i="5" s="1"/>
  <c r="V154" i="5" s="1"/>
  <c r="U5" i="5" a="1"/>
  <c r="U5" i="5" s="1"/>
  <c r="V5" i="5" s="1"/>
  <c r="A4" i="7" l="1"/>
  <c r="B1" i="3" a="1"/>
  <c r="B1" i="3" s="1"/>
  <c r="B2" i="7" l="1"/>
  <c r="A2" i="7"/>
  <c r="C2" i="7" s="1"/>
  <c r="P154" i="5" l="1"/>
  <c r="O154" i="5"/>
  <c r="P153" i="5"/>
  <c r="O153" i="5"/>
  <c r="P152" i="5"/>
  <c r="O152" i="5"/>
  <c r="P151" i="5"/>
  <c r="O151" i="5"/>
  <c r="P150" i="5"/>
  <c r="O150" i="5"/>
  <c r="P149" i="5"/>
  <c r="O149" i="5"/>
  <c r="P148" i="5"/>
  <c r="O148" i="5"/>
  <c r="P147" i="5"/>
  <c r="O147" i="5"/>
  <c r="P146" i="5"/>
  <c r="O146" i="5"/>
  <c r="P145" i="5"/>
  <c r="O145" i="5"/>
  <c r="P144" i="5"/>
  <c r="O144" i="5"/>
  <c r="P143" i="5"/>
  <c r="O143" i="5"/>
  <c r="P142" i="5"/>
  <c r="O142" i="5"/>
  <c r="P141" i="5"/>
  <c r="O141" i="5"/>
  <c r="P140" i="5"/>
  <c r="O140" i="5"/>
  <c r="P139" i="5"/>
  <c r="O139" i="5"/>
  <c r="P138" i="5"/>
  <c r="O138" i="5"/>
  <c r="P137" i="5"/>
  <c r="O137" i="5"/>
  <c r="P136" i="5"/>
  <c r="O136" i="5"/>
  <c r="P135" i="5"/>
  <c r="O135" i="5"/>
  <c r="P134" i="5"/>
  <c r="O134" i="5"/>
  <c r="P133" i="5"/>
  <c r="O133" i="5"/>
  <c r="P132" i="5"/>
  <c r="O132" i="5"/>
  <c r="P131" i="5"/>
  <c r="O131" i="5"/>
  <c r="P130" i="5"/>
  <c r="O130" i="5"/>
  <c r="P129" i="5"/>
  <c r="O129" i="5"/>
  <c r="P128" i="5"/>
  <c r="O128" i="5"/>
  <c r="P127" i="5"/>
  <c r="O127" i="5"/>
  <c r="P126" i="5"/>
  <c r="O126" i="5"/>
  <c r="P125" i="5"/>
  <c r="O125" i="5"/>
  <c r="P124" i="5"/>
  <c r="O124" i="5"/>
  <c r="P123" i="5"/>
  <c r="O123" i="5"/>
  <c r="P122" i="5"/>
  <c r="O122" i="5"/>
  <c r="P121" i="5"/>
  <c r="O121" i="5"/>
  <c r="P120" i="5"/>
  <c r="O120" i="5"/>
  <c r="P119" i="5"/>
  <c r="O119" i="5"/>
  <c r="P118" i="5"/>
  <c r="O118" i="5"/>
  <c r="P117" i="5"/>
  <c r="O117" i="5"/>
  <c r="P116" i="5"/>
  <c r="O116" i="5"/>
  <c r="P115" i="5"/>
  <c r="O115" i="5"/>
  <c r="P114" i="5"/>
  <c r="O114" i="5"/>
  <c r="P113" i="5"/>
  <c r="O113" i="5"/>
  <c r="P112" i="5"/>
  <c r="O112" i="5"/>
  <c r="P111" i="5"/>
  <c r="O111" i="5"/>
  <c r="P110" i="5"/>
  <c r="O110" i="5"/>
  <c r="P109" i="5"/>
  <c r="O109" i="5"/>
  <c r="P108" i="5"/>
  <c r="O108" i="5"/>
  <c r="P107" i="5"/>
  <c r="O107" i="5"/>
  <c r="P106" i="5"/>
  <c r="O106" i="5"/>
  <c r="P105" i="5"/>
  <c r="O105" i="5"/>
  <c r="P104" i="5"/>
  <c r="O104" i="5"/>
  <c r="P103" i="5"/>
  <c r="O103" i="5"/>
  <c r="P102" i="5"/>
  <c r="O102" i="5"/>
  <c r="P101" i="5"/>
  <c r="O101" i="5"/>
  <c r="P100" i="5"/>
  <c r="O100" i="5"/>
  <c r="P99" i="5"/>
  <c r="O99" i="5"/>
  <c r="P98" i="5"/>
  <c r="O98" i="5"/>
  <c r="P97" i="5"/>
  <c r="O97" i="5"/>
  <c r="P96" i="5"/>
  <c r="O96" i="5"/>
  <c r="P95" i="5"/>
  <c r="O95" i="5"/>
  <c r="P94" i="5"/>
  <c r="O94" i="5"/>
  <c r="P93" i="5"/>
  <c r="O93" i="5"/>
  <c r="P92" i="5"/>
  <c r="O92" i="5"/>
  <c r="P91" i="5"/>
  <c r="O91" i="5"/>
  <c r="P90" i="5"/>
  <c r="O90" i="5"/>
  <c r="P89" i="5"/>
  <c r="O89" i="5"/>
  <c r="P88" i="5"/>
  <c r="O88" i="5"/>
  <c r="P87" i="5"/>
  <c r="O87" i="5"/>
  <c r="P86" i="5"/>
  <c r="O86" i="5"/>
  <c r="P85" i="5"/>
  <c r="O85" i="5"/>
  <c r="P84" i="5"/>
  <c r="O84" i="5"/>
  <c r="P83" i="5"/>
  <c r="O83" i="5"/>
  <c r="P82" i="5"/>
  <c r="O82" i="5"/>
  <c r="P81" i="5"/>
  <c r="O81" i="5"/>
  <c r="P80" i="5"/>
  <c r="O80" i="5"/>
  <c r="P79" i="5"/>
  <c r="O79" i="5"/>
  <c r="P78" i="5"/>
  <c r="O78" i="5"/>
  <c r="P77" i="5"/>
  <c r="O77" i="5"/>
  <c r="P76" i="5"/>
  <c r="O76" i="5"/>
  <c r="P75" i="5"/>
  <c r="O75" i="5"/>
  <c r="P74" i="5"/>
  <c r="O74" i="5"/>
  <c r="P73" i="5"/>
  <c r="O73" i="5"/>
  <c r="P72" i="5"/>
  <c r="O72" i="5"/>
  <c r="P71" i="5"/>
  <c r="O71" i="5"/>
  <c r="P70" i="5"/>
  <c r="O70" i="5"/>
  <c r="P69" i="5"/>
  <c r="O69" i="5"/>
  <c r="P68" i="5"/>
  <c r="O68" i="5"/>
  <c r="P67" i="5"/>
  <c r="O67" i="5"/>
  <c r="P66" i="5"/>
  <c r="O66" i="5"/>
  <c r="P65" i="5"/>
  <c r="O65" i="5"/>
  <c r="P64" i="5"/>
  <c r="O64" i="5"/>
  <c r="P63" i="5"/>
  <c r="O63" i="5"/>
  <c r="P62" i="5"/>
  <c r="O62" i="5"/>
  <c r="P61" i="5"/>
  <c r="O61" i="5"/>
  <c r="P60" i="5"/>
  <c r="O60" i="5"/>
  <c r="P59" i="5"/>
  <c r="O59" i="5"/>
  <c r="P58" i="5"/>
  <c r="O58" i="5"/>
  <c r="P57" i="5"/>
  <c r="O57" i="5"/>
  <c r="P56" i="5"/>
  <c r="O56" i="5"/>
  <c r="P55" i="5"/>
  <c r="O55" i="5"/>
  <c r="P54" i="5"/>
  <c r="O54" i="5"/>
  <c r="P53" i="5"/>
  <c r="O53" i="5"/>
  <c r="P52" i="5"/>
  <c r="O52" i="5"/>
  <c r="P51" i="5"/>
  <c r="O51" i="5"/>
  <c r="P50" i="5"/>
  <c r="O50" i="5"/>
  <c r="P49" i="5"/>
  <c r="O49" i="5"/>
  <c r="P48" i="5"/>
  <c r="O48" i="5"/>
  <c r="P47" i="5"/>
  <c r="O47" i="5"/>
  <c r="P46" i="5"/>
  <c r="O46" i="5"/>
  <c r="P45" i="5"/>
  <c r="O45" i="5"/>
  <c r="P44" i="5"/>
  <c r="O44" i="5"/>
  <c r="P43" i="5"/>
  <c r="O43" i="5"/>
  <c r="P42" i="5"/>
  <c r="O42" i="5"/>
  <c r="P41" i="5"/>
  <c r="O41" i="5"/>
  <c r="P40" i="5"/>
  <c r="O40" i="5"/>
  <c r="P39" i="5"/>
  <c r="O39" i="5"/>
  <c r="P38" i="5"/>
  <c r="O38" i="5"/>
  <c r="P37" i="5"/>
  <c r="O37" i="5"/>
  <c r="P36" i="5"/>
  <c r="O36" i="5"/>
  <c r="P35" i="5"/>
  <c r="O35" i="5"/>
  <c r="P34" i="5"/>
  <c r="O34" i="5"/>
  <c r="P33" i="5"/>
  <c r="O33" i="5"/>
  <c r="P32" i="5"/>
  <c r="O32" i="5"/>
  <c r="P31" i="5"/>
  <c r="O31" i="5"/>
  <c r="P30" i="5"/>
  <c r="O30" i="5"/>
  <c r="P29" i="5"/>
  <c r="O29" i="5"/>
  <c r="P28" i="5"/>
  <c r="O28" i="5"/>
  <c r="P27" i="5"/>
  <c r="O27" i="5"/>
  <c r="P26" i="5"/>
  <c r="O26" i="5"/>
  <c r="P25" i="5"/>
  <c r="O25" i="5"/>
  <c r="P24" i="5"/>
  <c r="O24" i="5"/>
  <c r="P23" i="5"/>
  <c r="O23" i="5"/>
  <c r="P22" i="5"/>
  <c r="O22" i="5"/>
  <c r="P21" i="5"/>
  <c r="O21" i="5"/>
  <c r="P20" i="5"/>
  <c r="O20" i="5"/>
  <c r="P19" i="5"/>
  <c r="O19" i="5"/>
  <c r="P18" i="5"/>
  <c r="O18" i="5"/>
  <c r="P17" i="5"/>
  <c r="O17" i="5"/>
  <c r="P16" i="5"/>
  <c r="O16" i="5"/>
  <c r="P15" i="5"/>
  <c r="O15" i="5"/>
  <c r="P14" i="5"/>
  <c r="O14" i="5"/>
  <c r="P13" i="5"/>
  <c r="O13" i="5"/>
  <c r="P12" i="5"/>
  <c r="O12" i="5"/>
  <c r="P11" i="5"/>
  <c r="O11" i="5"/>
  <c r="P10" i="5"/>
  <c r="O10" i="5"/>
  <c r="P9" i="5"/>
  <c r="O9" i="5"/>
  <c r="P8" i="5"/>
  <c r="O8" i="5"/>
  <c r="P7" i="5"/>
  <c r="O7" i="5"/>
  <c r="P6" i="5"/>
  <c r="O6" i="5"/>
  <c r="P5" i="5"/>
  <c r="O5" i="5"/>
  <c r="D1" i="8" l="1"/>
  <c r="L6" i="5" l="1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49" i="5"/>
  <c r="L50" i="5"/>
  <c r="L51" i="5"/>
  <c r="L52" i="5"/>
  <c r="L53" i="5"/>
  <c r="L54" i="5"/>
  <c r="L55" i="5"/>
  <c r="L56" i="5"/>
  <c r="L57" i="5"/>
  <c r="L58" i="5"/>
  <c r="L59" i="5"/>
  <c r="L60" i="5"/>
  <c r="L61" i="5"/>
  <c r="L62" i="5"/>
  <c r="L63" i="5"/>
  <c r="L64" i="5"/>
  <c r="L65" i="5"/>
  <c r="L66" i="5"/>
  <c r="L67" i="5"/>
  <c r="L68" i="5"/>
  <c r="L69" i="5"/>
  <c r="L70" i="5"/>
  <c r="L71" i="5"/>
  <c r="L72" i="5"/>
  <c r="L73" i="5"/>
  <c r="L74" i="5"/>
  <c r="L75" i="5"/>
  <c r="L76" i="5"/>
  <c r="L77" i="5"/>
  <c r="L78" i="5"/>
  <c r="L79" i="5"/>
  <c r="L80" i="5"/>
  <c r="L81" i="5"/>
  <c r="L82" i="5"/>
  <c r="L83" i="5"/>
  <c r="L84" i="5"/>
  <c r="L85" i="5"/>
  <c r="L86" i="5"/>
  <c r="L87" i="5"/>
  <c r="L88" i="5"/>
  <c r="L89" i="5"/>
  <c r="L90" i="5"/>
  <c r="L91" i="5"/>
  <c r="L92" i="5"/>
  <c r="L93" i="5"/>
  <c r="L94" i="5"/>
  <c r="L95" i="5"/>
  <c r="L96" i="5"/>
  <c r="L97" i="5"/>
  <c r="L98" i="5"/>
  <c r="L99" i="5"/>
  <c r="L100" i="5"/>
  <c r="L101" i="5"/>
  <c r="L102" i="5"/>
  <c r="L103" i="5"/>
  <c r="L104" i="5"/>
  <c r="L105" i="5"/>
  <c r="L106" i="5"/>
  <c r="L107" i="5"/>
  <c r="L108" i="5"/>
  <c r="L109" i="5"/>
  <c r="L110" i="5"/>
  <c r="L111" i="5"/>
  <c r="L112" i="5"/>
  <c r="L113" i="5"/>
  <c r="L114" i="5"/>
  <c r="L115" i="5"/>
  <c r="L116" i="5"/>
  <c r="L117" i="5"/>
  <c r="L118" i="5"/>
  <c r="L119" i="5"/>
  <c r="L120" i="5"/>
  <c r="L121" i="5"/>
  <c r="L122" i="5"/>
  <c r="L123" i="5"/>
  <c r="L124" i="5"/>
  <c r="L125" i="5"/>
  <c r="L126" i="5"/>
  <c r="L127" i="5"/>
  <c r="L128" i="5"/>
  <c r="L129" i="5"/>
  <c r="L130" i="5"/>
  <c r="L131" i="5"/>
  <c r="L132" i="5"/>
  <c r="L133" i="5"/>
  <c r="L134" i="5"/>
  <c r="L135" i="5"/>
  <c r="L136" i="5"/>
  <c r="L137" i="5"/>
  <c r="L138" i="5"/>
  <c r="L139" i="5"/>
  <c r="L140" i="5"/>
  <c r="L141" i="5"/>
  <c r="L142" i="5"/>
  <c r="L143" i="5"/>
  <c r="L144" i="5"/>
  <c r="L145" i="5"/>
  <c r="L146" i="5"/>
  <c r="L147" i="5"/>
  <c r="L148" i="5"/>
  <c r="L149" i="5"/>
  <c r="L150" i="5"/>
  <c r="L151" i="5"/>
  <c r="L152" i="5"/>
  <c r="L153" i="5"/>
  <c r="L154" i="5"/>
  <c r="L5" i="5"/>
  <c r="T6" i="5"/>
  <c r="T7" i="5"/>
  <c r="T8" i="5"/>
  <c r="T9" i="5"/>
  <c r="T10" i="5"/>
  <c r="T11" i="5"/>
  <c r="T12" i="5"/>
  <c r="T13" i="5"/>
  <c r="T14" i="5"/>
  <c r="T15" i="5"/>
  <c r="T16" i="5"/>
  <c r="T17" i="5"/>
  <c r="T18" i="5"/>
  <c r="T19" i="5"/>
  <c r="T20" i="5"/>
  <c r="T21" i="5"/>
  <c r="T22" i="5"/>
  <c r="T23" i="5"/>
  <c r="T24" i="5"/>
  <c r="T25" i="5"/>
  <c r="T26" i="5"/>
  <c r="T27" i="5"/>
  <c r="T28" i="5"/>
  <c r="T29" i="5"/>
  <c r="T30" i="5"/>
  <c r="T31" i="5"/>
  <c r="T32" i="5"/>
  <c r="T33" i="5"/>
  <c r="T34" i="5"/>
  <c r="T35" i="5"/>
  <c r="T36" i="5"/>
  <c r="T37" i="5"/>
  <c r="T38" i="5"/>
  <c r="T39" i="5"/>
  <c r="T40" i="5"/>
  <c r="T41" i="5"/>
  <c r="T42" i="5"/>
  <c r="T43" i="5"/>
  <c r="T44" i="5"/>
  <c r="T45" i="5"/>
  <c r="T46" i="5"/>
  <c r="T47" i="5"/>
  <c r="T48" i="5"/>
  <c r="T49" i="5"/>
  <c r="T50" i="5"/>
  <c r="T51" i="5"/>
  <c r="T52" i="5"/>
  <c r="T53" i="5"/>
  <c r="T54" i="5"/>
  <c r="T55" i="5"/>
  <c r="T56" i="5"/>
  <c r="T57" i="5"/>
  <c r="T58" i="5"/>
  <c r="T59" i="5"/>
  <c r="T60" i="5"/>
  <c r="T61" i="5"/>
  <c r="T62" i="5"/>
  <c r="T63" i="5"/>
  <c r="T64" i="5"/>
  <c r="T65" i="5"/>
  <c r="T66" i="5"/>
  <c r="T67" i="5"/>
  <c r="T68" i="5"/>
  <c r="T69" i="5"/>
  <c r="T70" i="5"/>
  <c r="T71" i="5"/>
  <c r="T72" i="5"/>
  <c r="T73" i="5"/>
  <c r="T74" i="5"/>
  <c r="T75" i="5"/>
  <c r="T76" i="5"/>
  <c r="T77" i="5"/>
  <c r="T78" i="5"/>
  <c r="T79" i="5"/>
  <c r="T80" i="5"/>
  <c r="T81" i="5"/>
  <c r="T82" i="5"/>
  <c r="T83" i="5"/>
  <c r="T84" i="5"/>
  <c r="T85" i="5"/>
  <c r="T86" i="5"/>
  <c r="T87" i="5"/>
  <c r="T88" i="5"/>
  <c r="T89" i="5"/>
  <c r="T90" i="5"/>
  <c r="T91" i="5"/>
  <c r="T92" i="5"/>
  <c r="T93" i="5"/>
  <c r="T94" i="5"/>
  <c r="T95" i="5"/>
  <c r="T96" i="5"/>
  <c r="T97" i="5"/>
  <c r="T98" i="5"/>
  <c r="T99" i="5"/>
  <c r="T100" i="5"/>
  <c r="T101" i="5"/>
  <c r="T102" i="5"/>
  <c r="T103" i="5"/>
  <c r="T104" i="5"/>
  <c r="T105" i="5"/>
  <c r="T106" i="5"/>
  <c r="T107" i="5"/>
  <c r="T108" i="5"/>
  <c r="T109" i="5"/>
  <c r="T110" i="5"/>
  <c r="T111" i="5"/>
  <c r="T112" i="5"/>
  <c r="T113" i="5"/>
  <c r="T114" i="5"/>
  <c r="T115" i="5"/>
  <c r="T116" i="5"/>
  <c r="T117" i="5"/>
  <c r="T118" i="5"/>
  <c r="T119" i="5"/>
  <c r="T120" i="5"/>
  <c r="T121" i="5"/>
  <c r="T122" i="5"/>
  <c r="T123" i="5"/>
  <c r="T124" i="5"/>
  <c r="T125" i="5"/>
  <c r="T126" i="5"/>
  <c r="T127" i="5"/>
  <c r="T128" i="5"/>
  <c r="T129" i="5"/>
  <c r="T130" i="5"/>
  <c r="T131" i="5"/>
  <c r="T132" i="5"/>
  <c r="T133" i="5"/>
  <c r="T134" i="5"/>
  <c r="T135" i="5"/>
  <c r="T136" i="5"/>
  <c r="T137" i="5"/>
  <c r="T138" i="5"/>
  <c r="T139" i="5"/>
  <c r="T140" i="5"/>
  <c r="T141" i="5"/>
  <c r="T142" i="5"/>
  <c r="T143" i="5"/>
  <c r="T144" i="5"/>
  <c r="T145" i="5"/>
  <c r="T146" i="5"/>
  <c r="T147" i="5"/>
  <c r="T148" i="5"/>
  <c r="T149" i="5"/>
  <c r="T150" i="5"/>
  <c r="T151" i="5"/>
  <c r="T152" i="5"/>
  <c r="T153" i="5"/>
  <c r="T154" i="5"/>
  <c r="T5" i="5"/>
  <c r="B4" i="3"/>
  <c r="B2" i="3" l="1"/>
  <c r="Z5" i="5" l="1"/>
  <c r="Z6" i="5"/>
  <c r="Z7" i="5"/>
  <c r="Z8" i="5"/>
  <c r="Z9" i="5"/>
  <c r="Z10" i="5"/>
  <c r="Z11" i="5"/>
  <c r="Z12" i="5"/>
  <c r="Z13" i="5"/>
  <c r="Z14" i="5"/>
  <c r="Z15" i="5"/>
  <c r="Z16" i="5"/>
  <c r="Z17" i="5"/>
  <c r="Z18" i="5"/>
  <c r="Z19" i="5"/>
  <c r="Z20" i="5"/>
  <c r="Z21" i="5"/>
  <c r="Z22" i="5"/>
  <c r="Z23" i="5"/>
  <c r="Z24" i="5"/>
  <c r="Z25" i="5"/>
  <c r="Z26" i="5"/>
  <c r="Z27" i="5"/>
  <c r="Z28" i="5"/>
  <c r="Z29" i="5"/>
  <c r="Z30" i="5"/>
  <c r="Z31" i="5"/>
  <c r="Z32" i="5"/>
  <c r="Z33" i="5"/>
  <c r="Z34" i="5"/>
  <c r="Z35" i="5"/>
  <c r="Z36" i="5"/>
  <c r="Z37" i="5"/>
  <c r="Z38" i="5"/>
  <c r="Z39" i="5"/>
  <c r="Z40" i="5"/>
  <c r="Z41" i="5"/>
  <c r="Z42" i="5"/>
  <c r="Z43" i="5"/>
  <c r="Z44" i="5"/>
  <c r="Z45" i="5"/>
  <c r="Z46" i="5"/>
  <c r="Z47" i="5"/>
  <c r="Z48" i="5"/>
  <c r="Z49" i="5"/>
  <c r="Z50" i="5"/>
  <c r="Z51" i="5"/>
  <c r="Z52" i="5"/>
  <c r="Z53" i="5"/>
  <c r="Z54" i="5"/>
  <c r="Z55" i="5"/>
  <c r="Z56" i="5"/>
  <c r="Z57" i="5"/>
  <c r="Z58" i="5"/>
  <c r="Z59" i="5"/>
  <c r="Z60" i="5"/>
  <c r="Z61" i="5"/>
  <c r="Z62" i="5"/>
  <c r="Z63" i="5"/>
  <c r="Z64" i="5"/>
  <c r="Z65" i="5"/>
  <c r="Z66" i="5"/>
  <c r="Z67" i="5"/>
  <c r="Z68" i="5"/>
  <c r="Z69" i="5"/>
  <c r="Z70" i="5"/>
  <c r="Z71" i="5"/>
  <c r="Z72" i="5"/>
  <c r="Z73" i="5"/>
  <c r="Z74" i="5"/>
  <c r="Z75" i="5"/>
  <c r="Z76" i="5"/>
  <c r="Z77" i="5"/>
  <c r="Z78" i="5"/>
  <c r="Z79" i="5"/>
  <c r="Z80" i="5"/>
  <c r="Z81" i="5"/>
  <c r="Z82" i="5"/>
  <c r="Z83" i="5"/>
  <c r="Z84" i="5"/>
  <c r="Z85" i="5"/>
  <c r="Z86" i="5"/>
  <c r="Z87" i="5"/>
  <c r="Z88" i="5"/>
  <c r="Z89" i="5"/>
  <c r="Z90" i="5"/>
  <c r="Z91" i="5"/>
  <c r="Z92" i="5"/>
  <c r="Z93" i="5"/>
  <c r="Z94" i="5"/>
  <c r="Z95" i="5"/>
  <c r="Z96" i="5"/>
  <c r="Z97" i="5"/>
  <c r="Z98" i="5"/>
  <c r="Z99" i="5"/>
  <c r="Z100" i="5"/>
  <c r="Z101" i="5"/>
  <c r="Z102" i="5"/>
  <c r="Z103" i="5"/>
  <c r="Z104" i="5"/>
  <c r="Z105" i="5"/>
  <c r="Z106" i="5"/>
  <c r="Z107" i="5"/>
  <c r="Z108" i="5"/>
  <c r="Z109" i="5"/>
  <c r="Z110" i="5"/>
  <c r="Z111" i="5"/>
  <c r="Z112" i="5"/>
  <c r="Z113" i="5"/>
  <c r="Z114" i="5"/>
  <c r="Z115" i="5"/>
  <c r="Z116" i="5"/>
  <c r="Z117" i="5"/>
  <c r="Z118" i="5"/>
  <c r="Z119" i="5"/>
  <c r="Z120" i="5"/>
  <c r="Z121" i="5"/>
  <c r="Z122" i="5"/>
  <c r="Z123" i="5"/>
  <c r="Z124" i="5"/>
  <c r="Z125" i="5"/>
  <c r="Z126" i="5"/>
  <c r="Z127" i="5"/>
  <c r="Z128" i="5"/>
  <c r="Z129" i="5"/>
  <c r="Z130" i="5"/>
  <c r="Z131" i="5"/>
  <c r="Z132" i="5"/>
  <c r="Z133" i="5"/>
  <c r="Z134" i="5"/>
  <c r="Z135" i="5"/>
  <c r="Z136" i="5"/>
  <c r="Z137" i="5"/>
  <c r="Z138" i="5"/>
  <c r="Z139" i="5"/>
  <c r="Z140" i="5"/>
  <c r="Z141" i="5"/>
  <c r="Z142" i="5"/>
  <c r="Z143" i="5"/>
  <c r="Z144" i="5"/>
  <c r="Z145" i="5"/>
  <c r="Z146" i="5"/>
  <c r="Z147" i="5"/>
  <c r="Z148" i="5"/>
  <c r="Z149" i="5"/>
  <c r="Z150" i="5"/>
  <c r="Z151" i="5"/>
  <c r="Z152" i="5"/>
  <c r="Z153" i="5"/>
  <c r="Z154" i="5"/>
  <c r="R5" i="5"/>
  <c r="S5" i="5" s="1"/>
  <c r="R6" i="5"/>
  <c r="S6" i="5" s="1"/>
  <c r="R7" i="5"/>
  <c r="S7" i="5" s="1"/>
  <c r="R8" i="5"/>
  <c r="S8" i="5" s="1"/>
  <c r="R9" i="5"/>
  <c r="S9" i="5" s="1"/>
  <c r="R10" i="5"/>
  <c r="S10" i="5" s="1"/>
  <c r="R11" i="5"/>
  <c r="S11" i="5" s="1"/>
  <c r="R12" i="5"/>
  <c r="S12" i="5" s="1"/>
  <c r="R13" i="5"/>
  <c r="S13" i="5" s="1"/>
  <c r="R14" i="5"/>
  <c r="S14" i="5" s="1"/>
  <c r="R15" i="5"/>
  <c r="S15" i="5" s="1"/>
  <c r="R16" i="5"/>
  <c r="S16" i="5" s="1"/>
  <c r="R17" i="5"/>
  <c r="S17" i="5" s="1"/>
  <c r="R18" i="5"/>
  <c r="S18" i="5" s="1"/>
  <c r="R19" i="5"/>
  <c r="S19" i="5" s="1"/>
  <c r="R20" i="5"/>
  <c r="S20" i="5" s="1"/>
  <c r="R21" i="5"/>
  <c r="S21" i="5" s="1"/>
  <c r="R22" i="5"/>
  <c r="S22" i="5" s="1"/>
  <c r="R23" i="5"/>
  <c r="S23" i="5" s="1"/>
  <c r="R24" i="5"/>
  <c r="S24" i="5" s="1"/>
  <c r="R25" i="5"/>
  <c r="S25" i="5" s="1"/>
  <c r="R26" i="5"/>
  <c r="S26" i="5" s="1"/>
  <c r="R27" i="5"/>
  <c r="S27" i="5" s="1"/>
  <c r="R28" i="5"/>
  <c r="S28" i="5" s="1"/>
  <c r="R29" i="5"/>
  <c r="S29" i="5" s="1"/>
  <c r="R30" i="5"/>
  <c r="S30" i="5" s="1"/>
  <c r="R31" i="5"/>
  <c r="S31" i="5" s="1"/>
  <c r="R32" i="5"/>
  <c r="S32" i="5" s="1"/>
  <c r="R33" i="5"/>
  <c r="S33" i="5" s="1"/>
  <c r="R34" i="5"/>
  <c r="S34" i="5" s="1"/>
  <c r="R35" i="5"/>
  <c r="S35" i="5" s="1"/>
  <c r="R36" i="5"/>
  <c r="S36" i="5" s="1"/>
  <c r="R37" i="5"/>
  <c r="S37" i="5" s="1"/>
  <c r="R38" i="5"/>
  <c r="S38" i="5" s="1"/>
  <c r="R39" i="5"/>
  <c r="S39" i="5" s="1"/>
  <c r="R40" i="5"/>
  <c r="S40" i="5" s="1"/>
  <c r="R41" i="5"/>
  <c r="S41" i="5" s="1"/>
  <c r="R42" i="5"/>
  <c r="S42" i="5" s="1"/>
  <c r="R43" i="5"/>
  <c r="S43" i="5" s="1"/>
  <c r="R44" i="5"/>
  <c r="S44" i="5" s="1"/>
  <c r="R45" i="5"/>
  <c r="S45" i="5" s="1"/>
  <c r="R46" i="5"/>
  <c r="S46" i="5" s="1"/>
  <c r="R47" i="5"/>
  <c r="S47" i="5" s="1"/>
  <c r="R48" i="5"/>
  <c r="S48" i="5" s="1"/>
  <c r="R49" i="5"/>
  <c r="S49" i="5" s="1"/>
  <c r="R50" i="5"/>
  <c r="S50" i="5" s="1"/>
  <c r="R51" i="5"/>
  <c r="S51" i="5" s="1"/>
  <c r="R52" i="5"/>
  <c r="S52" i="5" s="1"/>
  <c r="R53" i="5"/>
  <c r="S53" i="5" s="1"/>
  <c r="R54" i="5"/>
  <c r="S54" i="5" s="1"/>
  <c r="R55" i="5"/>
  <c r="S55" i="5" s="1"/>
  <c r="R56" i="5"/>
  <c r="S56" i="5" s="1"/>
  <c r="R57" i="5"/>
  <c r="S57" i="5" s="1"/>
  <c r="R58" i="5"/>
  <c r="S58" i="5" s="1"/>
  <c r="R59" i="5"/>
  <c r="S59" i="5" s="1"/>
  <c r="R60" i="5"/>
  <c r="S60" i="5" s="1"/>
  <c r="R61" i="5"/>
  <c r="S61" i="5" s="1"/>
  <c r="R62" i="5"/>
  <c r="S62" i="5" s="1"/>
  <c r="R63" i="5"/>
  <c r="S63" i="5" s="1"/>
  <c r="R64" i="5"/>
  <c r="S64" i="5" s="1"/>
  <c r="R65" i="5"/>
  <c r="S65" i="5" s="1"/>
  <c r="R66" i="5"/>
  <c r="S66" i="5" s="1"/>
  <c r="R67" i="5"/>
  <c r="S67" i="5" s="1"/>
  <c r="R68" i="5"/>
  <c r="S68" i="5" s="1"/>
  <c r="R69" i="5"/>
  <c r="S69" i="5" s="1"/>
  <c r="R70" i="5"/>
  <c r="S70" i="5" s="1"/>
  <c r="R71" i="5"/>
  <c r="S71" i="5" s="1"/>
  <c r="R72" i="5"/>
  <c r="S72" i="5" s="1"/>
  <c r="R73" i="5"/>
  <c r="S73" i="5" s="1"/>
  <c r="R74" i="5"/>
  <c r="S74" i="5" s="1"/>
  <c r="R75" i="5"/>
  <c r="S75" i="5" s="1"/>
  <c r="R76" i="5"/>
  <c r="S76" i="5" s="1"/>
  <c r="R77" i="5"/>
  <c r="S77" i="5" s="1"/>
  <c r="R78" i="5"/>
  <c r="S78" i="5" s="1"/>
  <c r="R79" i="5"/>
  <c r="S79" i="5" s="1"/>
  <c r="R80" i="5"/>
  <c r="S80" i="5" s="1"/>
  <c r="R81" i="5"/>
  <c r="S81" i="5" s="1"/>
  <c r="R82" i="5"/>
  <c r="S82" i="5" s="1"/>
  <c r="R83" i="5"/>
  <c r="S83" i="5" s="1"/>
  <c r="R84" i="5"/>
  <c r="S84" i="5" s="1"/>
  <c r="R85" i="5"/>
  <c r="S85" i="5" s="1"/>
  <c r="R86" i="5"/>
  <c r="S86" i="5" s="1"/>
  <c r="R87" i="5"/>
  <c r="S87" i="5" s="1"/>
  <c r="R88" i="5"/>
  <c r="S88" i="5" s="1"/>
  <c r="R89" i="5"/>
  <c r="S89" i="5" s="1"/>
  <c r="R90" i="5"/>
  <c r="S90" i="5" s="1"/>
  <c r="R91" i="5"/>
  <c r="S91" i="5" s="1"/>
  <c r="R92" i="5"/>
  <c r="S92" i="5" s="1"/>
  <c r="R93" i="5"/>
  <c r="S93" i="5" s="1"/>
  <c r="R94" i="5"/>
  <c r="S94" i="5" s="1"/>
  <c r="R95" i="5"/>
  <c r="S95" i="5" s="1"/>
  <c r="R96" i="5"/>
  <c r="S96" i="5" s="1"/>
  <c r="R97" i="5"/>
  <c r="S97" i="5" s="1"/>
  <c r="R98" i="5"/>
  <c r="S98" i="5" s="1"/>
  <c r="R99" i="5"/>
  <c r="S99" i="5" s="1"/>
  <c r="R100" i="5"/>
  <c r="S100" i="5" s="1"/>
  <c r="R101" i="5"/>
  <c r="S101" i="5" s="1"/>
  <c r="R102" i="5"/>
  <c r="S102" i="5" s="1"/>
  <c r="R103" i="5"/>
  <c r="S103" i="5" s="1"/>
  <c r="R104" i="5"/>
  <c r="S104" i="5" s="1"/>
  <c r="R105" i="5"/>
  <c r="S105" i="5" s="1"/>
  <c r="R106" i="5"/>
  <c r="S106" i="5" s="1"/>
  <c r="R107" i="5"/>
  <c r="S107" i="5" s="1"/>
  <c r="R108" i="5"/>
  <c r="S108" i="5" s="1"/>
  <c r="R109" i="5"/>
  <c r="S109" i="5" s="1"/>
  <c r="R110" i="5"/>
  <c r="S110" i="5" s="1"/>
  <c r="R111" i="5"/>
  <c r="S111" i="5" s="1"/>
  <c r="R112" i="5"/>
  <c r="S112" i="5" s="1"/>
  <c r="R113" i="5"/>
  <c r="S113" i="5" s="1"/>
  <c r="R114" i="5"/>
  <c r="S114" i="5" s="1"/>
  <c r="R115" i="5"/>
  <c r="S115" i="5" s="1"/>
  <c r="R116" i="5"/>
  <c r="S116" i="5" s="1"/>
  <c r="R117" i="5"/>
  <c r="S117" i="5" s="1"/>
  <c r="R118" i="5"/>
  <c r="S118" i="5" s="1"/>
  <c r="R119" i="5"/>
  <c r="S119" i="5" s="1"/>
  <c r="R120" i="5"/>
  <c r="S120" i="5" s="1"/>
  <c r="R121" i="5"/>
  <c r="S121" i="5" s="1"/>
  <c r="R122" i="5"/>
  <c r="S122" i="5" s="1"/>
  <c r="R123" i="5"/>
  <c r="S123" i="5" s="1"/>
  <c r="R124" i="5"/>
  <c r="S124" i="5" s="1"/>
  <c r="R125" i="5"/>
  <c r="S125" i="5" s="1"/>
  <c r="R126" i="5"/>
  <c r="S126" i="5" s="1"/>
  <c r="R127" i="5"/>
  <c r="S127" i="5" s="1"/>
  <c r="R128" i="5"/>
  <c r="S128" i="5" s="1"/>
  <c r="R129" i="5"/>
  <c r="S129" i="5" s="1"/>
  <c r="R130" i="5"/>
  <c r="S130" i="5" s="1"/>
  <c r="R131" i="5"/>
  <c r="S131" i="5" s="1"/>
  <c r="R132" i="5"/>
  <c r="S132" i="5" s="1"/>
  <c r="R133" i="5"/>
  <c r="S133" i="5" s="1"/>
  <c r="R134" i="5"/>
  <c r="S134" i="5" s="1"/>
  <c r="R135" i="5"/>
  <c r="S135" i="5" s="1"/>
  <c r="R136" i="5"/>
  <c r="S136" i="5" s="1"/>
  <c r="R137" i="5"/>
  <c r="S137" i="5" s="1"/>
  <c r="R138" i="5"/>
  <c r="S138" i="5" s="1"/>
  <c r="R139" i="5"/>
  <c r="S139" i="5" s="1"/>
  <c r="R140" i="5"/>
  <c r="S140" i="5" s="1"/>
  <c r="R141" i="5"/>
  <c r="S141" i="5" s="1"/>
  <c r="R142" i="5"/>
  <c r="S142" i="5" s="1"/>
  <c r="R143" i="5"/>
  <c r="S143" i="5" s="1"/>
  <c r="R144" i="5"/>
  <c r="S144" i="5" s="1"/>
  <c r="R145" i="5"/>
  <c r="S145" i="5" s="1"/>
  <c r="R146" i="5"/>
  <c r="S146" i="5" s="1"/>
  <c r="R147" i="5"/>
  <c r="S147" i="5" s="1"/>
  <c r="R148" i="5"/>
  <c r="S148" i="5" s="1"/>
  <c r="R149" i="5"/>
  <c r="S149" i="5" s="1"/>
  <c r="R150" i="5"/>
  <c r="S150" i="5" s="1"/>
  <c r="R151" i="5"/>
  <c r="S151" i="5" s="1"/>
  <c r="R152" i="5"/>
  <c r="S152" i="5" s="1"/>
  <c r="R153" i="5"/>
  <c r="S153" i="5" s="1"/>
  <c r="R154" i="5"/>
  <c r="S154" i="5" s="1"/>
  <c r="Q6" i="5"/>
  <c r="Q7" i="5"/>
  <c r="Q8" i="5"/>
  <c r="Q9" i="5"/>
  <c r="Q10" i="5"/>
  <c r="Q11" i="5"/>
  <c r="Q12" i="5"/>
  <c r="Q13" i="5"/>
  <c r="Q14" i="5"/>
  <c r="Q15" i="5"/>
  <c r="Q16" i="5"/>
  <c r="Q17" i="5"/>
  <c r="Q18" i="5"/>
  <c r="Q19" i="5"/>
  <c r="Q20" i="5"/>
  <c r="Q21" i="5"/>
  <c r="Q22" i="5"/>
  <c r="Q23" i="5"/>
  <c r="Q24" i="5"/>
  <c r="Q25" i="5"/>
  <c r="Q26" i="5"/>
  <c r="Q27" i="5"/>
  <c r="Q28" i="5"/>
  <c r="Q29" i="5"/>
  <c r="Q30" i="5"/>
  <c r="Q31" i="5"/>
  <c r="Q32" i="5"/>
  <c r="Q33" i="5"/>
  <c r="Q34" i="5"/>
  <c r="Q35" i="5"/>
  <c r="Q36" i="5"/>
  <c r="Q37" i="5"/>
  <c r="Q38" i="5"/>
  <c r="Q39" i="5"/>
  <c r="Q40" i="5"/>
  <c r="Q41" i="5"/>
  <c r="Q42" i="5"/>
  <c r="Q43" i="5"/>
  <c r="Q44" i="5"/>
  <c r="Q45" i="5"/>
  <c r="Q46" i="5"/>
  <c r="Q47" i="5"/>
  <c r="Q48" i="5"/>
  <c r="Q49" i="5"/>
  <c r="Q50" i="5"/>
  <c r="Q51" i="5"/>
  <c r="Q52" i="5"/>
  <c r="Q53" i="5"/>
  <c r="Q54" i="5"/>
  <c r="Q55" i="5"/>
  <c r="Q56" i="5"/>
  <c r="Q57" i="5"/>
  <c r="Q58" i="5"/>
  <c r="Q59" i="5"/>
  <c r="Q60" i="5"/>
  <c r="Q61" i="5"/>
  <c r="Q62" i="5"/>
  <c r="Q63" i="5"/>
  <c r="Q64" i="5"/>
  <c r="Q65" i="5"/>
  <c r="Q66" i="5"/>
  <c r="Q67" i="5"/>
  <c r="Q68" i="5"/>
  <c r="Q69" i="5"/>
  <c r="Q70" i="5"/>
  <c r="Q71" i="5"/>
  <c r="Q72" i="5"/>
  <c r="Q73" i="5"/>
  <c r="Q74" i="5"/>
  <c r="Q75" i="5"/>
  <c r="Q76" i="5"/>
  <c r="Q77" i="5"/>
  <c r="Q78" i="5"/>
  <c r="Q79" i="5"/>
  <c r="Q80" i="5"/>
  <c r="Q81" i="5"/>
  <c r="Q82" i="5"/>
  <c r="Q83" i="5"/>
  <c r="Q84" i="5"/>
  <c r="Q85" i="5"/>
  <c r="Q86" i="5"/>
  <c r="Q87" i="5"/>
  <c r="Q88" i="5"/>
  <c r="Q89" i="5"/>
  <c r="Q90" i="5"/>
  <c r="Q91" i="5"/>
  <c r="Q92" i="5"/>
  <c r="Q93" i="5"/>
  <c r="Q94" i="5"/>
  <c r="Q95" i="5"/>
  <c r="Q96" i="5"/>
  <c r="Q97" i="5"/>
  <c r="Q98" i="5"/>
  <c r="Q99" i="5"/>
  <c r="Q100" i="5"/>
  <c r="Q101" i="5"/>
  <c r="Q102" i="5"/>
  <c r="Q103" i="5"/>
  <c r="Q104" i="5"/>
  <c r="Q105" i="5"/>
  <c r="Q106" i="5"/>
  <c r="Q107" i="5"/>
  <c r="Q108" i="5"/>
  <c r="Q109" i="5"/>
  <c r="Q110" i="5"/>
  <c r="Q111" i="5"/>
  <c r="Q112" i="5"/>
  <c r="Q113" i="5"/>
  <c r="Q114" i="5"/>
  <c r="Q115" i="5"/>
  <c r="Q116" i="5"/>
  <c r="Q117" i="5"/>
  <c r="Q118" i="5"/>
  <c r="Q119" i="5"/>
  <c r="Q120" i="5"/>
  <c r="Q121" i="5"/>
  <c r="Q122" i="5"/>
  <c r="Q123" i="5"/>
  <c r="Q124" i="5"/>
  <c r="Q125" i="5"/>
  <c r="Q126" i="5"/>
  <c r="Q127" i="5"/>
  <c r="Q128" i="5"/>
  <c r="Q129" i="5"/>
  <c r="Q130" i="5"/>
  <c r="Q131" i="5"/>
  <c r="Q132" i="5"/>
  <c r="Q133" i="5"/>
  <c r="Q134" i="5"/>
  <c r="Q135" i="5"/>
  <c r="Q136" i="5"/>
  <c r="Q137" i="5"/>
  <c r="Q138" i="5"/>
  <c r="Q139" i="5"/>
  <c r="Q140" i="5"/>
  <c r="Q141" i="5"/>
  <c r="Q142" i="5"/>
  <c r="Q143" i="5"/>
  <c r="Q144" i="5"/>
  <c r="Q145" i="5"/>
  <c r="Q146" i="5"/>
  <c r="Q147" i="5"/>
  <c r="Q148" i="5"/>
  <c r="Q149" i="5"/>
  <c r="Q150" i="5"/>
  <c r="Q151" i="5"/>
  <c r="Q152" i="5"/>
  <c r="Q153" i="5"/>
  <c r="Q154" i="5"/>
  <c r="Q5" i="5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28" i="5"/>
  <c r="N29" i="5"/>
  <c r="N30" i="5"/>
  <c r="N31" i="5"/>
  <c r="N32" i="5"/>
  <c r="N33" i="5"/>
  <c r="N34" i="5"/>
  <c r="N35" i="5"/>
  <c r="N36" i="5"/>
  <c r="N37" i="5"/>
  <c r="N38" i="5"/>
  <c r="N39" i="5"/>
  <c r="N40" i="5"/>
  <c r="N41" i="5"/>
  <c r="N42" i="5"/>
  <c r="N43" i="5"/>
  <c r="N44" i="5"/>
  <c r="N45" i="5"/>
  <c r="N46" i="5"/>
  <c r="N47" i="5"/>
  <c r="N48" i="5"/>
  <c r="N49" i="5"/>
  <c r="N50" i="5"/>
  <c r="N51" i="5"/>
  <c r="N52" i="5"/>
  <c r="N53" i="5"/>
  <c r="N54" i="5"/>
  <c r="N55" i="5"/>
  <c r="N56" i="5"/>
  <c r="N57" i="5"/>
  <c r="N58" i="5"/>
  <c r="N59" i="5"/>
  <c r="N60" i="5"/>
  <c r="N61" i="5"/>
  <c r="N62" i="5"/>
  <c r="N63" i="5"/>
  <c r="N64" i="5"/>
  <c r="N65" i="5"/>
  <c r="N66" i="5"/>
  <c r="N67" i="5"/>
  <c r="N68" i="5"/>
  <c r="N69" i="5"/>
  <c r="N70" i="5"/>
  <c r="N71" i="5"/>
  <c r="N72" i="5"/>
  <c r="N73" i="5"/>
  <c r="N74" i="5"/>
  <c r="N75" i="5"/>
  <c r="N76" i="5"/>
  <c r="N77" i="5"/>
  <c r="N78" i="5"/>
  <c r="N79" i="5"/>
  <c r="N80" i="5"/>
  <c r="N81" i="5"/>
  <c r="N82" i="5"/>
  <c r="N83" i="5"/>
  <c r="N84" i="5"/>
  <c r="N85" i="5"/>
  <c r="N86" i="5"/>
  <c r="N87" i="5"/>
  <c r="N88" i="5"/>
  <c r="N89" i="5"/>
  <c r="N90" i="5"/>
  <c r="N91" i="5"/>
  <c r="N92" i="5"/>
  <c r="N93" i="5"/>
  <c r="N94" i="5"/>
  <c r="N95" i="5"/>
  <c r="N96" i="5"/>
  <c r="N97" i="5"/>
  <c r="N98" i="5"/>
  <c r="N99" i="5"/>
  <c r="N100" i="5"/>
  <c r="N101" i="5"/>
  <c r="N102" i="5"/>
  <c r="N103" i="5"/>
  <c r="N104" i="5"/>
  <c r="N105" i="5"/>
  <c r="N106" i="5"/>
  <c r="N107" i="5"/>
  <c r="N108" i="5"/>
  <c r="N109" i="5"/>
  <c r="N110" i="5"/>
  <c r="N111" i="5"/>
  <c r="N112" i="5"/>
  <c r="N113" i="5"/>
  <c r="N114" i="5"/>
  <c r="N115" i="5"/>
  <c r="N116" i="5"/>
  <c r="N117" i="5"/>
  <c r="N118" i="5"/>
  <c r="N119" i="5"/>
  <c r="N120" i="5"/>
  <c r="N121" i="5"/>
  <c r="N122" i="5"/>
  <c r="N123" i="5"/>
  <c r="N124" i="5"/>
  <c r="N125" i="5"/>
  <c r="N126" i="5"/>
  <c r="N127" i="5"/>
  <c r="N128" i="5"/>
  <c r="N129" i="5"/>
  <c r="N130" i="5"/>
  <c r="N131" i="5"/>
  <c r="N132" i="5"/>
  <c r="N133" i="5"/>
  <c r="N134" i="5"/>
  <c r="N135" i="5"/>
  <c r="N136" i="5"/>
  <c r="N137" i="5"/>
  <c r="N138" i="5"/>
  <c r="N139" i="5"/>
  <c r="N140" i="5"/>
  <c r="N141" i="5"/>
  <c r="N142" i="5"/>
  <c r="N143" i="5"/>
  <c r="N144" i="5"/>
  <c r="N145" i="5"/>
  <c r="N146" i="5"/>
  <c r="N147" i="5"/>
  <c r="N148" i="5"/>
  <c r="N149" i="5"/>
  <c r="N150" i="5"/>
  <c r="N151" i="5"/>
  <c r="N152" i="5"/>
  <c r="N153" i="5"/>
  <c r="N154" i="5"/>
  <c r="N5" i="5"/>
  <c r="M6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48" i="5"/>
  <c r="M49" i="5"/>
  <c r="M50" i="5"/>
  <c r="M51" i="5"/>
  <c r="M52" i="5"/>
  <c r="M53" i="5"/>
  <c r="M54" i="5"/>
  <c r="M55" i="5"/>
  <c r="M56" i="5"/>
  <c r="M57" i="5"/>
  <c r="M58" i="5"/>
  <c r="M59" i="5"/>
  <c r="M60" i="5"/>
  <c r="M61" i="5"/>
  <c r="M62" i="5"/>
  <c r="M63" i="5"/>
  <c r="M64" i="5"/>
  <c r="M65" i="5"/>
  <c r="M66" i="5"/>
  <c r="M67" i="5"/>
  <c r="M68" i="5"/>
  <c r="M69" i="5"/>
  <c r="M70" i="5"/>
  <c r="M71" i="5"/>
  <c r="M72" i="5"/>
  <c r="M73" i="5"/>
  <c r="M74" i="5"/>
  <c r="M75" i="5"/>
  <c r="M76" i="5"/>
  <c r="M77" i="5"/>
  <c r="M78" i="5"/>
  <c r="M79" i="5"/>
  <c r="M80" i="5"/>
  <c r="M81" i="5"/>
  <c r="M82" i="5"/>
  <c r="M83" i="5"/>
  <c r="M84" i="5"/>
  <c r="M85" i="5"/>
  <c r="M86" i="5"/>
  <c r="M87" i="5"/>
  <c r="M88" i="5"/>
  <c r="M89" i="5"/>
  <c r="M90" i="5"/>
  <c r="M91" i="5"/>
  <c r="M92" i="5"/>
  <c r="M93" i="5"/>
  <c r="M94" i="5"/>
  <c r="M95" i="5"/>
  <c r="M96" i="5"/>
  <c r="M97" i="5"/>
  <c r="M98" i="5"/>
  <c r="M99" i="5"/>
  <c r="M100" i="5"/>
  <c r="M101" i="5"/>
  <c r="M102" i="5"/>
  <c r="M103" i="5"/>
  <c r="M104" i="5"/>
  <c r="M105" i="5"/>
  <c r="M106" i="5"/>
  <c r="M107" i="5"/>
  <c r="M108" i="5"/>
  <c r="M109" i="5"/>
  <c r="M110" i="5"/>
  <c r="M111" i="5"/>
  <c r="M112" i="5"/>
  <c r="M113" i="5"/>
  <c r="M114" i="5"/>
  <c r="M115" i="5"/>
  <c r="M116" i="5"/>
  <c r="M117" i="5"/>
  <c r="M118" i="5"/>
  <c r="M119" i="5"/>
  <c r="M120" i="5"/>
  <c r="M121" i="5"/>
  <c r="M122" i="5"/>
  <c r="M123" i="5"/>
  <c r="M124" i="5"/>
  <c r="M125" i="5"/>
  <c r="M126" i="5"/>
  <c r="M127" i="5"/>
  <c r="M128" i="5"/>
  <c r="M129" i="5"/>
  <c r="M130" i="5"/>
  <c r="M131" i="5"/>
  <c r="M132" i="5"/>
  <c r="M133" i="5"/>
  <c r="M134" i="5"/>
  <c r="M135" i="5"/>
  <c r="M136" i="5"/>
  <c r="M137" i="5"/>
  <c r="M138" i="5"/>
  <c r="M139" i="5"/>
  <c r="M140" i="5"/>
  <c r="M141" i="5"/>
  <c r="M142" i="5"/>
  <c r="M143" i="5"/>
  <c r="M144" i="5"/>
  <c r="M145" i="5"/>
  <c r="M146" i="5"/>
  <c r="M147" i="5"/>
  <c r="M148" i="5"/>
  <c r="M149" i="5"/>
  <c r="M150" i="5"/>
  <c r="M151" i="5"/>
  <c r="M152" i="5"/>
  <c r="M153" i="5"/>
  <c r="M154" i="5"/>
  <c r="M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K50" i="5"/>
  <c r="K51" i="5"/>
  <c r="K52" i="5"/>
  <c r="K53" i="5"/>
  <c r="K54" i="5"/>
  <c r="K55" i="5"/>
  <c r="K56" i="5"/>
  <c r="K57" i="5"/>
  <c r="K58" i="5"/>
  <c r="K59" i="5"/>
  <c r="K60" i="5"/>
  <c r="K61" i="5"/>
  <c r="K62" i="5"/>
  <c r="K63" i="5"/>
  <c r="K64" i="5"/>
  <c r="K65" i="5"/>
  <c r="K66" i="5"/>
  <c r="K67" i="5"/>
  <c r="K68" i="5"/>
  <c r="K69" i="5"/>
  <c r="K70" i="5"/>
  <c r="K71" i="5"/>
  <c r="K72" i="5"/>
  <c r="K73" i="5"/>
  <c r="K74" i="5"/>
  <c r="K75" i="5"/>
  <c r="K76" i="5"/>
  <c r="K77" i="5"/>
  <c r="K78" i="5"/>
  <c r="K79" i="5"/>
  <c r="K80" i="5"/>
  <c r="K81" i="5"/>
  <c r="K82" i="5"/>
  <c r="K83" i="5"/>
  <c r="K84" i="5"/>
  <c r="K85" i="5"/>
  <c r="K86" i="5"/>
  <c r="K87" i="5"/>
  <c r="K88" i="5"/>
  <c r="K89" i="5"/>
  <c r="K90" i="5"/>
  <c r="K91" i="5"/>
  <c r="K92" i="5"/>
  <c r="K93" i="5"/>
  <c r="K94" i="5"/>
  <c r="K95" i="5"/>
  <c r="K96" i="5"/>
  <c r="K97" i="5"/>
  <c r="K98" i="5"/>
  <c r="K99" i="5"/>
  <c r="K100" i="5"/>
  <c r="K101" i="5"/>
  <c r="K102" i="5"/>
  <c r="K103" i="5"/>
  <c r="K104" i="5"/>
  <c r="K105" i="5"/>
  <c r="K106" i="5"/>
  <c r="K107" i="5"/>
  <c r="K108" i="5"/>
  <c r="K109" i="5"/>
  <c r="K110" i="5"/>
  <c r="K111" i="5"/>
  <c r="K112" i="5"/>
  <c r="K113" i="5"/>
  <c r="K114" i="5"/>
  <c r="K115" i="5"/>
  <c r="K116" i="5"/>
  <c r="K117" i="5"/>
  <c r="K118" i="5"/>
  <c r="K119" i="5"/>
  <c r="K120" i="5"/>
  <c r="K121" i="5"/>
  <c r="K122" i="5"/>
  <c r="K123" i="5"/>
  <c r="K124" i="5"/>
  <c r="K125" i="5"/>
  <c r="K126" i="5"/>
  <c r="K127" i="5"/>
  <c r="K128" i="5"/>
  <c r="K129" i="5"/>
  <c r="K130" i="5"/>
  <c r="K131" i="5"/>
  <c r="K132" i="5"/>
  <c r="K133" i="5"/>
  <c r="K134" i="5"/>
  <c r="K135" i="5"/>
  <c r="K136" i="5"/>
  <c r="K137" i="5"/>
  <c r="K138" i="5"/>
  <c r="K139" i="5"/>
  <c r="K140" i="5"/>
  <c r="K141" i="5"/>
  <c r="K142" i="5"/>
  <c r="K143" i="5"/>
  <c r="K144" i="5"/>
  <c r="K145" i="5"/>
  <c r="K146" i="5"/>
  <c r="K147" i="5"/>
  <c r="K148" i="5"/>
  <c r="K149" i="5"/>
  <c r="K150" i="5"/>
  <c r="K151" i="5"/>
  <c r="K152" i="5"/>
  <c r="K153" i="5"/>
  <c r="K154" i="5"/>
  <c r="K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95" i="5"/>
  <c r="J96" i="5"/>
  <c r="J97" i="5"/>
  <c r="J98" i="5"/>
  <c r="J99" i="5"/>
  <c r="J100" i="5"/>
  <c r="J101" i="5"/>
  <c r="J102" i="5"/>
  <c r="J103" i="5"/>
  <c r="J104" i="5"/>
  <c r="J105" i="5"/>
  <c r="J106" i="5"/>
  <c r="J107" i="5"/>
  <c r="J108" i="5"/>
  <c r="J109" i="5"/>
  <c r="J110" i="5"/>
  <c r="J111" i="5"/>
  <c r="J112" i="5"/>
  <c r="J113" i="5"/>
  <c r="J114" i="5"/>
  <c r="J115" i="5"/>
  <c r="J116" i="5"/>
  <c r="J117" i="5"/>
  <c r="J118" i="5"/>
  <c r="J119" i="5"/>
  <c r="J120" i="5"/>
  <c r="J121" i="5"/>
  <c r="J122" i="5"/>
  <c r="J123" i="5"/>
  <c r="J124" i="5"/>
  <c r="J125" i="5"/>
  <c r="J126" i="5"/>
  <c r="J127" i="5"/>
  <c r="J128" i="5"/>
  <c r="J129" i="5"/>
  <c r="J130" i="5"/>
  <c r="J131" i="5"/>
  <c r="J132" i="5"/>
  <c r="J133" i="5"/>
  <c r="J134" i="5"/>
  <c r="J135" i="5"/>
  <c r="J136" i="5"/>
  <c r="J137" i="5"/>
  <c r="J138" i="5"/>
  <c r="J139" i="5"/>
  <c r="J140" i="5"/>
  <c r="J141" i="5"/>
  <c r="J142" i="5"/>
  <c r="J143" i="5"/>
  <c r="J144" i="5"/>
  <c r="J145" i="5"/>
  <c r="J146" i="5"/>
  <c r="J147" i="5"/>
  <c r="J148" i="5"/>
  <c r="J149" i="5"/>
  <c r="J150" i="5"/>
  <c r="J151" i="5"/>
  <c r="J152" i="5"/>
  <c r="J153" i="5"/>
  <c r="J154" i="5"/>
  <c r="J5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112" i="5"/>
  <c r="I113" i="5"/>
  <c r="I114" i="5"/>
  <c r="I115" i="5"/>
  <c r="I116" i="5"/>
  <c r="I117" i="5"/>
  <c r="I118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131" i="5"/>
  <c r="I132" i="5"/>
  <c r="I133" i="5"/>
  <c r="I134" i="5"/>
  <c r="I135" i="5"/>
  <c r="I136" i="5"/>
  <c r="I137" i="5"/>
  <c r="I138" i="5"/>
  <c r="I139" i="5"/>
  <c r="I140" i="5"/>
  <c r="I141" i="5"/>
  <c r="I142" i="5"/>
  <c r="I143" i="5"/>
  <c r="I144" i="5"/>
  <c r="I145" i="5"/>
  <c r="I146" i="5"/>
  <c r="I147" i="5"/>
  <c r="I148" i="5"/>
  <c r="I149" i="5"/>
  <c r="I150" i="5"/>
  <c r="I151" i="5"/>
  <c r="I152" i="5"/>
  <c r="I153" i="5"/>
  <c r="I154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5" i="5"/>
  <c r="G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5" i="5"/>
  <c r="W62" i="5" l="1"/>
  <c r="Y62" i="5" s="1"/>
  <c r="W38" i="5"/>
  <c r="Y38" i="5" s="1"/>
  <c r="W135" i="5"/>
  <c r="Y135" i="5" s="1"/>
  <c r="W123" i="5"/>
  <c r="Y123" i="5" s="1"/>
  <c r="W111" i="5"/>
  <c r="Y111" i="5" s="1"/>
  <c r="W35" i="5"/>
  <c r="Y35" i="5" s="1"/>
  <c r="W31" i="5"/>
  <c r="Y31" i="5" s="1"/>
  <c r="W19" i="5"/>
  <c r="Y19" i="5" s="1"/>
  <c r="W29" i="5"/>
  <c r="Y29" i="5" s="1"/>
  <c r="W17" i="5"/>
  <c r="Y17" i="5" s="1"/>
  <c r="W5" i="5"/>
  <c r="Y5" i="5" s="1"/>
  <c r="W16" i="5"/>
  <c r="Y16" i="5" s="1"/>
  <c r="W27" i="5"/>
  <c r="Y27" i="5" s="1"/>
  <c r="W15" i="5"/>
  <c r="Y15" i="5" s="1"/>
  <c r="W26" i="5"/>
  <c r="Y26" i="5" s="1"/>
  <c r="W25" i="5"/>
  <c r="Y25" i="5" s="1"/>
  <c r="W13" i="5"/>
  <c r="Y13" i="5" s="1"/>
  <c r="W36" i="5"/>
  <c r="Y36" i="5" s="1"/>
  <c r="W33" i="5"/>
  <c r="Y33" i="5" s="1"/>
  <c r="W21" i="5"/>
  <c r="Y21" i="5" s="1"/>
  <c r="W147" i="5"/>
  <c r="Y147" i="5" s="1"/>
  <c r="W99" i="5"/>
  <c r="Y99" i="5" s="1"/>
  <c r="W87" i="5"/>
  <c r="Y87" i="5" s="1"/>
  <c r="W75" i="5"/>
  <c r="Y75" i="5" s="1"/>
  <c r="W63" i="5"/>
  <c r="Y63" i="5" s="1"/>
  <c r="W51" i="5"/>
  <c r="Y51" i="5" s="1"/>
  <c r="W98" i="5"/>
  <c r="Y98" i="5" s="1"/>
  <c r="W86" i="5"/>
  <c r="Y86" i="5" s="1"/>
  <c r="W74" i="5"/>
  <c r="Y74" i="5" s="1"/>
  <c r="W50" i="5"/>
  <c r="Y50" i="5" s="1"/>
  <c r="W93" i="5"/>
  <c r="Y93" i="5" s="1"/>
  <c r="W81" i="5"/>
  <c r="Y81" i="5" s="1"/>
  <c r="W69" i="5"/>
  <c r="Y69" i="5" s="1"/>
  <c r="W57" i="5"/>
  <c r="Y57" i="5" s="1"/>
  <c r="W45" i="5"/>
  <c r="Y45" i="5" s="1"/>
  <c r="W9" i="5"/>
  <c r="Y9" i="5" s="1"/>
  <c r="W151" i="5"/>
  <c r="Y151" i="5" s="1"/>
  <c r="W139" i="5"/>
  <c r="Y139" i="5" s="1"/>
  <c r="W127" i="5"/>
  <c r="Y127" i="5" s="1"/>
  <c r="W115" i="5"/>
  <c r="Y115" i="5" s="1"/>
  <c r="W103" i="5"/>
  <c r="Y103" i="5" s="1"/>
  <c r="W91" i="5"/>
  <c r="Y91" i="5" s="1"/>
  <c r="W79" i="5"/>
  <c r="Y79" i="5" s="1"/>
  <c r="W67" i="5"/>
  <c r="Y67" i="5" s="1"/>
  <c r="W55" i="5"/>
  <c r="Y55" i="5" s="1"/>
  <c r="W43" i="5"/>
  <c r="Y43" i="5" s="1"/>
  <c r="W7" i="5"/>
  <c r="Y7" i="5" s="1"/>
  <c r="W152" i="5"/>
  <c r="Y152" i="5" s="1"/>
  <c r="W140" i="5"/>
  <c r="Y140" i="5" s="1"/>
  <c r="W128" i="5"/>
  <c r="Y128" i="5" s="1"/>
  <c r="W116" i="5"/>
  <c r="Y116" i="5" s="1"/>
  <c r="W104" i="5"/>
  <c r="Y104" i="5" s="1"/>
  <c r="W92" i="5"/>
  <c r="Y92" i="5" s="1"/>
  <c r="W80" i="5"/>
  <c r="Y80" i="5" s="1"/>
  <c r="W68" i="5"/>
  <c r="Y68" i="5" s="1"/>
  <c r="W56" i="5"/>
  <c r="Y56" i="5" s="1"/>
  <c r="W44" i="5"/>
  <c r="Y44" i="5" s="1"/>
  <c r="W20" i="5"/>
  <c r="Y20" i="5" s="1"/>
  <c r="W8" i="5"/>
  <c r="Y8" i="5" s="1"/>
  <c r="W143" i="5"/>
  <c r="Y143" i="5" s="1"/>
  <c r="W131" i="5"/>
  <c r="Y131" i="5" s="1"/>
  <c r="W119" i="5"/>
  <c r="Y119" i="5" s="1"/>
  <c r="W107" i="5"/>
  <c r="Y107" i="5" s="1"/>
  <c r="W95" i="5"/>
  <c r="Y95" i="5" s="1"/>
  <c r="W83" i="5"/>
  <c r="Y83" i="5" s="1"/>
  <c r="W71" i="5"/>
  <c r="Y71" i="5" s="1"/>
  <c r="W59" i="5"/>
  <c r="Y59" i="5" s="1"/>
  <c r="W47" i="5"/>
  <c r="Y47" i="5" s="1"/>
  <c r="W94" i="5"/>
  <c r="Y94" i="5" s="1"/>
  <c r="W82" i="5"/>
  <c r="Y82" i="5" s="1"/>
  <c r="W70" i="5"/>
  <c r="Y70" i="5" s="1"/>
  <c r="W58" i="5"/>
  <c r="Y58" i="5" s="1"/>
  <c r="W46" i="5"/>
  <c r="Y46" i="5" s="1"/>
  <c r="W144" i="5"/>
  <c r="Y144" i="5" s="1"/>
  <c r="W132" i="5"/>
  <c r="Y132" i="5" s="1"/>
  <c r="W120" i="5"/>
  <c r="Y120" i="5" s="1"/>
  <c r="W108" i="5"/>
  <c r="Y108" i="5" s="1"/>
  <c r="W96" i="5"/>
  <c r="Y96" i="5" s="1"/>
  <c r="W84" i="5"/>
  <c r="Y84" i="5" s="1"/>
  <c r="W72" i="5"/>
  <c r="Y72" i="5" s="1"/>
  <c r="W60" i="5"/>
  <c r="Y60" i="5" s="1"/>
  <c r="W48" i="5"/>
  <c r="Y48" i="5" s="1"/>
  <c r="W126" i="5"/>
  <c r="Y126" i="5" s="1"/>
  <c r="W114" i="5"/>
  <c r="Y114" i="5" s="1"/>
  <c r="W102" i="5"/>
  <c r="Y102" i="5" s="1"/>
  <c r="W90" i="5"/>
  <c r="Y90" i="5" s="1"/>
  <c r="W78" i="5"/>
  <c r="Y78" i="5" s="1"/>
  <c r="W66" i="5"/>
  <c r="Y66" i="5" s="1"/>
  <c r="W54" i="5"/>
  <c r="Y54" i="5" s="1"/>
  <c r="W42" i="5"/>
  <c r="Y42" i="5" s="1"/>
  <c r="W30" i="5"/>
  <c r="Y30" i="5" s="1"/>
  <c r="W18" i="5"/>
  <c r="Y18" i="5" s="1"/>
  <c r="W6" i="5"/>
  <c r="Y6" i="5" s="1"/>
  <c r="W145" i="5"/>
  <c r="Y145" i="5" s="1"/>
  <c r="W133" i="5"/>
  <c r="Y133" i="5" s="1"/>
  <c r="W121" i="5"/>
  <c r="Y121" i="5" s="1"/>
  <c r="W109" i="5"/>
  <c r="Y109" i="5" s="1"/>
  <c r="W97" i="5"/>
  <c r="Y97" i="5" s="1"/>
  <c r="W85" i="5"/>
  <c r="Y85" i="5" s="1"/>
  <c r="W73" i="5"/>
  <c r="Y73" i="5" s="1"/>
  <c r="W61" i="5"/>
  <c r="Y61" i="5" s="1"/>
  <c r="W49" i="5"/>
  <c r="Y49" i="5" s="1"/>
  <c r="W37" i="5"/>
  <c r="Y37" i="5" s="1"/>
  <c r="W146" i="5"/>
  <c r="Y146" i="5" s="1"/>
  <c r="W134" i="5"/>
  <c r="Y134" i="5" s="1"/>
  <c r="W122" i="5"/>
  <c r="Y122" i="5" s="1"/>
  <c r="W110" i="5"/>
  <c r="Y110" i="5" s="1"/>
  <c r="W154" i="5"/>
  <c r="Y154" i="5" s="1"/>
  <c r="W142" i="5"/>
  <c r="Y142" i="5" s="1"/>
  <c r="W130" i="5"/>
  <c r="Y130" i="5" s="1"/>
  <c r="W118" i="5"/>
  <c r="Y118" i="5" s="1"/>
  <c r="W106" i="5"/>
  <c r="Y106" i="5" s="1"/>
  <c r="W153" i="5"/>
  <c r="Y153" i="5" s="1"/>
  <c r="W141" i="5"/>
  <c r="Y141" i="5" s="1"/>
  <c r="W129" i="5"/>
  <c r="Y129" i="5" s="1"/>
  <c r="W117" i="5"/>
  <c r="Y117" i="5" s="1"/>
  <c r="W105" i="5"/>
  <c r="Y105" i="5" s="1"/>
  <c r="W149" i="5"/>
  <c r="Y149" i="5" s="1"/>
  <c r="W137" i="5"/>
  <c r="Y137" i="5" s="1"/>
  <c r="W125" i="5"/>
  <c r="Y125" i="5" s="1"/>
  <c r="W113" i="5"/>
  <c r="Y113" i="5" s="1"/>
  <c r="W101" i="5"/>
  <c r="Y101" i="5" s="1"/>
  <c r="W89" i="5"/>
  <c r="Y89" i="5" s="1"/>
  <c r="W77" i="5"/>
  <c r="Y77" i="5" s="1"/>
  <c r="W65" i="5"/>
  <c r="Y65" i="5" s="1"/>
  <c r="W53" i="5"/>
  <c r="Y53" i="5" s="1"/>
  <c r="W41" i="5"/>
  <c r="Y41" i="5" s="1"/>
  <c r="W150" i="5"/>
  <c r="Y150" i="5" s="1"/>
  <c r="W138" i="5"/>
  <c r="Y138" i="5" s="1"/>
  <c r="W148" i="5"/>
  <c r="Y148" i="5" s="1"/>
  <c r="W136" i="5"/>
  <c r="Y136" i="5" s="1"/>
  <c r="W124" i="5"/>
  <c r="Y124" i="5" s="1"/>
  <c r="W112" i="5"/>
  <c r="Y112" i="5" s="1"/>
  <c r="W100" i="5"/>
  <c r="Y100" i="5" s="1"/>
  <c r="W88" i="5"/>
  <c r="Y88" i="5" s="1"/>
  <c r="W76" i="5"/>
  <c r="Y76" i="5" s="1"/>
  <c r="W64" i="5"/>
  <c r="Y64" i="5" s="1"/>
  <c r="W52" i="5"/>
  <c r="Y52" i="5" s="1"/>
  <c r="W40" i="5"/>
  <c r="Y40" i="5" s="1"/>
  <c r="W28" i="5"/>
  <c r="Y28" i="5" s="1"/>
  <c r="W39" i="5" l="1"/>
  <c r="Y39" i="5" s="1"/>
  <c r="W14" i="5"/>
  <c r="Y14" i="5" s="1"/>
  <c r="W11" i="5"/>
  <c r="Y11" i="5" s="1"/>
  <c r="W10" i="5"/>
  <c r="Y10" i="5" s="1"/>
  <c r="W34" i="5"/>
  <c r="Y34" i="5" s="1"/>
  <c r="W12" i="5"/>
  <c r="Y12" i="5" s="1"/>
  <c r="W24" i="5"/>
  <c r="Y24" i="5" s="1"/>
  <c r="W22" i="5"/>
  <c r="Y22" i="5" s="1"/>
  <c r="W32" i="5"/>
  <c r="Y32" i="5" s="1"/>
  <c r="W23" i="5"/>
  <c r="Y23" i="5" s="1"/>
  <c r="Y4" i="5" l="1"/>
  <c r="T5" i="8" l="1"/>
  <c r="Y5" i="8" l="1"/>
  <c r="Y4" i="8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1A93B7-99F7-4957-B890-C4EF19F6597C}" keepAlive="1" name="Запрос — Centrum" description="Соединение с запросом &quot;Centrum&quot; в книге." type="5" refreshedVersion="7" background="1" saveData="1">
    <dbPr connection="Provider=Microsoft.Mashup.OleDb.1;Data Source=$Workbook$;Location=Centrum;Extended Properties=&quot;&quot;" command="SELECT * FROM [Centrum]"/>
  </connection>
  <connection id="2" xr16:uid="{4F186271-ABE5-4DDE-B27C-49E82B73D2D9}" keepAlive="1" name="Запрос — Курс_USD" description="Соединение с запросом &quot;Курс_USD&quot; в книге." type="5" refreshedVersion="7" background="1" saveData="1">
    <dbPr connection="Provider=Microsoft.Mashup.OleDb.1;Data Source=$Workbook$;Location=Курс_USD;Extended Properties=&quot;&quot;" command="SELECT * FROM [Курс_USD]"/>
  </connection>
  <connection id="3" xr16:uid="{1448BFAB-9704-47CA-984E-B800A0F7DDC2}" keepAlive="1" name="Запрос — ПериодОтбора" description="Соединение с запросом &quot;ПериодОтбора&quot; в книге." type="5" refreshedVersion="0" background="1">
    <dbPr connection="Provider=Microsoft.Mashup.OleDb.1;Data Source=$Workbook$;Location=ПериодОтбора;Extended Properties=&quot;&quot;" command="SELECT * FROM [ПериодОтбора]"/>
  </connection>
  <connection id="4" xr16:uid="{BD0ED277-EC62-44A9-B565-354FECBA19C1}" keepAlive="1" name="Запрос — Шаблон_Формулы" description="Соединение с запросом &quot;Шаблон_Формулы&quot; в книге." type="5" refreshedVersion="7" background="1" saveData="1">
    <dbPr connection="Provider=Microsoft.Mashup.OleDb.1;Data Source=$Workbook$;Location=Шаблон_Формулы;Extended Properties=&quot;&quot;" command="SELECT * FROM [Шаблон_Формулы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<sst xmlns="http://schemas.openxmlformats.org/spreadsheetml/2006/main" count="1057" uniqueCount="215">
  <si>
    <t>Контейнерная перевозка</t>
  </si>
  <si>
    <t>#</t>
  </si>
  <si>
    <t>Carrier-Перевозчик</t>
  </si>
  <si>
    <t>Country-Страна</t>
  </si>
  <si>
    <t>Container num.-№ контейнера</t>
  </si>
  <si>
    <t>Supplier-Поставщик</t>
  </si>
  <si>
    <t>Shippers invoice no-Номер инвойса поставщика</t>
  </si>
  <si>
    <t>Supplier's invoice amount-Сумма инвойса поставщика</t>
  </si>
  <si>
    <t>Валюта</t>
  </si>
  <si>
    <t>CBM on the shipper - CBM по поставщику</t>
  </si>
  <si>
    <t>Gross weight of cont - Гросс.вес по конт.</t>
  </si>
  <si>
    <t>Route-Маршрут (TSR/TCR)</t>
  </si>
  <si>
    <t>Port of loading-Порт отгрузки Инкотермс 2010</t>
  </si>
  <si>
    <t>№ HBL date - № дата коносамента</t>
  </si>
  <si>
    <t>№ MBL date - № дата коносамента</t>
  </si>
  <si>
    <t>Date on board - Дата отгрузки/погрузки на судно</t>
  </si>
  <si>
    <t>Date of arrival to Sary-Agach-Дата прибытия на Сары-Агач</t>
  </si>
  <si>
    <t>Container type - Тип контейнера</t>
  </si>
  <si>
    <t>Tariff (ue) - Тариф (уе)</t>
  </si>
  <si>
    <t>The cost of transporting Vendor-ISV cargo-Стоимость транспортировки Vendor-NCV грузов</t>
  </si>
  <si>
    <t>The cost of transportation-Стоимость транспортировки  в уе</t>
  </si>
  <si>
    <t>Date of Central Bank rate-Дата -Курса ЦБ</t>
  </si>
  <si>
    <t>Central Bank rate-Курс ЦБ</t>
  </si>
  <si>
    <t>The cost of transportation in the sum equivalent-Стоимость транспортировки в сумовом эквиваленте</t>
  </si>
  <si>
    <t>Insurance-Страхование</t>
  </si>
  <si>
    <t>Transportation total amount-Общая стоимость перевозки сум</t>
  </si>
  <si>
    <t>Freight Invoice num-Номер акта выполненных работ перевозчика</t>
  </si>
  <si>
    <t>Summa</t>
  </si>
  <si>
    <t>UZS</t>
  </si>
  <si>
    <t>CNY</t>
  </si>
  <si>
    <t>O'zbekiston so'mi</t>
  </si>
  <si>
    <t>Xitoy yuani</t>
  </si>
  <si>
    <t>EUR</t>
  </si>
  <si>
    <t>Yevro</t>
  </si>
  <si>
    <t>JPY</t>
  </si>
  <si>
    <t>Yaponiya iyenasi</t>
  </si>
  <si>
    <t>KRW</t>
  </si>
  <si>
    <t>Koreya respublikasi voni</t>
  </si>
  <si>
    <t>RUB</t>
  </si>
  <si>
    <t>Rossiya rubli</t>
  </si>
  <si>
    <t>USD</t>
  </si>
  <si>
    <t>AQSh dollari</t>
  </si>
  <si>
    <t>CHF</t>
  </si>
  <si>
    <t>Shveytsariya franki</t>
  </si>
  <si>
    <t>CENTRUM AVIATION FZCO</t>
  </si>
  <si>
    <t>TSR</t>
  </si>
  <si>
    <t>40'HC</t>
  </si>
  <si>
    <t>Путь к файлу</t>
  </si>
  <si>
    <t>Carrier/ Перевозчик</t>
  </si>
  <si>
    <t>Country /  Страна</t>
  </si>
  <si>
    <t>LOT num. / Лот №</t>
  </si>
  <si>
    <t>Container num./ 
№ контейнера</t>
  </si>
  <si>
    <t>Supplier/
Поставщик</t>
  </si>
  <si>
    <t>Shippers invoice no/ 
Номер инвойса поставщика</t>
  </si>
  <si>
    <t>Model/
 Модель</t>
  </si>
  <si>
    <t>Route/ Маршрут (TSR/TCR)</t>
  </si>
  <si>
    <t>№ HBL date / 
№/ дата коносамента</t>
  </si>
  <si>
    <t>№ MBL / 
№/ коносамента</t>
  </si>
  <si>
    <t>Date on board / Дата погрузки на судно</t>
  </si>
  <si>
    <t>Date of arrival to Sary-Agach/ Дата прибытия на Сары-Агач</t>
  </si>
  <si>
    <t>CBM on the shipper/ 
CBM по поставщику</t>
  </si>
  <si>
    <t>Gross weight of cont// 
Гросс.вес по конт.</t>
  </si>
  <si>
    <t>Transportation cost per supplier/ 
Cтоимость перевозки по поставщикам</t>
  </si>
  <si>
    <t>Insurance / Страхование</t>
  </si>
  <si>
    <t>Transportation total amount / Общая стоимость перевозки</t>
  </si>
  <si>
    <t>Container type/ 
Тип контейнера</t>
  </si>
  <si>
    <t>Invoice value / Стоимость груза в к-ре по инвойсу</t>
  </si>
  <si>
    <t>Transport co invoice no/ 
Номер инвойса ТК</t>
  </si>
  <si>
    <t>Индекс</t>
  </si>
  <si>
    <t>Дата начала отбора курса</t>
  </si>
  <si>
    <t>Дата окончания отбора курса</t>
  </si>
  <si>
    <t>Дн нед</t>
  </si>
  <si>
    <t>Дата</t>
  </si>
  <si>
    <t>Максимальный курс</t>
  </si>
  <si>
    <t>Название акта</t>
  </si>
  <si>
    <t>Путь к акту</t>
  </si>
  <si>
    <t>Условия поставки</t>
  </si>
  <si>
    <t>Вт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</si>
  <si>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</si>
  <si>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</si>
  <si>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</si>
  <si>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</si>
  <si>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</si>
  <si>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</si>
  <si>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</si>
  <si>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</si>
  <si>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</si>
  <si>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</si>
  <si>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</si>
  <si>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</si>
  <si>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</si>
  <si>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</si>
  <si>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</si>
  <si>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</si>
  <si>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</si>
  <si>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</si>
  <si>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</si>
  <si>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</si>
  <si>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</si>
  <si>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</si>
  <si>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</si>
  <si>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</si>
  <si>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</si>
  <si>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</si>
  <si>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Путь к Справочнику курсов</t>
  </si>
  <si>
    <t>Наиболее ранняя дата прибытия</t>
  </si>
  <si>
    <t>Пн</t>
  </si>
  <si>
    <t>Ср</t>
  </si>
  <si>
    <t>Чт</t>
  </si>
  <si>
    <t>Пт</t>
  </si>
  <si>
    <t>Сб</t>
  </si>
  <si>
    <t>Вс</t>
  </si>
  <si>
    <t>Курс</t>
  </si>
  <si>
    <t>МАКС</t>
  </si>
  <si>
    <r>
      <t xml:space="preserve">Дата курса без поиска максимального </t>
    </r>
    <r>
      <rPr>
        <sz val="10"/>
        <color theme="1"/>
        <rFont val="Calibri"/>
        <family val="2"/>
        <charset val="204"/>
        <scheme val="minor"/>
      </rPr>
      <t>(заполняется при необходимости)</t>
    </r>
  </si>
  <si>
    <t>CNT -FS230001670.xls</t>
  </si>
  <si>
    <t>KOREA</t>
  </si>
  <si>
    <t>57-BT</t>
  </si>
  <si>
    <t>CAIU4826970</t>
  </si>
  <si>
    <t>GM KOREA COMPANY</t>
  </si>
  <si>
    <t>TJAUZ37129A01</t>
  </si>
  <si>
    <t>KUNSAN (FOB/P-D)</t>
  </si>
  <si>
    <t>KD PARTS OF NEXIA (T250), GENTRA, COBALT</t>
  </si>
  <si>
    <t>FSIMPUAS229365</t>
  </si>
  <si>
    <t>FSCOPUVV386630</t>
  </si>
  <si>
    <t>CNT-FS230001670</t>
  </si>
  <si>
    <t>CAIU7847534</t>
  </si>
  <si>
    <t>CAIU7848130</t>
  </si>
  <si>
    <t>CAIU7893756</t>
  </si>
  <si>
    <t>CAIU7894006</t>
  </si>
  <si>
    <t>CAIU7954511</t>
  </si>
  <si>
    <t>CAIU7961017</t>
  </si>
  <si>
    <t>TJAUZ37130A01</t>
  </si>
  <si>
    <t>INCHEON (FOB/P-D)</t>
  </si>
  <si>
    <t>FSIMINAS229362</t>
  </si>
  <si>
    <t>FSCOPUVV386626</t>
  </si>
  <si>
    <t>CAIU8406512</t>
  </si>
  <si>
    <t>CAIU8476696</t>
  </si>
  <si>
    <t>TJAUZ37132C01</t>
  </si>
  <si>
    <t>BUSAN (FOB/P-D)</t>
  </si>
  <si>
    <t>FSIMPUAS229366</t>
  </si>
  <si>
    <t>FSCOPUVV386631</t>
  </si>
  <si>
    <t>CAIU8768229</t>
  </si>
  <si>
    <t>CAIU8857711</t>
  </si>
  <si>
    <t>TJAUZ37133A01</t>
  </si>
  <si>
    <t>FSIMINAS229363</t>
  </si>
  <si>
    <t>FSCOPUVV386627</t>
  </si>
  <si>
    <t>CAIU8903484</t>
  </si>
  <si>
    <t>CAIU9072174</t>
  </si>
  <si>
    <t>FESU5119911</t>
  </si>
  <si>
    <t>FESU5133150</t>
  </si>
  <si>
    <t>TJAUZ37116A01</t>
  </si>
  <si>
    <t>FSIMPUAS229341</t>
  </si>
  <si>
    <t>FSCOPUVV386541</t>
  </si>
  <si>
    <t>FESU5141324</t>
  </si>
  <si>
    <t>FESU5172768</t>
  </si>
  <si>
    <t>FESU5176608</t>
  </si>
  <si>
    <t>FESU5184630</t>
  </si>
  <si>
    <t>FESU5186442</t>
  </si>
  <si>
    <t>FESU5218262</t>
  </si>
  <si>
    <t>FESU5225976</t>
  </si>
  <si>
    <t>FESU5228050</t>
  </si>
  <si>
    <t>FESU5233924</t>
  </si>
  <si>
    <t>FESU5259404</t>
  </si>
  <si>
    <t>FESU5266743</t>
  </si>
  <si>
    <t>FESU5267101</t>
  </si>
  <si>
    <t>FESU5270759</t>
  </si>
  <si>
    <t>FESU5278174</t>
  </si>
  <si>
    <t>TJAUZ37132C01; UZ2302171S</t>
  </si>
  <si>
    <t>FSIMPUAS229366; FSIMPUAS229367</t>
  </si>
  <si>
    <t>FSCOPUVV386631; FSCOPUVV386632</t>
  </si>
  <si>
    <t>FESU5281500</t>
  </si>
  <si>
    <t>FESU5287237</t>
  </si>
  <si>
    <t>FESU5299217</t>
  </si>
  <si>
    <t>FESU5310830</t>
  </si>
  <si>
    <t>FESU5318180</t>
  </si>
  <si>
    <t>TJAUZ37118C01,  UZ2302132S</t>
  </si>
  <si>
    <t>FSIMPUAS229339; FSIMPUAS229340</t>
  </si>
  <si>
    <t>FSCOPUVV386539; FSCOPUVV386540</t>
  </si>
  <si>
    <t>FESU5326987</t>
  </si>
  <si>
    <t>TJAUZ37125C01</t>
  </si>
  <si>
    <t>FSIMPUAS229347</t>
  </si>
  <si>
    <t>FSCOPUVV386629</t>
  </si>
  <si>
    <t>FESU5328450</t>
  </si>
  <si>
    <t>FESU5328568</t>
  </si>
  <si>
    <t>FESU5335696</t>
  </si>
  <si>
    <t>FESU5335968</t>
  </si>
  <si>
    <t>SEGU4061092</t>
  </si>
  <si>
    <t>TCLU6218030</t>
  </si>
  <si>
    <t>TCLU8947508</t>
  </si>
  <si>
    <t>TCLU9963782</t>
  </si>
  <si>
    <t>TCNU7819562</t>
  </si>
  <si>
    <t>TEMU7395382</t>
  </si>
  <si>
    <t>TGHU6138308</t>
  </si>
  <si>
    <t>TGHU6438584</t>
  </si>
  <si>
    <t>TGHU6626452</t>
  </si>
  <si>
    <t>TGHU6903578</t>
  </si>
  <si>
    <t>TGHU9229090</t>
  </si>
  <si>
    <t>.</t>
  </si>
  <si>
    <t>UZL-UZA-01 от 01.08.2022г</t>
  </si>
  <si>
    <t>Busan (FOB/P-D)</t>
  </si>
  <si>
    <t>GM KOREA</t>
  </si>
  <si>
    <t>CENTRUM AVIATION FZCO
Доп-4</t>
  </si>
  <si>
    <t>CAIU8669972</t>
  </si>
  <si>
    <t>CAIU4963090</t>
  </si>
  <si>
    <t>TEMU7265429</t>
  </si>
  <si>
    <t>MAXU6215036</t>
  </si>
  <si>
    <t>TCNU6636844</t>
  </si>
  <si>
    <t>TGHU6138484</t>
  </si>
  <si>
    <t>TJAUZ37491C01</t>
  </si>
  <si>
    <t>CRLKS23090028</t>
  </si>
  <si>
    <t>CRLKS23090028&amp;29</t>
  </si>
  <si>
    <t>CRLKS23090028&amp;30</t>
  </si>
  <si>
    <t>FSIMPUAN406269</t>
  </si>
  <si>
    <t>CNT-CKRF087-1-1 CR111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</si>
</sst>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\ _₽_-;\-* #,##0.00\ _₽_-;_-* &quot;-&quot;??\ _₽_-;_-@_-"/>
  </numFmts>
  <fonts count="21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9"/>
      <color theme="0"/>
      <name val="Consolas"/>
      <family val="3"/>
      <charset val="204"/>
    </font>
    <font>
      <sz val="48"/>
      <color theme="0"/>
      <name val="Calibri"/>
      <family val="2"/>
      <charset val="204"/>
      <scheme val="minor"/>
    </font>
    <font>
      <sz val="36"/>
      <color theme="0"/>
      <name val="Calibri"/>
      <family val="2"/>
      <charset val="204"/>
      <scheme val="minor"/>
    </font>
    <font>
      <sz val="11"/>
      <color theme="1"/>
      <name val="Consolas"/>
      <family val="3"/>
      <charset val="204"/>
    </font>
    <font>
      <sz val="11"/>
      <color theme="1"/>
      <name val="Calibri"/>
      <family val="2"/>
      <charset val="204"/>
      <scheme val="minor"/>
    </font>
    <font>
      <b/>
      <sz val="11"/>
      <color theme="1"/>
      <name val="Consolas"/>
      <family val="3"/>
      <charset val="204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color theme="1" tint="0.249977111117893"/>
      <name val="Calibri"/>
      <family val="2"/>
      <charset val="204"/>
      <scheme val="minor"/>
    </font>
    <font>
      <sz val="12"/>
      <color theme="1" tint="0.249977111117893"/>
      <name val="Calibri"/>
      <family val="2"/>
      <charset val="204"/>
      <scheme val="minor"/>
    </font>
    <font>
      <i/>
      <sz val="12"/>
      <color theme="1" tint="0.249977111117893"/>
      <name val="Calibri"/>
      <family val="2"/>
      <charset val="204"/>
      <scheme val="minor"/>
    </font>
    <font>
      <i/>
      <sz val="12"/>
      <color rgb="FFFF00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4"/>
      <color rgb="FFFF0000"/>
      <name val="Calibri"/>
      <family val="2"/>
      <charset val="204"/>
      <scheme val="minor"/>
    </font>
    <font>
      <i/>
      <sz val="11"/>
      <color theme="1" tint="0.249977111117893"/>
      <name val="Calibri"/>
      <family val="2"/>
      <charset val="204"/>
      <scheme val="minor"/>
    </font>
    <font>
      <sz val="16"/>
      <color theme="0"/>
      <name val="Calibri"/>
      <family val="2"/>
      <charset val="204"/>
      <scheme val="minor"/>
    </font>
    <font>
      <sz val="24"/>
      <color theme="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6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0" borderId="0" xfId="0"/>
    <xf numFmtId="43" fontId="5" fillId="3" borderId="1" xfId="1" applyFont="1" applyFill="1" applyBorder="1" applyAlignment="1">
      <alignment horizontal="center" vertical="center" wrapText="1"/>
    </xf>
    <xf numFmtId="43" fontId="7" fillId="3" borderId="1" xfId="1" applyFont="1" applyFill="1" applyBorder="1" applyAlignment="1">
      <alignment horizontal="center" vertical="center" wrapText="1"/>
    </xf>
    <xf numFmtId="0" fontId="0" fillId="0" borderId="0" xfId="0" applyNumberFormat="1"/>
    <xf numFmtId="14" fontId="0" fillId="0" borderId="0" xfId="0" applyNumberFormat="1"/>
    <xf numFmtId="0" fontId="8" fillId="0" borderId="0" xfId="0" applyFont="1"/>
    <xf numFmtId="0" fontId="8" fillId="0" borderId="0" xfId="0" applyNumberFormat="1" applyFont="1"/>
    <xf numFmtId="0" fontId="9" fillId="0" borderId="0" xfId="0" applyFont="1"/>
    <xf numFmtId="14" fontId="9" fillId="0" borderId="0" xfId="0" applyNumberFormat="1" applyFont="1"/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43" fontId="9" fillId="0" borderId="0" xfId="1" applyFont="1"/>
    <xf numFmtId="4" fontId="9" fillId="0" borderId="0" xfId="0" applyNumberFormat="1" applyFont="1"/>
    <xf numFmtId="4" fontId="9" fillId="0" borderId="0" xfId="0" applyNumberFormat="1" applyFont="1" applyAlignment="1">
      <alignment horizontal="center"/>
    </xf>
    <xf numFmtId="0" fontId="8" fillId="0" borderId="0" xfId="0" applyFont="1" applyAlignment="1">
      <alignment wrapText="1"/>
    </xf>
    <xf numFmtId="164" fontId="8" fillId="0" borderId="0" xfId="0" applyNumberFormat="1" applyFont="1"/>
    <xf numFmtId="0" fontId="1" fillId="2" borderId="5" xfId="0" applyFont="1" applyFill="1" applyBorder="1" applyAlignment="1">
      <alignment horizontal="center" vertical="center"/>
    </xf>
    <xf numFmtId="4" fontId="5" fillId="3" borderId="1" xfId="0" applyNumberFormat="1" applyFont="1" applyFill="1" applyBorder="1" applyAlignment="1">
      <alignment horizontal="center" vertical="center" wrapText="1"/>
    </xf>
    <xf numFmtId="14" fontId="10" fillId="0" borderId="0" xfId="0" applyNumberFormat="1" applyFont="1"/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5" fillId="3" borderId="1" xfId="1" applyNumberFormat="1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4" borderId="0" xfId="0" applyFont="1" applyFill="1"/>
    <xf numFmtId="0" fontId="16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9" fillId="0" borderId="0" xfId="0" applyFont="1" applyAlignment="1">
      <alignment wrapText="1"/>
    </xf>
    <xf numFmtId="43" fontId="9" fillId="0" borderId="0" xfId="1" applyFont="1" applyAlignment="1">
      <alignment wrapText="1"/>
    </xf>
    <xf numFmtId="4" fontId="9" fillId="0" borderId="0" xfId="0" applyNumberFormat="1" applyFont="1" applyAlignment="1">
      <alignment wrapText="1"/>
    </xf>
    <xf numFmtId="14" fontId="9" fillId="0" borderId="0" xfId="0" applyNumberFormat="1" applyFont="1" applyAlignment="1">
      <alignment wrapText="1"/>
    </xf>
    <xf numFmtId="0" fontId="9" fillId="0" borderId="0" xfId="0" applyNumberFormat="1" applyFont="1" applyAlignment="1">
      <alignment wrapText="1"/>
    </xf>
    <xf numFmtId="0" fontId="11" fillId="0" borderId="0" xfId="0" applyFont="1" applyAlignment="1">
      <alignment wrapText="1"/>
    </xf>
    <xf numFmtId="0" fontId="17" fillId="0" borderId="0" xfId="0" applyFont="1"/>
    <xf numFmtId="0" fontId="9" fillId="0" borderId="0" xfId="0" applyFont="1" applyAlignment="1">
      <alignment horizontal="center" wrapText="1"/>
    </xf>
    <xf numFmtId="0" fontId="9" fillId="0" borderId="0" xfId="0" applyNumberFormat="1" applyFont="1" applyAlignment="1">
      <alignment horizontal="center" wrapText="1"/>
    </xf>
    <xf numFmtId="4" fontId="9" fillId="0" borderId="0" xfId="0" applyNumberFormat="1" applyFont="1" applyAlignment="1">
      <alignment horizontal="center" wrapText="1"/>
    </xf>
    <xf numFmtId="14" fontId="8" fillId="0" borderId="0" xfId="0" applyNumberFormat="1" applyFont="1"/>
    <xf numFmtId="14" fontId="10" fillId="3" borderId="0" xfId="0" applyNumberFormat="1" applyFont="1" applyFill="1"/>
    <xf numFmtId="164" fontId="0" fillId="0" borderId="0" xfId="0" applyNumberFormat="1"/>
    <xf numFmtId="0" fontId="9" fillId="0" borderId="0" xfId="0" applyFont="1" applyAlignment="1">
      <alignment horizontal="center" vertical="center" wrapText="1"/>
    </xf>
    <xf numFmtId="0" fontId="9" fillId="0" borderId="0" xfId="0" applyNumberFormat="1" applyFont="1" applyAlignment="1">
      <alignment horizontal="center" vertical="center" wrapText="1"/>
    </xf>
    <xf numFmtId="4" fontId="9" fillId="0" borderId="0" xfId="0" applyNumberFormat="1" applyFont="1" applyAlignment="1">
      <alignment horizontal="center" vertical="center" wrapText="1"/>
    </xf>
    <xf numFmtId="43" fontId="9" fillId="0" borderId="0" xfId="1" applyFont="1" applyAlignment="1">
      <alignment horizontal="center" vertical="center" wrapText="1"/>
    </xf>
    <xf numFmtId="14" fontId="9" fillId="0" borderId="0" xfId="0" applyNumberFormat="1" applyFont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2" borderId="6" xfId="0" applyFont="1" applyFill="1" applyBorder="1" applyAlignment="1" applyProtection="1">
      <alignment horizontal="center" vertical="center"/>
      <protection locked="0"/>
    </xf>
    <xf numFmtId="14" fontId="18" fillId="2" borderId="1" xfId="0" applyNumberFormat="1" applyFont="1" applyFill="1" applyBorder="1" applyAlignment="1">
      <alignment horizontal="center" vertical="center" wrapText="1"/>
    </xf>
    <xf numFmtId="0" fontId="19" fillId="2" borderId="9" xfId="0" applyFont="1" applyFill="1" applyBorder="1" applyAlignment="1">
      <alignment horizontal="center" vertical="center"/>
    </xf>
    <xf numFmtId="0" fontId="19" fillId="2" borderId="8" xfId="0" applyFont="1" applyFill="1" applyBorder="1" applyAlignment="1">
      <alignment horizontal="center" vertical="center"/>
    </xf>
    <xf numFmtId="0" fontId="19" fillId="2" borderId="1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  <protection locked="0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2">
    <cellStyle name="Обычный" xfId="0" builtinId="0"/>
    <cellStyle name="Финансовый" xfId="1" builtinId="3"/>
  </cellStyles>
  <dxfs count="92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indexed="64"/>
          <bgColor theme="8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_-* #,##0.00\ _₽_-;\-* #,##0.00\ _₽_-;_-* &quot;-&quot;??\ _₽_-;_-@_-"/>
    </dxf>
    <dxf>
      <numFmt numFmtId="19" formatCode="dd/mm/yyyy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numFmt numFmtId="19" formatCode="dd/mm/yyyy"/>
      <fill>
        <patternFill patternType="solid">
          <fgColor indexed="64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numFmt numFmtId="19" formatCode="dd/mm/yyyy"/>
    </dxf>
    <dxf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.00\ _₽_-;\-* #,##0.00\ _₽_-;_-* &quot;-&quot;??\ _₽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.00\ _₽_-;\-* #,##0.00\ _₽_-;_-* &quot;-&quot;??\ _₽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.00\ _₽_-;\-* #,##0.00\ _₽_-;_-* &quot;-&quot;??\ _₽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.00\ _₽_-;\-* #,##0.00\ _₽_-;_-* &quot;-&quot;??\ _₽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.00\ _₽_-;\-* #,##0.00\ _₽_-;_-* &quot;-&quot;??\ _₽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.00\ _₽_-;\-* #,##0.00\ _₽_-;_-* &quot;-&quot;??\ _₽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sz val="9"/>
      </font>
      <numFmt numFmtId="0" formatCode="General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sz val="9"/>
      </font>
      <numFmt numFmtId="4" formatCode="#,##0.00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vertical="bottom" textRotation="0" wrapText="1" indent="0" justifyLastLine="0" shrinkToFit="0" readingOrder="0"/>
    </dxf>
    <dxf>
      <font>
        <sz val="9"/>
      </font>
      <numFmt numFmtId="0" formatCode="General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1" indent="0" justifyLastLine="0" shrinkToFit="0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indexed="64"/>
          <bgColor theme="8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2F93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preserveFormatting="0" adjustColumnWidth="0" connectionId="4" xr16:uid="{1C241846-7515-434D-9C63-36A44A07ECFB}" autoFormatId="16" applyNumberFormats="0" applyBorderFormats="0" applyFontFormats="0" applyPatternFormats="0" applyAlignmentFormats="0" applyWidthHeightFormats="0">
  <queryTableRefresh nextId="27">
    <queryTableFields count="26">
      <queryTableField id="1" name="1" tableColumnId="1"/>
      <queryTableField id="2" name="2" tableColumnId="2"/>
      <queryTableField id="3" name="3" tableColumnId="3"/>
      <queryTableField id="4" name="4" tableColumnId="4"/>
      <queryTableField id="5" name="5" tableColumnId="5"/>
      <queryTableField id="6" name="6" tableColumnId="6"/>
      <queryTableField id="7" name="7" tableColumnId="7"/>
      <queryTableField id="8" name="8" tableColumnId="8"/>
      <queryTableField id="9" name="9" tableColumnId="9"/>
      <queryTableField id="10" name="10" tableColumnId="10"/>
      <queryTableField id="11" name="11" tableColumnId="11"/>
      <queryTableField id="12" name="12" tableColumnId="12"/>
      <queryTableField id="13" name="13" tableColumnId="13"/>
      <queryTableField id="14" name="14" tableColumnId="14"/>
      <queryTableField id="15" name="15" tableColumnId="15"/>
      <queryTableField id="16" name="16" tableColumnId="16"/>
      <queryTableField id="17" name="17" tableColumnId="17"/>
      <queryTableField id="18" name="18" tableColumnId="18"/>
      <queryTableField id="19" name="19" tableColumnId="19"/>
      <queryTableField id="20" name="20" tableColumnId="20"/>
      <queryTableField id="21" name="21" tableColumnId="21"/>
      <queryTableField id="22" name="22" tableColumnId="22"/>
      <queryTableField id="23" name="23" tableColumnId="23"/>
      <queryTableField id="24" name="24" tableColumnId="24"/>
      <queryTableField id="25" name="25" tableColumnId="25"/>
      <queryTableField id="26" name="26" tableColumnId="2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preserveFormatting="0" adjustColumnWidth="0" connectionId="1" xr16:uid="{89C29027-E8F5-487B-AA03-94DF141BF563}" autoFormatId="16" applyNumberFormats="0" applyBorderFormats="0" applyFontFormats="0" applyPatternFormats="0" applyAlignmentFormats="0" applyWidthHeightFormats="0">
  <queryTableRefresh nextId="50">
    <queryTableFields count="22">
      <queryTableField id="24" name="Carrier/ Перевозчик" tableColumnId="24"/>
      <queryTableField id="25" name="Country /  Страна" tableColumnId="25"/>
      <queryTableField id="26" name="LOT num. / Лот №" tableColumnId="26"/>
      <queryTableField id="27" name="Container num./ _x000a_№ контейнера" tableColumnId="27"/>
      <queryTableField id="28" name="Supplier/_x000a_Поставщик" tableColumnId="28"/>
      <queryTableField id="29" name="Shippers invoice no/ _x000a_Номер инвойса поставщика" tableColumnId="29"/>
      <queryTableField id="48" name="Условия поставки" tableColumnId="1"/>
      <queryTableField id="31" name="Model/_x000a_ Модель" tableColumnId="31"/>
      <queryTableField id="32" name="Route/ Маршрут (TSR/TCR)" tableColumnId="32"/>
      <queryTableField id="33" name="№ HBL date / _x000a_№/ дата коносамента" tableColumnId="33"/>
      <queryTableField id="34" name="№ MBL / _x000a_№/ коносамента" tableColumnId="34"/>
      <queryTableField id="35" name="Date on board / Дата погрузки на судно" tableColumnId="35"/>
      <queryTableField id="36" name="Date of arrival to Sary-Agach/ Дата прибытия на Сары-Агач" tableColumnId="36"/>
      <queryTableField id="37" name="CBM on the shipper/ _x000a_CBM по поставщику" tableColumnId="37"/>
      <queryTableField id="38" name="Gross weight of cont// _x000a_Гросс.вес по конт." tableColumnId="38"/>
      <queryTableField id="39" name="Transportation cost per supplier/ _x000a_Cтоимость перевозки по поставщикам" tableColumnId="39"/>
      <queryTableField id="40" name="Insurance / Страхование" tableColumnId="40"/>
      <queryTableField id="41" name="Transportation total amount / Общая стоимость перевозки" tableColumnId="41"/>
      <queryTableField id="42" name="Container type/ _x000a_Тип контейнера" tableColumnId="42"/>
      <queryTableField id="43" name="Invoice value / Стоимость груза в к-ре по инвойсу" tableColumnId="43"/>
      <queryTableField id="44" name="Transport co invoice no/ _x000a_Номер инвойса ТК" tableColumnId="44"/>
      <queryTableField id="46" name="Индекс" tableColumnId="4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preserveFormatting="0" adjustColumnWidth="0" connectionId="2" xr16:uid="{FC3E0569-5835-477B-8DBD-BD0116D3DEB1}" autoFormatId="16" applyNumberFormats="0" applyBorderFormats="0" applyFontFormats="0" applyPatternFormats="0" applyAlignmentFormats="0" applyWidthHeightFormats="0">
  <queryTableRefresh nextId="8">
    <queryTableFields count="4">
      <queryTableField id="1" name="Дн нед" tableColumnId="1"/>
      <queryTableField id="2" name="Дата" tableColumnId="2"/>
      <queryTableField id="6" name="Курс" tableColumnId="3"/>
      <queryTableField id="7" name="Максимальный курс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172B670-9EBD-4DDF-B3F2-81B41E46769E}" name="Шаблон_Формулы_2" displayName="Шаблон_Формулы_2" ref="A2:Z10" tableType="queryTable" totalsRowShown="0" headerRowDxfId="91" dataDxfId="90" tableBorderDxfId="89">
  <autoFilter ref="A2:Z10" xr:uid="{2172B670-9EBD-4DDF-B3F2-81B41E46769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</autoFilter>
  <tableColumns count="26">
    <tableColumn id="1" xr3:uid="{A434EB3C-8376-48E8-B977-7F2BDEF4C531}" uniqueName="1" name="1" queryTableFieldId="1" dataDxfId="88"/>
    <tableColumn id="2" xr3:uid="{8A87712C-FC73-4678-B1A7-ED16A8E04E71}" uniqueName="2" name="2" queryTableFieldId="2" dataDxfId="87"/>
    <tableColumn id="3" xr3:uid="{D148B657-97B3-4E46-93B8-6B1F20441BFF}" uniqueName="3" name="3" queryTableFieldId="3" dataDxfId="86"/>
    <tableColumn id="4" xr3:uid="{41DC2B2B-DC98-4A52-BCD6-A4D95BBD953E}" uniqueName="4" name="4" queryTableFieldId="4" dataDxfId="85"/>
    <tableColumn id="5" xr3:uid="{1D866B85-DF46-4A1E-944F-986C019F9BC1}" uniqueName="5" name="5" queryTableFieldId="5" dataDxfId="84"/>
    <tableColumn id="6" xr3:uid="{3FB0D426-BB7F-4C2E-AE23-CCC777815CE8}" uniqueName="6" name="6" queryTableFieldId="6" dataDxfId="83"/>
    <tableColumn id="7" xr3:uid="{634833FD-8BCD-46C0-B3AC-ADF92E1F1DA3}" uniqueName="7" name="7" queryTableFieldId="7" dataDxfId="82" dataCellStyle="Финансовый"/>
    <tableColumn id="8" xr3:uid="{3A30ACC9-9C1F-4DDE-B6D4-274E27DD3664}" uniqueName="8" name="8" queryTableFieldId="8" dataDxfId="81"/>
    <tableColumn id="9" xr3:uid="{C72BEEDD-A656-42A9-BFBA-8C91A38CA41D}" uniqueName="9" name="9" queryTableFieldId="9" dataDxfId="80"/>
    <tableColumn id="10" xr3:uid="{FA489D1A-BD4C-4A40-840B-54A23E6FE1B6}" uniqueName="10" name="10" queryTableFieldId="10" dataDxfId="79"/>
    <tableColumn id="11" xr3:uid="{AF649117-E4FD-47F6-94D2-7E0D741B1108}" uniqueName="11" name="11" queryTableFieldId="11" dataDxfId="78"/>
    <tableColumn id="12" xr3:uid="{6E4EE260-E04D-4ADC-869F-B8FD8CF3742C}" uniqueName="12" name="12" queryTableFieldId="12" dataDxfId="77"/>
    <tableColumn id="13" xr3:uid="{23E2C403-EC82-4A11-B21E-3CDF9FF92735}" uniqueName="13" name="13" queryTableFieldId="13" dataDxfId="76"/>
    <tableColumn id="14" xr3:uid="{B90B6DA9-B0EC-4D7D-BF3D-9FA1954332A4}" uniqueName="14" name="14" queryTableFieldId="14" dataDxfId="75"/>
    <tableColumn id="15" xr3:uid="{A0754BD4-1808-4F1C-9BE0-CD5590CD3151}" uniqueName="15" name="15" queryTableFieldId="15" dataDxfId="74"/>
    <tableColumn id="16" xr3:uid="{6FF623EF-0A86-4754-A87A-F356B7ACBF2D}" uniqueName="16" name="16" queryTableFieldId="16" dataDxfId="73"/>
    <tableColumn id="17" xr3:uid="{9158F7F1-6BFE-4F93-94CE-81ABA288FDEA}" uniqueName="17" name="17" queryTableFieldId="17" dataDxfId="72"/>
    <tableColumn id="18" xr3:uid="{420AF06A-A8C7-4FCD-A2F3-090E8B2B7AC3}" uniqueName="18" name="18" queryTableFieldId="18" dataDxfId="71"/>
    <tableColumn id="19" xr3:uid="{4274A0A0-56D1-4E95-B283-1EDFBA256114}" uniqueName="19" name="19" queryTableFieldId="19" dataDxfId="70"/>
    <tableColumn id="20" xr3:uid="{B6F87092-021B-4BDE-BCDE-9F7C6B8F1E36}" uniqueName="20" name="20" queryTableFieldId="20" dataDxfId="69"/>
    <tableColumn id="21" xr3:uid="{70453219-26CE-401C-A798-3E6AC931E0FC}" uniqueName="21" name="21" queryTableFieldId="21" dataDxfId="68"/>
    <tableColumn id="22" xr3:uid="{3F4116D9-77AB-43A0-BEF2-5B20A0F3707E}" uniqueName="22" name="22" queryTableFieldId="22" dataDxfId="67"/>
    <tableColumn id="23" xr3:uid="{0B9465B3-5A11-4241-A0D8-736A6CF17BC3}" uniqueName="23" name="23" queryTableFieldId="23" dataDxfId="66"/>
    <tableColumn id="24" xr3:uid="{A92E1B7E-9131-4031-9E80-42D518598C99}" uniqueName="24" name="24" queryTableFieldId="24" dataDxfId="65"/>
    <tableColumn id="25" xr3:uid="{B6EC9D45-01EE-4BF8-A9AB-678B33FC1ACE}" uniqueName="25" name="25" queryTableFieldId="25" dataDxfId="64"/>
    <tableColumn id="26" xr3:uid="{FB1E0E35-5389-4522-9C98-B22D7ACA016A}" uniqueName="26" name="26" queryTableFieldId="26" dataDxfId="6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834A19-259B-40D5-9FFB-3CD1C5FF657E}" name="Centrum" displayName="Centrum" ref="A1:V51" tableType="queryTable" totalsRowShown="0" headerRowDxfId="62" dataDxfId="61">
  <autoFilter ref="A1:V51" xr:uid="{5B834A19-259B-40D5-9FFB-3CD1C5FF657E}"/>
  <tableColumns count="22">
    <tableColumn id="24" xr3:uid="{820CA1E5-3B6A-4975-83E6-6A57E1DC07B9}" uniqueName="24" name="Carrier/ Перевозчик" queryTableFieldId="24" dataDxfId="60"/>
    <tableColumn id="25" xr3:uid="{A08D0DF8-8304-46D8-A023-E0DC7A43A85E}" uniqueName="25" name="Country /  Страна" queryTableFieldId="25" dataDxfId="59"/>
    <tableColumn id="26" xr3:uid="{211543C6-8B39-4D7F-A065-2D4127184827}" uniqueName="26" name="LOT num. / Лот №" queryTableFieldId="26" dataDxfId="58"/>
    <tableColumn id="27" xr3:uid="{3CFDF01C-2110-4904-9F67-CA5BDD532C71}" uniqueName="27" name="Container num./ _x000a_№ контейнера" queryTableFieldId="27" dataDxfId="57"/>
    <tableColumn id="28" xr3:uid="{6D9C3AEC-8568-4945-9822-7326121AE2BE}" uniqueName="28" name="Supplier/_x000a_Поставщик" queryTableFieldId="28" dataDxfId="56"/>
    <tableColumn id="29" xr3:uid="{4C6F67F4-DE26-4669-A8AD-1C444D0323B4}" uniqueName="29" name="Shippers invoice no/ _x000a_Номер инвойса поставщика" queryTableFieldId="29" dataDxfId="55"/>
    <tableColumn id="1" xr3:uid="{422CE8A7-A089-483F-AD03-86A758335FDC}" uniqueName="1" name="Условия поставки" queryTableFieldId="48" dataDxfId="54"/>
    <tableColumn id="31" xr3:uid="{7D01696C-7E2D-4CB4-93BC-1CD1F6A5B2BD}" uniqueName="31" name="Model/_x000a_ Модель" queryTableFieldId="31" dataDxfId="53"/>
    <tableColumn id="32" xr3:uid="{96FE3713-6532-45F6-AB25-30CC2379DC9B}" uniqueName="32" name="Route/ Маршрут (TSR/TCR)" queryTableFieldId="32" dataDxfId="52"/>
    <tableColumn id="33" xr3:uid="{D27E6612-234B-457E-87E0-A4909D52DF73}" uniqueName="33" name="№ HBL date / _x000a_№/ дата коносамента" queryTableFieldId="33" dataDxfId="51"/>
    <tableColumn id="34" xr3:uid="{E6413C8D-B31F-4A38-91EC-FAB9663C3845}" uniqueName="34" name="№ MBL / _x000a_№/ коносамента" queryTableFieldId="34" dataDxfId="50"/>
    <tableColumn id="35" xr3:uid="{4E2F2BFA-5BE9-49B5-AA5B-167709C74547}" uniqueName="35" name="Date on board / Дата погрузки на судно" queryTableFieldId="35" dataDxfId="49"/>
    <tableColumn id="36" xr3:uid="{495FCEE0-A29B-4621-A4D9-05FEC789415B}" uniqueName="36" name="Date of arrival to Sary-Agach/ Дата прибытия на Сары-Агач" queryTableFieldId="36" dataDxfId="48"/>
    <tableColumn id="37" xr3:uid="{5642708B-58F2-4DB9-96AD-804F21B7F6DB}" uniqueName="37" name="CBM on the shipper/ _x000a_CBM по поставщику" queryTableFieldId="37" dataDxfId="47"/>
    <tableColumn id="38" xr3:uid="{8DD201C6-1972-4F2A-B9D4-C04D62190AD3}" uniqueName="38" name="Gross weight of cont// _x000a_Гросс.вес по конт." queryTableFieldId="38" dataDxfId="46"/>
    <tableColumn id="39" xr3:uid="{6618D9C5-1683-489C-A3DA-CEB8404A1C93}" uniqueName="39" name="Transportation cost per supplier/ _x000a_Cтоимость перевозки по поставщикам" queryTableFieldId="39" dataDxfId="45"/>
    <tableColumn id="40" xr3:uid="{BF908EB4-A3E6-4CDE-9952-4CCB87246947}" uniqueName="40" name="Insurance / Страхование" queryTableFieldId="40" dataDxfId="44"/>
    <tableColumn id="41" xr3:uid="{05308627-F3E0-431D-A910-B0CBF115DD85}" uniqueName="41" name="Transportation total amount / Общая стоимость перевозки" queryTableFieldId="41" dataDxfId="43"/>
    <tableColumn id="42" xr3:uid="{C82B05DB-D11B-4987-95C0-26F1B6EEE9B7}" uniqueName="42" name="Container type/ _x000a_Тип контейнера" queryTableFieldId="42" dataDxfId="42"/>
    <tableColumn id="43" xr3:uid="{752EB5F1-EB0F-45D4-8A66-A36F2C22A22E}" uniqueName="43" name="Invoice value / Стоимость груза в к-ре по инвойсу" queryTableFieldId="43" dataDxfId="41"/>
    <tableColumn id="44" xr3:uid="{5039A037-2417-4C14-B5F7-4C1E7C3843AA}" uniqueName="44" name="Transport co invoice no/ _x000a_Номер инвойса ТК" queryTableFieldId="44" dataDxfId="40"/>
    <tableColumn id="46" xr3:uid="{CAA3EF7B-0725-49C7-A940-D76704F37FF5}" uniqueName="46" name="Индекс" queryTableFieldId="46" dataDxfId="39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0D0774A-AC69-4A35-9618-786477F8109E}" name="ПериодОтбора" displayName="ПериодОтбора" ref="A1:E2" totalsRowShown="0" headerRowDxfId="38">
  <autoFilter ref="A1:E2" xr:uid="{50D0774A-AC69-4A35-9618-786477F8109E}"/>
  <tableColumns count="5">
    <tableColumn id="1" xr3:uid="{B97A6CA7-7104-48AE-8A92-0127F4D4689D}" name="Наиболее ранняя дата прибытия" dataDxfId="37">
      <calculatedColumnFormula>MIN(Centrum[Date of arrival to Sary-Agach/ Дата прибытия на Сары-Агач])</calculatedColumnFormula>
    </tableColumn>
    <tableColumn id="2" xr3:uid="{F026247C-CDDC-49E3-B57D-9992A2C6C00C}" name="Дата начала отбора курса">
      <calculatedColumnFormula>MAX(Centrum[Date of arrival to Sary-Agach/ Дата прибытия на Сары-Агач])</calculatedColumnFormula>
    </tableColumn>
    <tableColumn id="3" xr3:uid="{8CA749DD-2B73-47BC-B4CF-4E7DE8BC12CC}" name="Дата окончания отбора курса" dataDxfId="36">
      <calculatedColumnFormula>IF(WORKDAY(A2,15)&gt;=TODAY(),TODAY(),WORKDAY(A2,15))</calculatedColumnFormula>
    </tableColumn>
    <tableColumn id="5" xr3:uid="{ECAFD6EF-47EB-4A57-B93E-B5E6B347C1EE}" name="Дата курса без поиска максимального (заполняется при необходимости)" dataDxfId="35"/>
    <tableColumn id="4" xr3:uid="{25A2372F-BFA9-4494-8DA3-AFE46A6AA6DD}" name="Валюта" dataDxfId="34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A137B49-3125-432F-A630-6DD50D11EBE0}" name="Курс_USD" displayName="Курс_USD" ref="A5:D26" tableType="queryTable" totalsRowShown="0" headerRowDxfId="33">
  <autoFilter ref="A5:D26" xr:uid="{6A137B49-3125-432F-A630-6DD50D11EBE0}"/>
  <tableColumns count="4">
    <tableColumn id="1" xr3:uid="{EC288063-33AD-415F-970A-12D8A501ABB6}" uniqueName="1" name="Дн нед" queryTableFieldId="1" dataDxfId="32"/>
    <tableColumn id="2" xr3:uid="{100266FB-FD9A-45B7-AE2D-3D4D7A8DD2E2}" uniqueName="2" name="Дата" queryTableFieldId="2" dataDxfId="31"/>
    <tableColumn id="3" xr3:uid="{A7A9BA93-4495-4953-8461-1FF7B1785C0E}" uniqueName="3" name="Курс" queryTableFieldId="6" dataDxfId="30"/>
    <tableColumn id="4" xr3:uid="{2F9F5CFB-53D7-4F86-8909-8A4D36C5A28B}" uniqueName="4" name="Максимальный курс" queryTableFieldId="7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2B1D09C-DEA4-4C6B-9A0D-3FD322FFB58E}" name="Шаблон_Формулы" displayName="Шаблон_Формулы" ref="A2:Z154" totalsRowShown="0" headerRowDxfId="29" dataDxfId="27" headerRowBorderDxfId="28" tableBorderDxfId="26">
  <autoFilter ref="A2:Z154" xr:uid="{12B1D09C-DEA4-4C6B-9A0D-3FD322FFB58E}"/>
  <tableColumns count="26">
    <tableColumn id="1" xr3:uid="{EECC832E-C76E-4694-A5A3-64DC16DFA877}" name="1" dataDxfId="25"/>
    <tableColumn id="2" xr3:uid="{80163841-85DF-45AF-B7E7-9E8BAC067856}" name="2" dataDxfId="24">
      <calculatedColumnFormula>_xlfn.XLOOKUP($A3,Centrum[Индекс],Centrum[Carrier/ Перевозчик],"",0,1)</calculatedColumnFormula>
    </tableColumn>
    <tableColumn id="3" xr3:uid="{CA85C000-838A-439D-9211-E21F6CC17707}" name="3" dataDxfId="23">
      <calculatedColumnFormula>_xlfn.XLOOKUP($A3,Centrum[Индекс],Centrum[Country /  Страна],"",0,1)</calculatedColumnFormula>
    </tableColumn>
    <tableColumn id="4" xr3:uid="{7431317B-AE29-4CFE-AC62-FA82612ACE82}" name="4" dataDxfId="22">
      <calculatedColumnFormula>_xlfn.XLOOKUP($A3,Centrum[Индекс],Centrum[Container num./ 
№ контейнера],"",0,1)</calculatedColumnFormula>
    </tableColumn>
    <tableColumn id="5" xr3:uid="{3EF1956F-4D3B-46B0-9F66-B38A17048A4F}" name="5" dataDxfId="21">
      <calculatedColumnFormula>_xlfn.XLOOKUP($A3,Centrum[Индекс],Centrum[Supplier/
Поставщик],"",0,1)</calculatedColumnFormula>
    </tableColumn>
    <tableColumn id="6" xr3:uid="{4432DDD8-C665-4F6B-950E-1927A7F7118D}" name="6" dataDxfId="20">
      <calculatedColumnFormula>_xlfn.XLOOKUP($A3,Centrum[Индекс],Centrum[Shippers invoice no/ 
Номер инвойса поставщика],"",1)</calculatedColumnFormula>
    </tableColumn>
    <tableColumn id="7" xr3:uid="{1CA7C4FD-641C-450D-8DD1-22F160E6F34B}" name="7" dataDxfId="19" dataCellStyle="Финансовый">
      <calculatedColumnFormula>_xlfn.XLOOKUP($A3,Centrum[Индекс],Centrum[Invoice value / Стоимость груза в к-ре по инвойсу],"",0,1)</calculatedColumnFormula>
    </tableColumn>
    <tableColumn id="8" xr3:uid="{FB63AE05-E41D-4842-892A-D7562D79385B}" name="8" dataDxfId="18"/>
    <tableColumn id="9" xr3:uid="{370A2487-A477-458B-A444-1301F9EA66A1}" name="9" dataDxfId="17">
      <calculatedColumnFormula>_xlfn.XLOOKUP($A3,Centrum[Индекс],Centrum[CBM on the shipper/ 
CBM по поставщику],"",0,1)</calculatedColumnFormula>
    </tableColumn>
    <tableColumn id="10" xr3:uid="{038E84C5-C7A9-45FB-A8DB-708203D4A03D}" name="10" dataDxfId="16">
      <calculatedColumnFormula>_xlfn.XLOOKUP($A3,Centrum[Индекс],Centrum[Gross weight of cont// 
Гросс.вес по конт.],"",0,1)</calculatedColumnFormula>
    </tableColumn>
    <tableColumn id="11" xr3:uid="{05F76E4A-38AE-46E2-8F02-34F67092A4B1}" name="11" dataDxfId="15">
      <calculatedColumnFormula>_xlfn.XLOOKUP($A3,Centrum[Индекс],Centrum[Route/ Маршрут (TSR/TCR)],"",0,1)</calculatedColumnFormula>
    </tableColumn>
    <tableColumn id="12" xr3:uid="{6EB1FA54-9C9E-4ED9-9339-A4C8D734A09D}" name="12" dataDxfId="14">
      <calculatedColumnFormula>_xlfn.XLOOKUP($A3,Centrum[Индекс],Centrum[Условия поставки],"",0,1)</calculatedColumnFormula>
    </tableColumn>
    <tableColumn id="13" xr3:uid="{9FA20739-C1E5-4B59-862B-C413F4AA858F}" name="13" dataDxfId="13">
      <calculatedColumnFormula>_xlfn.XLOOKUP($A3,Centrum[Индекс],Centrum[№ HBL date / 
№/ дата коносамента],"",0,1)</calculatedColumnFormula>
    </tableColumn>
    <tableColumn id="14" xr3:uid="{63FEFC4A-B1D9-4BB8-921C-7581032AAC45}" name="14" dataDxfId="12">
      <calculatedColumnFormula>_xlfn.XLOOKUP($A3,Centrum[Индекс],Centrum[№ MBL / 
№/ коносамента],"",0,1)</calculatedColumnFormula>
    </tableColumn>
    <tableColumn id="15" xr3:uid="{BD36124D-AAE6-4A53-9CB3-E7D2F4231470}" name="15" dataDxfId="11">
      <calculatedColumnFormula>_xlfn.XLOOKUP($A3,Centrum[Индекс],Centrum[Date on board / Дата погрузки на судно],"",0,1)</calculatedColumnFormula>
    </tableColumn>
    <tableColumn id="16" xr3:uid="{36264D1D-FCD0-4BF2-8E96-ED5355F2E054}" name="16" dataDxfId="10">
      <calculatedColumnFormula>_xlfn.XLOOKUP($A3,Centrum[Индекс],Centrum[Date of arrival to Sary-Agach/ Дата прибытия на Сары-Агач],"",0,1)</calculatedColumnFormula>
    </tableColumn>
    <tableColumn id="17" xr3:uid="{05E049CF-B3D9-4A72-AE3B-724164A608DA}" name="17" dataDxfId="9">
      <calculatedColumnFormula>_xlfn.XLOOKUP($A3,Centrum[Индекс],Centrum[Container type/ 
Тип контейнера],"",0,1)</calculatedColumnFormula>
    </tableColumn>
    <tableColumn id="18" xr3:uid="{9935278D-7A2D-4049-A0CC-C0643FEA6C21}" name="18" dataDxfId="8">
      <calculatedColumnFormula>_xlfn.XLOOKUP($A3,Centrum[Индекс],Centrum[Transportation cost per supplier/ 
Cтоимость перевозки по поставщикам],0,0,1)</calculatedColumnFormula>
    </tableColumn>
    <tableColumn id="19" xr3:uid="{5844F963-A9CB-426F-98B8-FDB41E611CD6}" name="19" dataDxfId="7">
      <calculatedColumnFormula>Шаблон_Формулы!$T3-Шаблон_Формулы!$R3</calculatedColumnFormula>
    </tableColumn>
    <tableColumn id="20" xr3:uid="{E887A808-FF17-4878-B535-FBD80D39880E}" name="20" dataDxfId="6">
      <calculatedColumnFormula>_xlfn.XLOOKUP($A3,Centrum[Индекс],Centrum[Transportation total amount / Общая стоимость перевозки],0,0,1)</calculatedColumnFormula>
    </tableColumn>
    <tableColumn id="21" xr3:uid="{78C244F9-7E9E-47FD-A78C-A5D4C2D79272}" name="21" dataDxfId="5">
      <calculatedColumnFormula>_xlfn.XLOOKUP("МАКС",#REF!,Курс_USD[Дата],,0,1)</calculatedColumnFormula>
    </tableColumn>
    <tableColumn id="22" xr3:uid="{5CFDFB8E-AC8A-4DC4-A9D3-48ACF7A0E0EB}" name="22" dataDxfId="4">
      <calculatedColumnFormula>_xlfn.XLOOKUP("МАКС",#REF!,#REF!,,0,1)</calculatedColumnFormula>
    </tableColumn>
    <tableColumn id="23" xr3:uid="{4A9FB422-E372-4E96-BB5F-BD72EFD53781}" name="23" dataDxfId="3">
      <calculatedColumnFormula>Шаблон_Формулы!$T3*Шаблон_Формулы!$V3</calculatedColumnFormula>
    </tableColumn>
    <tableColumn id="24" xr3:uid="{B4293233-93AA-4248-BF42-1CAFF7BDA958}" name="24" dataDxfId="2"/>
    <tableColumn id="25" xr3:uid="{F8AC5341-935E-486E-8BF5-585E1EFE217E}" name="25" dataDxfId="1">
      <calculatedColumnFormula>Шаблон_Формулы!$W3+Шаблон_Формулы!$X3</calculatedColumnFormula>
    </tableColumn>
    <tableColumn id="26" xr3:uid="{6C80E714-6993-4343-A4B1-A83F3EDBB997}" name="26" dataDxfId="0">
      <calculatedColumnFormula>_xlfn.XLOOKUP($A3,Centrum[Индекс],Centrum[Transport co invoice no/ 
Номер инвойса ТК],"",0,1)</calculatedColumnFormula>
    </tableColumn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50D05-AABC-40A7-A0B8-F378B6D6A099}">
  <sheetPr>
    <tabColor rgb="FF2F93A7"/>
  </sheetPr>
  <dimension ref="A1:Z11"/>
  <sheetViews>
    <sheetView tabSelected="1" workbookViewId="0">
      <selection activeCell="A14" sqref="A14"/>
    </sheetView>
  </sheetViews>
  <sheetFormatPr defaultRowHeight="14.4" x14ac:dyDescent="0.3"/>
  <cols>
    <col min="1" max="1" width="6.6640625" bestFit="1" customWidth="1"/>
    <col min="2" max="2" width="16.109375" customWidth="1"/>
    <col min="3" max="3" width="7.33203125" bestFit="1" customWidth="1"/>
    <col min="4" max="4" width="15.33203125" bestFit="1" customWidth="1"/>
    <col min="5" max="5" width="13.44140625" customWidth="1"/>
    <col min="6" max="6" width="19" customWidth="1"/>
    <col min="7" max="7" width="19.33203125" bestFit="1" customWidth="1"/>
    <col min="8" max="8" width="6.88671875" bestFit="1" customWidth="1"/>
    <col min="9" max="9" width="17.44140625" bestFit="1" customWidth="1"/>
    <col min="10" max="10" width="17" bestFit="1" customWidth="1"/>
    <col min="11" max="11" width="13.44140625" bestFit="1" customWidth="1"/>
    <col min="12" max="12" width="20.44140625" bestFit="1" customWidth="1"/>
    <col min="13" max="13" width="17.5546875" bestFit="1" customWidth="1"/>
    <col min="14" max="14" width="17.88671875" bestFit="1" customWidth="1"/>
    <col min="15" max="15" width="17.6640625" bestFit="1" customWidth="1"/>
    <col min="16" max="16" width="20.109375" bestFit="1" customWidth="1"/>
    <col min="17" max="17" width="16.44140625" bestFit="1" customWidth="1"/>
    <col min="18" max="18" width="15" bestFit="1" customWidth="1"/>
    <col min="19" max="19" width="17.44140625" bestFit="1" customWidth="1"/>
    <col min="20" max="20" width="18.44140625" bestFit="1" customWidth="1"/>
    <col min="21" max="21" width="17.33203125" bestFit="1" customWidth="1"/>
    <col min="22" max="22" width="15.109375" bestFit="1" customWidth="1"/>
    <col min="23" max="23" width="21.44140625" bestFit="1" customWidth="1"/>
    <col min="24" max="24" width="10.88671875" bestFit="1" customWidth="1"/>
    <col min="25" max="25" width="23.5546875" customWidth="1"/>
    <col min="26" max="26" width="17" bestFit="1" customWidth="1"/>
  </cols>
  <sheetData>
    <row r="1" spans="1:26" ht="61.2" x14ac:dyDescent="0.3">
      <c r="A1" s="58">
        <v>488</v>
      </c>
      <c r="B1" s="58"/>
      <c r="C1" s="58"/>
      <c r="D1" s="59" t="str">
        <f>Z5</f>
        <v>CNT-CKRF087-1-1 CR111</v>
      </c>
      <c r="E1" s="59"/>
      <c r="F1" s="59"/>
      <c r="G1" s="59"/>
      <c r="H1" s="60">
        <v>45229</v>
      </c>
      <c r="I1" s="60"/>
      <c r="J1" s="61" t="s">
        <v>199</v>
      </c>
      <c r="K1" s="62"/>
      <c r="L1" s="62"/>
      <c r="M1" s="63"/>
      <c r="N1" s="55" t="s">
        <v>0</v>
      </c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7"/>
    </row>
    <row r="2" spans="1:26" x14ac:dyDescent="0.3">
      <c r="A2" s="27" t="s">
        <v>78</v>
      </c>
      <c r="B2" s="27" t="s">
        <v>79</v>
      </c>
      <c r="C2" s="27" t="s">
        <v>80</v>
      </c>
      <c r="D2" s="27" t="s">
        <v>81</v>
      </c>
      <c r="E2" s="27" t="s">
        <v>82</v>
      </c>
      <c r="F2" s="27" t="s">
        <v>83</v>
      </c>
      <c r="G2" s="27" t="s">
        <v>84</v>
      </c>
      <c r="H2" s="27" t="s">
        <v>85</v>
      </c>
      <c r="I2" s="27" t="s">
        <v>86</v>
      </c>
      <c r="J2" s="27" t="s">
        <v>87</v>
      </c>
      <c r="K2" s="27" t="s">
        <v>88</v>
      </c>
      <c r="L2" s="27" t="s">
        <v>89</v>
      </c>
      <c r="M2" s="27" t="s">
        <v>90</v>
      </c>
      <c r="N2" s="27" t="s">
        <v>91</v>
      </c>
      <c r="O2" s="27" t="s">
        <v>92</v>
      </c>
      <c r="P2" s="27" t="s">
        <v>93</v>
      </c>
      <c r="Q2" s="27" t="s">
        <v>94</v>
      </c>
      <c r="R2" s="27" t="s">
        <v>95</v>
      </c>
      <c r="S2" s="27" t="s">
        <v>96</v>
      </c>
      <c r="T2" s="27" t="s">
        <v>97</v>
      </c>
      <c r="U2" s="27" t="s">
        <v>98</v>
      </c>
      <c r="V2" s="27" t="s">
        <v>99</v>
      </c>
      <c r="W2" s="27" t="s">
        <v>100</v>
      </c>
      <c r="X2" s="27" t="s">
        <v>101</v>
      </c>
      <c r="Y2" s="27" t="s">
        <v>102</v>
      </c>
      <c r="Z2" s="27" t="s">
        <v>103</v>
      </c>
    </row>
    <row r="3" spans="1:26" s="36" customFormat="1" ht="60.6" x14ac:dyDescent="0.3">
      <c r="A3" s="44" t="s">
        <v>1</v>
      </c>
      <c r="B3" s="41" t="s">
        <v>2</v>
      </c>
      <c r="C3" s="41" t="s">
        <v>3</v>
      </c>
      <c r="D3" s="41" t="s">
        <v>4</v>
      </c>
      <c r="E3" s="41" t="s">
        <v>5</v>
      </c>
      <c r="F3" s="41" t="s">
        <v>6</v>
      </c>
      <c r="G3" s="38" t="s">
        <v>7</v>
      </c>
      <c r="H3" s="45" t="s">
        <v>8</v>
      </c>
      <c r="I3" s="37" t="s">
        <v>9</v>
      </c>
      <c r="J3" s="39" t="s">
        <v>10</v>
      </c>
      <c r="K3" s="46" t="s">
        <v>11</v>
      </c>
      <c r="L3" s="41" t="s">
        <v>12</v>
      </c>
      <c r="M3" s="41" t="s">
        <v>13</v>
      </c>
      <c r="N3" s="41" t="s">
        <v>14</v>
      </c>
      <c r="O3" s="40" t="s">
        <v>15</v>
      </c>
      <c r="P3" s="40" t="s">
        <v>16</v>
      </c>
      <c r="Q3" s="45" t="s">
        <v>17</v>
      </c>
      <c r="R3" s="39" t="s">
        <v>18</v>
      </c>
      <c r="S3" s="39" t="s">
        <v>19</v>
      </c>
      <c r="T3" s="39" t="s">
        <v>20</v>
      </c>
      <c r="U3" s="40" t="s">
        <v>21</v>
      </c>
      <c r="V3" s="39" t="s">
        <v>22</v>
      </c>
      <c r="W3" s="39" t="s">
        <v>23</v>
      </c>
      <c r="X3" s="41" t="s">
        <v>24</v>
      </c>
      <c r="Y3" s="39" t="s">
        <v>25</v>
      </c>
      <c r="Z3" s="44" t="s">
        <v>26</v>
      </c>
    </row>
    <row r="4" spans="1:26" x14ac:dyDescent="0.3">
      <c r="A4" s="44" t="s">
        <v>27</v>
      </c>
      <c r="B4" s="41"/>
      <c r="C4" s="41"/>
      <c r="D4" s="41"/>
      <c r="E4" s="41"/>
      <c r="F4" s="41"/>
      <c r="G4" s="38"/>
      <c r="H4" s="45"/>
      <c r="I4" s="37"/>
      <c r="J4" s="39"/>
      <c r="K4" s="46"/>
      <c r="L4" s="41"/>
      <c r="M4" s="41"/>
      <c r="N4" s="41"/>
      <c r="O4" s="40"/>
      <c r="P4" s="40"/>
      <c r="Q4" s="45"/>
      <c r="R4" s="39"/>
      <c r="S4" s="39"/>
      <c r="T4" s="39">
        <f>SUM(T5:T10)</f>
        <v>63300</v>
      </c>
      <c r="U4" s="40">
        <f>U5</f>
        <v>45229</v>
      </c>
      <c r="V4" s="39">
        <f>V5</f>
        <v>12228.05</v>
      </c>
      <c r="W4" s="39"/>
      <c r="X4" s="41"/>
      <c r="Y4" s="39">
        <f>SUM(Y5:Y10)</f>
        <v>774035564.99999988</v>
      </c>
      <c r="Z4" s="44"/>
    </row>
    <row r="5" spans="1:26" ht="36" x14ac:dyDescent="0.3">
      <c r="A5" s="50">
        <v>1</v>
      </c>
      <c r="B5" s="51" t="s">
        <v>202</v>
      </c>
      <c r="C5" s="51" t="s">
        <v>116</v>
      </c>
      <c r="D5" s="51" t="s">
        <v>203</v>
      </c>
      <c r="E5" s="51" t="s">
        <v>201</v>
      </c>
      <c r="F5" s="51" t="s">
        <v>209</v>
      </c>
      <c r="G5" s="53">
        <v>266377.44000000029</v>
      </c>
      <c r="H5" s="51" t="s">
        <v>40</v>
      </c>
      <c r="I5" s="50">
        <v>67.558000000000007</v>
      </c>
      <c r="J5" s="52">
        <v>20346</v>
      </c>
      <c r="K5" s="52" t="s">
        <v>45</v>
      </c>
      <c r="L5" s="51" t="s">
        <v>200</v>
      </c>
      <c r="M5" s="51" t="s">
        <v>210</v>
      </c>
      <c r="N5" s="51" t="s">
        <v>213</v>
      </c>
      <c r="O5" s="54">
        <v>45179</v>
      </c>
      <c r="P5" s="54">
        <v>45229</v>
      </c>
      <c r="Q5" s="51" t="s">
        <v>46</v>
      </c>
      <c r="R5" s="52">
        <v>10550</v>
      </c>
      <c r="S5" s="52">
        <v>0</v>
      </c>
      <c r="T5" s="52">
        <f>Шаблон_Формулы_2[[#This Row],[18]]-Шаблон_Формулы_2[[#This Row],[19]]</f>
        <v>10550</v>
      </c>
      <c r="U5" s="54">
        <v>45229</v>
      </c>
      <c r="V5" s="52">
        <v>12228.05</v>
      </c>
      <c r="W5" s="52">
        <f>Шаблон_Формулы_2[[#This Row],[22]]*Шаблон_Формулы_2[[#This Row],[20]]</f>
        <v>129005927.49999999</v>
      </c>
      <c r="X5" s="51"/>
      <c r="Y5" s="52">
        <f>Шаблон_Формулы_2[[#This Row],[23]]+Шаблон_Формулы_2[[#This Row],[24]]</f>
        <v>129005927.49999999</v>
      </c>
      <c r="Z5" s="50" t="s">
        <v>214</v>
      </c>
    </row>
    <row r="6" spans="1:26" ht="36" x14ac:dyDescent="0.3">
      <c r="A6" s="50">
        <v>2</v>
      </c>
      <c r="B6" s="51" t="s">
        <v>202</v>
      </c>
      <c r="C6" s="51" t="s">
        <v>116</v>
      </c>
      <c r="D6" s="51" t="s">
        <v>204</v>
      </c>
      <c r="E6" s="51" t="s">
        <v>201</v>
      </c>
      <c r="F6" s="51" t="s">
        <v>209</v>
      </c>
      <c r="G6" s="53">
        <v>216216</v>
      </c>
      <c r="H6" s="51" t="s">
        <v>40</v>
      </c>
      <c r="I6" s="50">
        <v>67.557000000000002</v>
      </c>
      <c r="J6" s="52">
        <v>20097</v>
      </c>
      <c r="K6" s="52" t="s">
        <v>45</v>
      </c>
      <c r="L6" s="51" t="s">
        <v>200</v>
      </c>
      <c r="M6" s="51" t="s">
        <v>210</v>
      </c>
      <c r="N6" s="51" t="s">
        <v>213</v>
      </c>
      <c r="O6" s="54">
        <v>45179</v>
      </c>
      <c r="P6" s="54">
        <v>45229</v>
      </c>
      <c r="Q6" s="51" t="s">
        <v>46</v>
      </c>
      <c r="R6" s="52">
        <v>10550</v>
      </c>
      <c r="S6" s="52">
        <v>0</v>
      </c>
      <c r="T6" s="52">
        <f>Шаблон_Формулы_2[[#This Row],[18]]-Шаблон_Формулы_2[[#This Row],[19]]</f>
        <v>10550</v>
      </c>
      <c r="U6" s="54">
        <v>45229</v>
      </c>
      <c r="V6" s="52">
        <v>12228.05</v>
      </c>
      <c r="W6" s="52">
        <f>Шаблон_Формулы_2[[#This Row],[22]]*Шаблон_Формулы_2[[#This Row],[20]]</f>
        <v>129005927.49999999</v>
      </c>
      <c r="X6" s="51"/>
      <c r="Y6" s="52">
        <f>Шаблон_Формулы_2[[#This Row],[23]]+Шаблон_Формулы_2[[#This Row],[24]]</f>
        <v>129005927.49999999</v>
      </c>
      <c r="Z6" s="50" t="s">
        <v>214</v>
      </c>
    </row>
    <row r="7" spans="1:26" ht="36" x14ac:dyDescent="0.3">
      <c r="A7" s="50">
        <v>3</v>
      </c>
      <c r="B7" s="51" t="s">
        <v>202</v>
      </c>
      <c r="C7" s="51" t="s">
        <v>116</v>
      </c>
      <c r="D7" s="51" t="s">
        <v>205</v>
      </c>
      <c r="E7" s="51" t="s">
        <v>201</v>
      </c>
      <c r="F7" s="51" t="s">
        <v>209</v>
      </c>
      <c r="G7" s="53">
        <v>97882.900000000038</v>
      </c>
      <c r="H7" s="51" t="s">
        <v>40</v>
      </c>
      <c r="I7" s="50">
        <v>65.863</v>
      </c>
      <c r="J7" s="52">
        <v>20009</v>
      </c>
      <c r="K7" s="52" t="s">
        <v>45</v>
      </c>
      <c r="L7" s="51" t="s">
        <v>200</v>
      </c>
      <c r="M7" s="51" t="s">
        <v>210</v>
      </c>
      <c r="N7" s="51" t="s">
        <v>213</v>
      </c>
      <c r="O7" s="54">
        <v>45179</v>
      </c>
      <c r="P7" s="54">
        <v>45229</v>
      </c>
      <c r="Q7" s="51" t="s">
        <v>46</v>
      </c>
      <c r="R7" s="52">
        <v>10550</v>
      </c>
      <c r="S7" s="52">
        <v>0</v>
      </c>
      <c r="T7" s="52">
        <f>Шаблон_Формулы_2[[#This Row],[18]]-Шаблон_Формулы_2[[#This Row],[19]]</f>
        <v>10550</v>
      </c>
      <c r="U7" s="54">
        <v>45229</v>
      </c>
      <c r="V7" s="52">
        <v>12228.05</v>
      </c>
      <c r="W7" s="52">
        <f>Шаблон_Формулы_2[[#This Row],[22]]*Шаблон_Формулы_2[[#This Row],[20]]</f>
        <v>129005927.49999999</v>
      </c>
      <c r="X7" s="51"/>
      <c r="Y7" s="52">
        <f>Шаблон_Формулы_2[[#This Row],[23]]+Шаблон_Формулы_2[[#This Row],[24]]</f>
        <v>129005927.49999999</v>
      </c>
      <c r="Z7" s="50" t="s">
        <v>214</v>
      </c>
    </row>
    <row r="8" spans="1:26" ht="36" x14ac:dyDescent="0.3">
      <c r="A8" s="50">
        <v>4</v>
      </c>
      <c r="B8" s="51" t="s">
        <v>202</v>
      </c>
      <c r="C8" s="51" t="s">
        <v>116</v>
      </c>
      <c r="D8" s="51" t="s">
        <v>206</v>
      </c>
      <c r="E8" s="51" t="s">
        <v>201</v>
      </c>
      <c r="F8" s="51" t="s">
        <v>209</v>
      </c>
      <c r="G8" s="53">
        <v>266377.44000000029</v>
      </c>
      <c r="H8" s="51" t="s">
        <v>40</v>
      </c>
      <c r="I8" s="50">
        <v>67.558000000000007</v>
      </c>
      <c r="J8" s="52">
        <v>20346</v>
      </c>
      <c r="K8" s="52" t="s">
        <v>45</v>
      </c>
      <c r="L8" s="51" t="s">
        <v>200</v>
      </c>
      <c r="M8" s="51" t="s">
        <v>210</v>
      </c>
      <c r="N8" s="51" t="s">
        <v>213</v>
      </c>
      <c r="O8" s="54">
        <v>45179</v>
      </c>
      <c r="P8" s="54">
        <v>45229</v>
      </c>
      <c r="Q8" s="51" t="s">
        <v>46</v>
      </c>
      <c r="R8" s="52">
        <v>10550</v>
      </c>
      <c r="S8" s="52">
        <v>0</v>
      </c>
      <c r="T8" s="52">
        <f>Шаблон_Формулы_2[[#This Row],[18]]-Шаблон_Формулы_2[[#This Row],[19]]</f>
        <v>10550</v>
      </c>
      <c r="U8" s="54">
        <v>45229</v>
      </c>
      <c r="V8" s="52">
        <v>12228.05</v>
      </c>
      <c r="W8" s="52">
        <f>Шаблон_Формулы_2[[#This Row],[22]]*Шаблон_Формулы_2[[#This Row],[20]]</f>
        <v>129005927.49999999</v>
      </c>
      <c r="X8" s="51"/>
      <c r="Y8" s="52">
        <f>Шаблон_Формулы_2[[#This Row],[23]]+Шаблон_Формулы_2[[#This Row],[24]]</f>
        <v>129005927.49999999</v>
      </c>
      <c r="Z8" s="50" t="s">
        <v>214</v>
      </c>
    </row>
    <row r="9" spans="1:26" ht="36" x14ac:dyDescent="0.3">
      <c r="A9" s="50">
        <v>5</v>
      </c>
      <c r="B9" s="51" t="s">
        <v>202</v>
      </c>
      <c r="C9" s="51" t="s">
        <v>116</v>
      </c>
      <c r="D9" s="51" t="s">
        <v>207</v>
      </c>
      <c r="E9" s="51" t="s">
        <v>201</v>
      </c>
      <c r="F9" s="51" t="s">
        <v>209</v>
      </c>
      <c r="G9" s="53">
        <v>266377.44000000029</v>
      </c>
      <c r="H9" s="51" t="s">
        <v>40</v>
      </c>
      <c r="I9" s="50">
        <v>67.558000000000007</v>
      </c>
      <c r="J9" s="52">
        <v>20346</v>
      </c>
      <c r="K9" s="52" t="s">
        <v>45</v>
      </c>
      <c r="L9" s="51" t="s">
        <v>200</v>
      </c>
      <c r="M9" s="51" t="s">
        <v>211</v>
      </c>
      <c r="N9" s="51" t="s">
        <v>213</v>
      </c>
      <c r="O9" s="54">
        <v>45179</v>
      </c>
      <c r="P9" s="54">
        <v>45229</v>
      </c>
      <c r="Q9" s="51" t="s">
        <v>46</v>
      </c>
      <c r="R9" s="52">
        <v>10550</v>
      </c>
      <c r="S9" s="52">
        <v>0</v>
      </c>
      <c r="T9" s="52">
        <f>Шаблон_Формулы_2[[#This Row],[18]]-Шаблон_Формулы_2[[#This Row],[19]]</f>
        <v>10550</v>
      </c>
      <c r="U9" s="54">
        <v>45229</v>
      </c>
      <c r="V9" s="52">
        <v>12228.05</v>
      </c>
      <c r="W9" s="52">
        <f>Шаблон_Формулы_2[[#This Row],[22]]*Шаблон_Формулы_2[[#This Row],[20]]</f>
        <v>129005927.49999999</v>
      </c>
      <c r="X9" s="51"/>
      <c r="Y9" s="52">
        <f>Шаблон_Формулы_2[[#This Row],[23]]+Шаблон_Формулы_2[[#This Row],[24]]</f>
        <v>129005927.49999999</v>
      </c>
      <c r="Z9" s="50" t="s">
        <v>214</v>
      </c>
    </row>
    <row r="10" spans="1:26" ht="36" x14ac:dyDescent="0.3">
      <c r="A10" s="50">
        <v>6</v>
      </c>
      <c r="B10" s="51" t="s">
        <v>202</v>
      </c>
      <c r="C10" s="51" t="s">
        <v>116</v>
      </c>
      <c r="D10" s="51" t="s">
        <v>208</v>
      </c>
      <c r="E10" s="51" t="s">
        <v>201</v>
      </c>
      <c r="F10" s="51" t="s">
        <v>209</v>
      </c>
      <c r="G10" s="53">
        <v>58483.380000000005</v>
      </c>
      <c r="H10" s="51" t="s">
        <v>40</v>
      </c>
      <c r="I10" s="50">
        <v>66.557000000000002</v>
      </c>
      <c r="J10" s="52">
        <v>13074</v>
      </c>
      <c r="K10" s="52" t="s">
        <v>45</v>
      </c>
      <c r="L10" s="51" t="s">
        <v>200</v>
      </c>
      <c r="M10" s="51" t="s">
        <v>212</v>
      </c>
      <c r="N10" s="51" t="s">
        <v>213</v>
      </c>
      <c r="O10" s="54">
        <v>45179</v>
      </c>
      <c r="P10" s="54">
        <v>45229</v>
      </c>
      <c r="Q10" s="51" t="s">
        <v>46</v>
      </c>
      <c r="R10" s="52">
        <v>10550</v>
      </c>
      <c r="S10" s="52">
        <v>0</v>
      </c>
      <c r="T10" s="52">
        <f>Шаблон_Формулы_2[[#This Row],[18]]-Шаблон_Формулы_2[[#This Row],[19]]</f>
        <v>10550</v>
      </c>
      <c r="U10" s="54">
        <v>45229</v>
      </c>
      <c r="V10" s="52">
        <v>12228.05</v>
      </c>
      <c r="W10" s="52">
        <f>Шаблон_Формулы_2[[#This Row],[22]]*Шаблон_Формулы_2[[#This Row],[20]]</f>
        <v>129005927.49999999</v>
      </c>
      <c r="X10" s="51"/>
      <c r="Y10" s="52">
        <f>Шаблон_Формулы_2[[#This Row],[23]]+Шаблон_Формулы_2[[#This Row],[24]]</f>
        <v>129005927.49999999</v>
      </c>
      <c r="Z10" s="50" t="s">
        <v>214</v>
      </c>
    </row>
    <row r="11" spans="1:26" x14ac:dyDescent="0.3">
      <c r="L11" s="8"/>
      <c r="M11" s="8"/>
    </row>
  </sheetData>
  <mergeCells count="5">
    <mergeCell ref="N1:Z1"/>
    <mergeCell ref="A1:C1"/>
    <mergeCell ref="D1:G1"/>
    <mergeCell ref="H1:I1"/>
    <mergeCell ref="J1:M1"/>
  </mergeCells>
  <phoneticPr fontId="20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B4"/>
  <sheetViews>
    <sheetView workbookViewId="0">
      <selection activeCell="B4" sqref="B4"/>
    </sheetView>
  </sheetViews>
  <sheetFormatPr defaultColWidth="8.88671875" defaultRowHeight="14.4" x14ac:dyDescent="0.3"/>
  <cols>
    <col min="1" max="1" width="21.6640625" style="28" customWidth="1"/>
    <col min="2" max="2" width="23.6640625" style="28" customWidth="1"/>
    <col min="3" max="16384" width="8.88671875" style="28"/>
  </cols>
  <sheetData>
    <row r="1" spans="1:2" ht="24" customHeight="1" x14ac:dyDescent="0.3">
      <c r="A1" s="29" t="s">
        <v>47</v>
      </c>
      <c r="B1" s="30" t="str" cm="1">
        <f t="array" aca="1" ref="B1" ca="1">CELL("имяфайла")</f>
        <v>C:\Users\z.radjabmukhamedov\Desktop\[CNT-CKRF087-2 CR111 GM.xlsx]Лист1</v>
      </c>
    </row>
    <row r="2" spans="1:2" ht="24" customHeight="1" x14ac:dyDescent="0.3">
      <c r="A2" s="29" t="s">
        <v>75</v>
      </c>
      <c r="B2" s="31" t="str">
        <f ca="1">LEFT(B1,SEARCH("[",B1,1)-1)&amp;B3</f>
        <v>C:\Users\z.radjabmukhamedov\Desktop\CNT -FS230001670.xls</v>
      </c>
    </row>
    <row r="3" spans="1:2" ht="24" customHeight="1" x14ac:dyDescent="0.3">
      <c r="A3" s="29" t="s">
        <v>74</v>
      </c>
      <c r="B3" s="32" t="s">
        <v>115</v>
      </c>
    </row>
    <row r="4" spans="1:2" ht="31.95" customHeight="1" x14ac:dyDescent="0.3">
      <c r="A4" s="42" t="s">
        <v>104</v>
      </c>
      <c r="B4" s="43" t="str">
        <f ca="1">LEFT(B1,SEARCH("[",B1,1)-1)&amp;"Справочник курсов.xlsx"</f>
        <v>C:\Users\z.radjabmukhamedov\Desktop\Справочник курсов.xlsx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D1FB1-BD18-4203-A2A2-B0C6E18D3C0E}">
  <sheetPr>
    <tabColor theme="0" tint="-0.249977111117893"/>
  </sheetPr>
  <dimension ref="A1:V51"/>
  <sheetViews>
    <sheetView topLeftCell="F1" workbookViewId="0">
      <selection activeCell="K11" sqref="K11"/>
    </sheetView>
  </sheetViews>
  <sheetFormatPr defaultColWidth="8.88671875" defaultRowHeight="13.8" x14ac:dyDescent="0.3"/>
  <cols>
    <col min="1" max="1" width="20.5546875" style="9" bestFit="1" customWidth="1"/>
    <col min="2" max="5" width="19" style="9" bestFit="1" customWidth="1"/>
    <col min="6" max="6" width="27" style="9" bestFit="1" customWidth="1"/>
    <col min="7" max="9" width="19" style="9" bestFit="1" customWidth="1"/>
    <col min="10" max="10" width="22.33203125" style="9" bestFit="1" customWidth="1"/>
    <col min="11" max="11" width="21.6640625" style="9" bestFit="1" customWidth="1"/>
    <col min="12" max="12" width="21" style="9" bestFit="1" customWidth="1"/>
    <col min="13" max="13" width="31.33203125" style="9" bestFit="1" customWidth="1"/>
    <col min="14" max="14" width="27.33203125" style="9" bestFit="1" customWidth="1"/>
    <col min="15" max="15" width="22.109375" style="9" bestFit="1" customWidth="1"/>
    <col min="16" max="16" width="35.88671875" style="9" bestFit="1" customWidth="1"/>
    <col min="17" max="17" width="35.44140625" style="9" bestFit="1" customWidth="1"/>
    <col min="18" max="18" width="27.88671875" style="9" bestFit="1" customWidth="1"/>
    <col min="19" max="19" width="27.33203125" style="9" bestFit="1" customWidth="1"/>
    <col min="20" max="20" width="25" style="9" bestFit="1" customWidth="1"/>
    <col min="21" max="21" width="24.44140625" style="9" bestFit="1" customWidth="1"/>
    <col min="22" max="22" width="22.6640625" style="9" bestFit="1" customWidth="1"/>
    <col min="23" max="23" width="18.6640625" style="9" bestFit="1" customWidth="1"/>
    <col min="24" max="24" width="9.6640625" style="9" bestFit="1" customWidth="1"/>
    <col min="25" max="25" width="15.109375" style="9" bestFit="1" customWidth="1"/>
    <col min="26" max="26" width="27.44140625" style="9" bestFit="1" customWidth="1"/>
    <col min="27" max="27" width="80.88671875" style="9" bestFit="1" customWidth="1"/>
    <col min="28" max="48" width="19.33203125" style="9" customWidth="1"/>
    <col min="49" max="16384" width="8.88671875" style="9"/>
  </cols>
  <sheetData>
    <row r="1" spans="1:22" s="18" customFormat="1" ht="40.200000000000003" customHeight="1" x14ac:dyDescent="0.3">
      <c r="A1" s="18" t="s">
        <v>48</v>
      </c>
      <c r="B1" s="18" t="s">
        <v>49</v>
      </c>
      <c r="C1" s="18" t="s">
        <v>50</v>
      </c>
      <c r="D1" s="18" t="s">
        <v>51</v>
      </c>
      <c r="E1" s="18" t="s">
        <v>52</v>
      </c>
      <c r="F1" s="18" t="s">
        <v>53</v>
      </c>
      <c r="G1" s="18" t="s">
        <v>76</v>
      </c>
      <c r="H1" s="18" t="s">
        <v>54</v>
      </c>
      <c r="I1" s="18" t="s">
        <v>55</v>
      </c>
      <c r="J1" s="18" t="s">
        <v>56</v>
      </c>
      <c r="K1" s="18" t="s">
        <v>57</v>
      </c>
      <c r="L1" s="18" t="s">
        <v>58</v>
      </c>
      <c r="M1" s="18" t="s">
        <v>59</v>
      </c>
      <c r="N1" s="18" t="s">
        <v>60</v>
      </c>
      <c r="O1" s="18" t="s">
        <v>61</v>
      </c>
      <c r="P1" s="18" t="s">
        <v>62</v>
      </c>
      <c r="Q1" s="18" t="s">
        <v>63</v>
      </c>
      <c r="R1" s="18" t="s">
        <v>64</v>
      </c>
      <c r="S1" s="18" t="s">
        <v>65</v>
      </c>
      <c r="T1" s="18" t="s">
        <v>66</v>
      </c>
      <c r="U1" s="18" t="s">
        <v>67</v>
      </c>
      <c r="V1" s="18" t="s">
        <v>68</v>
      </c>
    </row>
    <row r="2" spans="1:22" ht="14.4" x14ac:dyDescent="0.3">
      <c r="A2" s="10" t="s">
        <v>44</v>
      </c>
      <c r="B2" s="10" t="s">
        <v>116</v>
      </c>
      <c r="C2" s="10" t="s">
        <v>117</v>
      </c>
      <c r="D2" s="10" t="s">
        <v>118</v>
      </c>
      <c r="E2" s="10" t="s">
        <v>119</v>
      </c>
      <c r="F2" s="10" t="s">
        <v>120</v>
      </c>
      <c r="G2" s="7" t="s">
        <v>121</v>
      </c>
      <c r="H2" s="10" t="s">
        <v>122</v>
      </c>
      <c r="I2" s="10" t="s">
        <v>45</v>
      </c>
      <c r="J2" s="10" t="s">
        <v>123</v>
      </c>
      <c r="K2" s="10" t="s">
        <v>124</v>
      </c>
      <c r="L2" s="47">
        <v>44979</v>
      </c>
      <c r="M2" s="47">
        <v>45033</v>
      </c>
      <c r="N2" s="19">
        <v>67.082999999999998</v>
      </c>
      <c r="O2" s="19">
        <v>6071</v>
      </c>
      <c r="P2" s="19">
        <v>11600</v>
      </c>
      <c r="Q2" s="19"/>
      <c r="R2" s="19">
        <v>11600</v>
      </c>
      <c r="S2" s="10" t="s">
        <v>46</v>
      </c>
      <c r="T2" s="19">
        <v>19024.2</v>
      </c>
      <c r="U2" s="10" t="s">
        <v>125</v>
      </c>
      <c r="V2" s="9">
        <v>1</v>
      </c>
    </row>
    <row r="3" spans="1:22" ht="14.4" x14ac:dyDescent="0.3">
      <c r="A3" s="10" t="s">
        <v>44</v>
      </c>
      <c r="B3" s="10" t="s">
        <v>116</v>
      </c>
      <c r="C3" s="10" t="s">
        <v>117</v>
      </c>
      <c r="D3" s="10" t="s">
        <v>126</v>
      </c>
      <c r="E3" s="10" t="s">
        <v>119</v>
      </c>
      <c r="F3" s="10" t="s">
        <v>120</v>
      </c>
      <c r="G3" s="7" t="s">
        <v>121</v>
      </c>
      <c r="H3" s="10" t="s">
        <v>122</v>
      </c>
      <c r="I3" s="10" t="s">
        <v>45</v>
      </c>
      <c r="J3" s="10" t="s">
        <v>123</v>
      </c>
      <c r="K3" s="10" t="s">
        <v>124</v>
      </c>
      <c r="L3" s="47">
        <v>44979</v>
      </c>
      <c r="M3" s="47">
        <v>45034</v>
      </c>
      <c r="N3" s="19">
        <v>67.387</v>
      </c>
      <c r="O3" s="19">
        <v>9416</v>
      </c>
      <c r="P3" s="19">
        <v>11600</v>
      </c>
      <c r="Q3" s="19"/>
      <c r="R3" s="19">
        <v>11600</v>
      </c>
      <c r="S3" s="10" t="s">
        <v>46</v>
      </c>
      <c r="T3" s="19">
        <v>28742.400000000001</v>
      </c>
      <c r="U3" s="10" t="s">
        <v>125</v>
      </c>
      <c r="V3" s="9">
        <v>2</v>
      </c>
    </row>
    <row r="4" spans="1:22" ht="14.4" x14ac:dyDescent="0.3">
      <c r="A4" s="10" t="s">
        <v>44</v>
      </c>
      <c r="B4" s="10" t="s">
        <v>116</v>
      </c>
      <c r="C4" s="10" t="s">
        <v>117</v>
      </c>
      <c r="D4" s="10" t="s">
        <v>127</v>
      </c>
      <c r="E4" s="10" t="s">
        <v>119</v>
      </c>
      <c r="F4" s="10" t="s">
        <v>120</v>
      </c>
      <c r="G4" s="7" t="s">
        <v>121</v>
      </c>
      <c r="H4" s="10" t="s">
        <v>122</v>
      </c>
      <c r="I4" s="10" t="s">
        <v>45</v>
      </c>
      <c r="J4" s="10" t="s">
        <v>123</v>
      </c>
      <c r="K4" s="10" t="s">
        <v>124</v>
      </c>
      <c r="L4" s="47">
        <v>44979</v>
      </c>
      <c r="M4" s="47">
        <v>45034</v>
      </c>
      <c r="N4" s="19">
        <v>67.558999999999997</v>
      </c>
      <c r="O4" s="19">
        <v>5156</v>
      </c>
      <c r="P4" s="19">
        <v>11600</v>
      </c>
      <c r="Q4" s="19"/>
      <c r="R4" s="19">
        <v>11600</v>
      </c>
      <c r="S4" s="10" t="s">
        <v>46</v>
      </c>
      <c r="T4" s="19">
        <v>13594.04</v>
      </c>
      <c r="U4" s="10" t="s">
        <v>125</v>
      </c>
      <c r="V4" s="9">
        <v>3</v>
      </c>
    </row>
    <row r="5" spans="1:22" ht="14.4" x14ac:dyDescent="0.3">
      <c r="A5" s="10" t="s">
        <v>44</v>
      </c>
      <c r="B5" s="10" t="s">
        <v>116</v>
      </c>
      <c r="C5" s="10" t="s">
        <v>117</v>
      </c>
      <c r="D5" s="10" t="s">
        <v>128</v>
      </c>
      <c r="E5" s="10" t="s">
        <v>119</v>
      </c>
      <c r="F5" s="10" t="s">
        <v>120</v>
      </c>
      <c r="G5" s="7" t="s">
        <v>121</v>
      </c>
      <c r="H5" s="10" t="s">
        <v>122</v>
      </c>
      <c r="I5" s="10" t="s">
        <v>45</v>
      </c>
      <c r="J5" s="10" t="s">
        <v>123</v>
      </c>
      <c r="K5" s="10" t="s">
        <v>124</v>
      </c>
      <c r="L5" s="47">
        <v>44979</v>
      </c>
      <c r="M5" s="47">
        <v>45034</v>
      </c>
      <c r="N5" s="19">
        <v>67.286000000000001</v>
      </c>
      <c r="O5" s="19">
        <v>7144</v>
      </c>
      <c r="P5" s="19">
        <v>11600</v>
      </c>
      <c r="Q5" s="19"/>
      <c r="R5" s="19">
        <v>11600</v>
      </c>
      <c r="S5" s="10" t="s">
        <v>46</v>
      </c>
      <c r="T5" s="19">
        <v>20636.599999999999</v>
      </c>
      <c r="U5" s="10" t="s">
        <v>125</v>
      </c>
      <c r="V5" s="9">
        <v>4</v>
      </c>
    </row>
    <row r="6" spans="1:22" ht="14.4" x14ac:dyDescent="0.3">
      <c r="A6" s="10" t="s">
        <v>44</v>
      </c>
      <c r="B6" s="10" t="s">
        <v>116</v>
      </c>
      <c r="C6" s="10" t="s">
        <v>117</v>
      </c>
      <c r="D6" s="10" t="s">
        <v>129</v>
      </c>
      <c r="E6" s="10" t="s">
        <v>119</v>
      </c>
      <c r="F6" s="10" t="s">
        <v>120</v>
      </c>
      <c r="G6" s="7" t="s">
        <v>121</v>
      </c>
      <c r="H6" s="10" t="s">
        <v>122</v>
      </c>
      <c r="I6" s="10" t="s">
        <v>45</v>
      </c>
      <c r="J6" s="10" t="s">
        <v>123</v>
      </c>
      <c r="K6" s="10" t="s">
        <v>124</v>
      </c>
      <c r="L6" s="47">
        <v>44979</v>
      </c>
      <c r="M6" s="47">
        <v>45034</v>
      </c>
      <c r="N6" s="19">
        <v>67.387</v>
      </c>
      <c r="O6" s="19">
        <v>8806</v>
      </c>
      <c r="P6" s="19">
        <v>11600</v>
      </c>
      <c r="Q6" s="19"/>
      <c r="R6" s="19">
        <v>11600</v>
      </c>
      <c r="S6" s="10" t="s">
        <v>46</v>
      </c>
      <c r="T6" s="19">
        <v>24809.31</v>
      </c>
      <c r="U6" s="10" t="s">
        <v>125</v>
      </c>
      <c r="V6" s="9">
        <v>5</v>
      </c>
    </row>
    <row r="7" spans="1:22" ht="14.4" x14ac:dyDescent="0.3">
      <c r="A7" s="10" t="s">
        <v>44</v>
      </c>
      <c r="B7" s="10" t="s">
        <v>116</v>
      </c>
      <c r="C7" s="10" t="s">
        <v>117</v>
      </c>
      <c r="D7" s="10" t="s">
        <v>130</v>
      </c>
      <c r="E7" s="10" t="s">
        <v>119</v>
      </c>
      <c r="F7" s="10" t="s">
        <v>120</v>
      </c>
      <c r="G7" s="7" t="s">
        <v>121</v>
      </c>
      <c r="H7" s="10" t="s">
        <v>122</v>
      </c>
      <c r="I7" s="10" t="s">
        <v>45</v>
      </c>
      <c r="J7" s="10" t="s">
        <v>123</v>
      </c>
      <c r="K7" s="10" t="s">
        <v>124</v>
      </c>
      <c r="L7" s="47">
        <v>44979</v>
      </c>
      <c r="M7" s="47">
        <v>45034</v>
      </c>
      <c r="N7" s="19">
        <v>67.558999999999997</v>
      </c>
      <c r="O7" s="19">
        <v>6894</v>
      </c>
      <c r="P7" s="19">
        <v>11600</v>
      </c>
      <c r="Q7" s="19"/>
      <c r="R7" s="19">
        <v>11600</v>
      </c>
      <c r="S7" s="10" t="s">
        <v>46</v>
      </c>
      <c r="T7" s="19">
        <v>19105.599999999999</v>
      </c>
      <c r="U7" s="10" t="s">
        <v>125</v>
      </c>
      <c r="V7" s="9">
        <v>6</v>
      </c>
    </row>
    <row r="8" spans="1:22" ht="14.4" x14ac:dyDescent="0.3">
      <c r="A8" s="10" t="s">
        <v>44</v>
      </c>
      <c r="B8" s="10" t="s">
        <v>116</v>
      </c>
      <c r="C8" s="10" t="s">
        <v>117</v>
      </c>
      <c r="D8" s="10" t="s">
        <v>131</v>
      </c>
      <c r="E8" s="10" t="s">
        <v>119</v>
      </c>
      <c r="F8" s="10" t="s">
        <v>132</v>
      </c>
      <c r="G8" s="7" t="s">
        <v>133</v>
      </c>
      <c r="H8" s="10" t="s">
        <v>122</v>
      </c>
      <c r="I8" s="10" t="s">
        <v>45</v>
      </c>
      <c r="J8" s="10" t="s">
        <v>134</v>
      </c>
      <c r="K8" s="10" t="s">
        <v>135</v>
      </c>
      <c r="L8" s="47">
        <v>44979</v>
      </c>
      <c r="M8" s="47">
        <v>45034</v>
      </c>
      <c r="N8" s="19">
        <v>66.631</v>
      </c>
      <c r="O8" s="19">
        <v>10491</v>
      </c>
      <c r="P8" s="19">
        <v>10850</v>
      </c>
      <c r="Q8" s="19"/>
      <c r="R8" s="19">
        <v>10850</v>
      </c>
      <c r="S8" s="10" t="s">
        <v>46</v>
      </c>
      <c r="T8" s="19">
        <v>63337.279999999999</v>
      </c>
      <c r="U8" s="10" t="s">
        <v>125</v>
      </c>
      <c r="V8" s="9">
        <v>7</v>
      </c>
    </row>
    <row r="9" spans="1:22" ht="14.4" x14ac:dyDescent="0.3">
      <c r="A9" s="10" t="s">
        <v>44</v>
      </c>
      <c r="B9" s="10" t="s">
        <v>116</v>
      </c>
      <c r="C9" s="10" t="s">
        <v>117</v>
      </c>
      <c r="D9" s="10" t="s">
        <v>136</v>
      </c>
      <c r="E9" s="10" t="s">
        <v>119</v>
      </c>
      <c r="F9" s="10" t="s">
        <v>120</v>
      </c>
      <c r="G9" s="7" t="s">
        <v>121</v>
      </c>
      <c r="H9" s="10" t="s">
        <v>122</v>
      </c>
      <c r="I9" s="10" t="s">
        <v>45</v>
      </c>
      <c r="J9" s="10" t="s">
        <v>123</v>
      </c>
      <c r="K9" s="10" t="s">
        <v>124</v>
      </c>
      <c r="L9" s="47">
        <v>44979</v>
      </c>
      <c r="M9" s="47">
        <v>45034</v>
      </c>
      <c r="N9" s="19">
        <v>67.597999999999999</v>
      </c>
      <c r="O9" s="19">
        <v>6571</v>
      </c>
      <c r="P9" s="19">
        <v>11600</v>
      </c>
      <c r="Q9" s="19"/>
      <c r="R9" s="19">
        <v>11600</v>
      </c>
      <c r="S9" s="10" t="s">
        <v>46</v>
      </c>
      <c r="T9" s="19">
        <v>20346.84</v>
      </c>
      <c r="U9" s="10" t="s">
        <v>125</v>
      </c>
      <c r="V9" s="9">
        <v>8</v>
      </c>
    </row>
    <row r="10" spans="1:22" ht="14.4" x14ac:dyDescent="0.3">
      <c r="A10" s="10" t="s">
        <v>44</v>
      </c>
      <c r="B10" s="10" t="s">
        <v>116</v>
      </c>
      <c r="C10" s="10" t="s">
        <v>117</v>
      </c>
      <c r="D10" s="10" t="s">
        <v>137</v>
      </c>
      <c r="E10" s="10" t="s">
        <v>119</v>
      </c>
      <c r="F10" s="10" t="s">
        <v>138</v>
      </c>
      <c r="G10" s="7" t="s">
        <v>139</v>
      </c>
      <c r="H10" s="10" t="s">
        <v>122</v>
      </c>
      <c r="I10" s="10" t="s">
        <v>45</v>
      </c>
      <c r="J10" s="10" t="s">
        <v>140</v>
      </c>
      <c r="K10" s="10" t="s">
        <v>141</v>
      </c>
      <c r="L10" s="47">
        <v>44979</v>
      </c>
      <c r="M10" s="47">
        <v>45034</v>
      </c>
      <c r="N10" s="19">
        <v>67.082999999999998</v>
      </c>
      <c r="O10" s="19">
        <v>6768</v>
      </c>
      <c r="P10" s="19">
        <v>10550</v>
      </c>
      <c r="Q10" s="19"/>
      <c r="R10" s="19">
        <v>10550</v>
      </c>
      <c r="S10" s="10" t="s">
        <v>46</v>
      </c>
      <c r="T10" s="19">
        <v>51105.56</v>
      </c>
      <c r="U10" s="10" t="s">
        <v>125</v>
      </c>
      <c r="V10" s="9">
        <v>9</v>
      </c>
    </row>
    <row r="11" spans="1:22" ht="14.4" x14ac:dyDescent="0.3">
      <c r="A11" s="10" t="s">
        <v>44</v>
      </c>
      <c r="B11" s="10" t="s">
        <v>116</v>
      </c>
      <c r="C11" s="10" t="s">
        <v>117</v>
      </c>
      <c r="D11" s="10" t="s">
        <v>142</v>
      </c>
      <c r="E11" s="10" t="s">
        <v>119</v>
      </c>
      <c r="F11" s="10" t="s">
        <v>120</v>
      </c>
      <c r="G11" s="7" t="s">
        <v>121</v>
      </c>
      <c r="H11" s="10" t="s">
        <v>122</v>
      </c>
      <c r="I11" s="10" t="s">
        <v>45</v>
      </c>
      <c r="J11" s="10" t="s">
        <v>123</v>
      </c>
      <c r="K11" s="10" t="s">
        <v>124</v>
      </c>
      <c r="L11" s="47">
        <v>44979</v>
      </c>
      <c r="M11" s="47">
        <v>45034</v>
      </c>
      <c r="N11" s="19">
        <v>67.674999999999997</v>
      </c>
      <c r="O11" s="19">
        <v>6935</v>
      </c>
      <c r="P11" s="19">
        <v>11600</v>
      </c>
      <c r="Q11" s="19"/>
      <c r="R11" s="19">
        <v>11600</v>
      </c>
      <c r="S11" s="10" t="s">
        <v>46</v>
      </c>
      <c r="T11" s="19">
        <v>21717</v>
      </c>
      <c r="U11" s="10" t="s">
        <v>125</v>
      </c>
      <c r="V11" s="9">
        <v>10</v>
      </c>
    </row>
    <row r="12" spans="1:22" ht="14.4" x14ac:dyDescent="0.3">
      <c r="A12" s="10" t="s">
        <v>44</v>
      </c>
      <c r="B12" s="10" t="s">
        <v>116</v>
      </c>
      <c r="C12" s="10" t="s">
        <v>117</v>
      </c>
      <c r="D12" s="10" t="s">
        <v>143</v>
      </c>
      <c r="E12" s="10" t="s">
        <v>119</v>
      </c>
      <c r="F12" s="10" t="s">
        <v>144</v>
      </c>
      <c r="G12" s="7" t="s">
        <v>133</v>
      </c>
      <c r="H12" s="10" t="s">
        <v>122</v>
      </c>
      <c r="I12" s="10" t="s">
        <v>45</v>
      </c>
      <c r="J12" s="10" t="s">
        <v>145</v>
      </c>
      <c r="K12" s="10" t="s">
        <v>146</v>
      </c>
      <c r="L12" s="47">
        <v>44979</v>
      </c>
      <c r="M12" s="47">
        <v>45034</v>
      </c>
      <c r="N12" s="19">
        <v>67.066000000000003</v>
      </c>
      <c r="O12" s="19">
        <v>14603</v>
      </c>
      <c r="P12" s="19">
        <v>10850</v>
      </c>
      <c r="Q12" s="19"/>
      <c r="R12" s="19">
        <v>10850</v>
      </c>
      <c r="S12" s="10" t="s">
        <v>46</v>
      </c>
      <c r="T12" s="19">
        <v>103771.42</v>
      </c>
      <c r="U12" s="10" t="s">
        <v>125</v>
      </c>
      <c r="V12" s="9">
        <v>11</v>
      </c>
    </row>
    <row r="13" spans="1:22" ht="14.4" x14ac:dyDescent="0.3">
      <c r="A13" s="10" t="s">
        <v>44</v>
      </c>
      <c r="B13" s="10" t="s">
        <v>116</v>
      </c>
      <c r="C13" s="10" t="s">
        <v>117</v>
      </c>
      <c r="D13" s="10" t="s">
        <v>147</v>
      </c>
      <c r="E13" s="10" t="s">
        <v>119</v>
      </c>
      <c r="F13" s="10" t="s">
        <v>120</v>
      </c>
      <c r="G13" s="7" t="s">
        <v>121</v>
      </c>
      <c r="H13" s="10" t="s">
        <v>122</v>
      </c>
      <c r="I13" s="10" t="s">
        <v>45</v>
      </c>
      <c r="J13" s="10" t="s">
        <v>123</v>
      </c>
      <c r="K13" s="10" t="s">
        <v>124</v>
      </c>
      <c r="L13" s="47">
        <v>44979</v>
      </c>
      <c r="M13" s="47">
        <v>45034</v>
      </c>
      <c r="N13" s="19">
        <v>67.558999999999997</v>
      </c>
      <c r="O13" s="19">
        <v>4947</v>
      </c>
      <c r="P13" s="19">
        <v>11600</v>
      </c>
      <c r="Q13" s="19"/>
      <c r="R13" s="19">
        <v>11600</v>
      </c>
      <c r="S13" s="10" t="s">
        <v>46</v>
      </c>
      <c r="T13" s="19">
        <v>12396.96</v>
      </c>
      <c r="U13" s="10" t="s">
        <v>125</v>
      </c>
      <c r="V13" s="9">
        <v>12</v>
      </c>
    </row>
    <row r="14" spans="1:22" ht="14.4" x14ac:dyDescent="0.3">
      <c r="A14" s="10" t="s">
        <v>44</v>
      </c>
      <c r="B14" s="10" t="s">
        <v>116</v>
      </c>
      <c r="C14" s="10" t="s">
        <v>117</v>
      </c>
      <c r="D14" s="10" t="s">
        <v>148</v>
      </c>
      <c r="E14" s="10" t="s">
        <v>119</v>
      </c>
      <c r="F14" s="10" t="s">
        <v>120</v>
      </c>
      <c r="G14" s="7" t="s">
        <v>121</v>
      </c>
      <c r="H14" s="10" t="s">
        <v>122</v>
      </c>
      <c r="I14" s="10" t="s">
        <v>45</v>
      </c>
      <c r="J14" s="10" t="s">
        <v>123</v>
      </c>
      <c r="K14" s="10" t="s">
        <v>124</v>
      </c>
      <c r="L14" s="47">
        <v>44979</v>
      </c>
      <c r="M14" s="47">
        <v>45034</v>
      </c>
      <c r="N14" s="19">
        <v>67.453999999999994</v>
      </c>
      <c r="O14" s="19">
        <v>9508</v>
      </c>
      <c r="P14" s="19">
        <v>11600</v>
      </c>
      <c r="Q14" s="19"/>
      <c r="R14" s="19">
        <v>11600</v>
      </c>
      <c r="S14" s="10" t="s">
        <v>46</v>
      </c>
      <c r="T14" s="19">
        <v>30467.73</v>
      </c>
      <c r="U14" s="10" t="s">
        <v>125</v>
      </c>
      <c r="V14" s="9">
        <v>13</v>
      </c>
    </row>
    <row r="15" spans="1:22" ht="14.4" x14ac:dyDescent="0.3">
      <c r="A15" s="10" t="s">
        <v>44</v>
      </c>
      <c r="B15" s="10" t="s">
        <v>116</v>
      </c>
      <c r="C15" s="10" t="s">
        <v>117</v>
      </c>
      <c r="D15" s="10" t="s">
        <v>149</v>
      </c>
      <c r="E15" s="10" t="s">
        <v>119</v>
      </c>
      <c r="F15" s="10" t="s">
        <v>120</v>
      </c>
      <c r="G15" s="7" t="s">
        <v>121</v>
      </c>
      <c r="H15" s="10" t="s">
        <v>122</v>
      </c>
      <c r="I15" s="10" t="s">
        <v>45</v>
      </c>
      <c r="J15" s="10" t="s">
        <v>123</v>
      </c>
      <c r="K15" s="10" t="s">
        <v>124</v>
      </c>
      <c r="L15" s="47">
        <v>44979</v>
      </c>
      <c r="M15" s="47">
        <v>45034</v>
      </c>
      <c r="N15" s="19">
        <v>67.387</v>
      </c>
      <c r="O15" s="19">
        <v>9493</v>
      </c>
      <c r="P15" s="19">
        <v>11600</v>
      </c>
      <c r="Q15" s="19"/>
      <c r="R15" s="19">
        <v>11600</v>
      </c>
      <c r="S15" s="10" t="s">
        <v>46</v>
      </c>
      <c r="T15" s="19">
        <v>26655.24</v>
      </c>
      <c r="U15" s="10" t="s">
        <v>125</v>
      </c>
      <c r="V15" s="9">
        <v>14</v>
      </c>
    </row>
    <row r="16" spans="1:22" ht="14.4" x14ac:dyDescent="0.3">
      <c r="A16" s="10" t="s">
        <v>44</v>
      </c>
      <c r="B16" s="10" t="s">
        <v>116</v>
      </c>
      <c r="C16" s="10" t="s">
        <v>117</v>
      </c>
      <c r="D16" s="10" t="s">
        <v>150</v>
      </c>
      <c r="E16" s="10" t="s">
        <v>119</v>
      </c>
      <c r="F16" s="10" t="s">
        <v>151</v>
      </c>
      <c r="G16" s="7" t="s">
        <v>121</v>
      </c>
      <c r="H16" s="10" t="s">
        <v>122</v>
      </c>
      <c r="I16" s="10" t="s">
        <v>45</v>
      </c>
      <c r="J16" s="10" t="s">
        <v>152</v>
      </c>
      <c r="K16" s="10" t="s">
        <v>153</v>
      </c>
      <c r="L16" s="47">
        <v>44971</v>
      </c>
      <c r="M16" s="47">
        <v>45034</v>
      </c>
      <c r="N16" s="19">
        <v>67.83</v>
      </c>
      <c r="O16" s="19">
        <v>7834</v>
      </c>
      <c r="P16" s="19">
        <v>11600</v>
      </c>
      <c r="Q16" s="19"/>
      <c r="R16" s="19">
        <v>11600</v>
      </c>
      <c r="S16" s="10" t="s">
        <v>46</v>
      </c>
      <c r="T16" s="19">
        <v>24850.28</v>
      </c>
      <c r="U16" s="10" t="s">
        <v>125</v>
      </c>
      <c r="V16" s="9">
        <v>15</v>
      </c>
    </row>
    <row r="17" spans="1:22" ht="14.4" x14ac:dyDescent="0.3">
      <c r="A17" s="10" t="s">
        <v>44</v>
      </c>
      <c r="B17" s="10" t="s">
        <v>116</v>
      </c>
      <c r="C17" s="10" t="s">
        <v>117</v>
      </c>
      <c r="D17" s="10" t="s">
        <v>154</v>
      </c>
      <c r="E17" s="10" t="s">
        <v>119</v>
      </c>
      <c r="F17" s="10" t="s">
        <v>151</v>
      </c>
      <c r="G17" s="7" t="s">
        <v>121</v>
      </c>
      <c r="H17" s="10" t="s">
        <v>122</v>
      </c>
      <c r="I17" s="10" t="s">
        <v>45</v>
      </c>
      <c r="J17" s="10" t="s">
        <v>152</v>
      </c>
      <c r="K17" s="10" t="s">
        <v>153</v>
      </c>
      <c r="L17" s="47">
        <v>44971</v>
      </c>
      <c r="M17" s="47">
        <v>45034</v>
      </c>
      <c r="N17" s="19">
        <v>67.83</v>
      </c>
      <c r="O17" s="19">
        <v>8200</v>
      </c>
      <c r="P17" s="19">
        <v>11600</v>
      </c>
      <c r="Q17" s="19"/>
      <c r="R17" s="19">
        <v>11600</v>
      </c>
      <c r="S17" s="10" t="s">
        <v>46</v>
      </c>
      <c r="T17" s="19">
        <v>25709.32</v>
      </c>
      <c r="U17" s="10" t="s">
        <v>125</v>
      </c>
      <c r="V17" s="9">
        <v>16</v>
      </c>
    </row>
    <row r="18" spans="1:22" ht="14.4" x14ac:dyDescent="0.3">
      <c r="A18" s="10" t="s">
        <v>44</v>
      </c>
      <c r="B18" s="10" t="s">
        <v>116</v>
      </c>
      <c r="C18" s="10" t="s">
        <v>117</v>
      </c>
      <c r="D18" s="10" t="s">
        <v>155</v>
      </c>
      <c r="E18" s="10" t="s">
        <v>119</v>
      </c>
      <c r="F18" s="10" t="s">
        <v>120</v>
      </c>
      <c r="G18" s="7" t="s">
        <v>121</v>
      </c>
      <c r="H18" s="10" t="s">
        <v>122</v>
      </c>
      <c r="I18" s="10" t="s">
        <v>45</v>
      </c>
      <c r="J18" s="10" t="s">
        <v>123</v>
      </c>
      <c r="K18" s="10" t="s">
        <v>124</v>
      </c>
      <c r="L18" s="47">
        <v>44979</v>
      </c>
      <c r="M18" s="47">
        <v>45034</v>
      </c>
      <c r="N18" s="19">
        <v>67.319999999999993</v>
      </c>
      <c r="O18" s="19">
        <v>6014</v>
      </c>
      <c r="P18" s="19">
        <v>11600</v>
      </c>
      <c r="Q18" s="19"/>
      <c r="R18" s="19">
        <v>11600</v>
      </c>
      <c r="S18" s="10" t="s">
        <v>46</v>
      </c>
      <c r="T18" s="19">
        <v>17694.12</v>
      </c>
      <c r="U18" s="10" t="s">
        <v>125</v>
      </c>
      <c r="V18" s="9">
        <v>17</v>
      </c>
    </row>
    <row r="19" spans="1:22" ht="14.4" x14ac:dyDescent="0.3">
      <c r="A19" s="10" t="s">
        <v>44</v>
      </c>
      <c r="B19" s="10" t="s">
        <v>116</v>
      </c>
      <c r="C19" s="10" t="s">
        <v>117</v>
      </c>
      <c r="D19" s="10" t="s">
        <v>156</v>
      </c>
      <c r="E19" s="10" t="s">
        <v>119</v>
      </c>
      <c r="F19" s="10" t="s">
        <v>138</v>
      </c>
      <c r="G19" s="7" t="s">
        <v>139</v>
      </c>
      <c r="H19" s="10" t="s">
        <v>122</v>
      </c>
      <c r="I19" s="10" t="s">
        <v>45</v>
      </c>
      <c r="J19" s="10" t="s">
        <v>140</v>
      </c>
      <c r="K19" s="10" t="s">
        <v>141</v>
      </c>
      <c r="L19" s="47">
        <v>44979</v>
      </c>
      <c r="M19" s="47">
        <v>45034</v>
      </c>
      <c r="N19" s="19">
        <v>66.784000000000006</v>
      </c>
      <c r="O19" s="19">
        <v>4869</v>
      </c>
      <c r="P19" s="19">
        <v>10550</v>
      </c>
      <c r="Q19" s="19"/>
      <c r="R19" s="19">
        <v>10550</v>
      </c>
      <c r="S19" s="10" t="s">
        <v>46</v>
      </c>
      <c r="T19" s="19">
        <v>45360</v>
      </c>
      <c r="U19" s="10" t="s">
        <v>125</v>
      </c>
      <c r="V19" s="9">
        <v>18</v>
      </c>
    </row>
    <row r="20" spans="1:22" ht="14.4" x14ac:dyDescent="0.3">
      <c r="A20" s="10" t="s">
        <v>44</v>
      </c>
      <c r="B20" s="10" t="s">
        <v>116</v>
      </c>
      <c r="C20" s="10" t="s">
        <v>117</v>
      </c>
      <c r="D20" s="10" t="s">
        <v>157</v>
      </c>
      <c r="E20" s="10" t="s">
        <v>119</v>
      </c>
      <c r="F20" s="10" t="s">
        <v>132</v>
      </c>
      <c r="G20" s="7" t="s">
        <v>133</v>
      </c>
      <c r="H20" s="10" t="s">
        <v>122</v>
      </c>
      <c r="I20" s="10" t="s">
        <v>45</v>
      </c>
      <c r="J20" s="10" t="s">
        <v>134</v>
      </c>
      <c r="K20" s="10" t="s">
        <v>135</v>
      </c>
      <c r="L20" s="47">
        <v>44979</v>
      </c>
      <c r="M20" s="47">
        <v>45034</v>
      </c>
      <c r="N20" s="19">
        <v>64.456000000000003</v>
      </c>
      <c r="O20" s="19">
        <v>7110</v>
      </c>
      <c r="P20" s="19">
        <v>10850</v>
      </c>
      <c r="Q20" s="19"/>
      <c r="R20" s="19">
        <v>10850</v>
      </c>
      <c r="S20" s="10" t="s">
        <v>46</v>
      </c>
      <c r="T20" s="19">
        <v>52939.28</v>
      </c>
      <c r="U20" s="10" t="s">
        <v>125</v>
      </c>
      <c r="V20" s="9">
        <v>19</v>
      </c>
    </row>
    <row r="21" spans="1:22" ht="14.4" x14ac:dyDescent="0.3">
      <c r="A21" s="10" t="s">
        <v>44</v>
      </c>
      <c r="B21" s="10" t="s">
        <v>116</v>
      </c>
      <c r="C21" s="10" t="s">
        <v>117</v>
      </c>
      <c r="D21" s="10" t="s">
        <v>158</v>
      </c>
      <c r="E21" s="10" t="s">
        <v>119</v>
      </c>
      <c r="F21" s="10" t="s">
        <v>120</v>
      </c>
      <c r="G21" s="7" t="s">
        <v>121</v>
      </c>
      <c r="H21" s="10" t="s">
        <v>122</v>
      </c>
      <c r="I21" s="10" t="s">
        <v>45</v>
      </c>
      <c r="J21" s="10" t="s">
        <v>123</v>
      </c>
      <c r="K21" s="10" t="s">
        <v>124</v>
      </c>
      <c r="L21" s="47">
        <v>44979</v>
      </c>
      <c r="M21" s="47">
        <v>45034</v>
      </c>
      <c r="N21" s="19">
        <v>67.319999999999993</v>
      </c>
      <c r="O21" s="19">
        <v>5890</v>
      </c>
      <c r="P21" s="19">
        <v>11600</v>
      </c>
      <c r="Q21" s="19"/>
      <c r="R21" s="19">
        <v>11600</v>
      </c>
      <c r="S21" s="10" t="s">
        <v>46</v>
      </c>
      <c r="T21" s="19">
        <v>17480.04</v>
      </c>
      <c r="U21" s="10" t="s">
        <v>125</v>
      </c>
      <c r="V21" s="9">
        <v>20</v>
      </c>
    </row>
    <row r="22" spans="1:22" ht="14.4" x14ac:dyDescent="0.3">
      <c r="A22" s="10" t="s">
        <v>44</v>
      </c>
      <c r="B22" s="10" t="s">
        <v>116</v>
      </c>
      <c r="C22" s="10" t="s">
        <v>117</v>
      </c>
      <c r="D22" s="10" t="s">
        <v>159</v>
      </c>
      <c r="E22" s="10" t="s">
        <v>119</v>
      </c>
      <c r="F22" s="10" t="s">
        <v>138</v>
      </c>
      <c r="G22" s="7" t="s">
        <v>139</v>
      </c>
      <c r="H22" s="10" t="s">
        <v>122</v>
      </c>
      <c r="I22" s="10" t="s">
        <v>45</v>
      </c>
      <c r="J22" s="10" t="s">
        <v>140</v>
      </c>
      <c r="K22" s="10" t="s">
        <v>141</v>
      </c>
      <c r="L22" s="47">
        <v>44979</v>
      </c>
      <c r="M22" s="47">
        <v>45034</v>
      </c>
      <c r="N22" s="19">
        <v>66.656000000000006</v>
      </c>
      <c r="O22" s="19">
        <v>5381</v>
      </c>
      <c r="P22" s="19">
        <v>10550</v>
      </c>
      <c r="Q22" s="19"/>
      <c r="R22" s="19">
        <v>10550</v>
      </c>
      <c r="S22" s="10" t="s">
        <v>46</v>
      </c>
      <c r="T22" s="19">
        <v>53268.2</v>
      </c>
      <c r="U22" s="10" t="s">
        <v>125</v>
      </c>
      <c r="V22" s="9">
        <v>21</v>
      </c>
    </row>
    <row r="23" spans="1:22" ht="14.4" x14ac:dyDescent="0.3">
      <c r="A23" s="10" t="s">
        <v>44</v>
      </c>
      <c r="B23" s="10" t="s">
        <v>116</v>
      </c>
      <c r="C23" s="10" t="s">
        <v>117</v>
      </c>
      <c r="D23" s="10" t="s">
        <v>160</v>
      </c>
      <c r="E23" s="10" t="s">
        <v>119</v>
      </c>
      <c r="F23" s="10" t="s">
        <v>132</v>
      </c>
      <c r="G23" s="7" t="s">
        <v>133</v>
      </c>
      <c r="H23" s="10" t="s">
        <v>122</v>
      </c>
      <c r="I23" s="10" t="s">
        <v>45</v>
      </c>
      <c r="J23" s="10" t="s">
        <v>134</v>
      </c>
      <c r="K23" s="10" t="s">
        <v>135</v>
      </c>
      <c r="L23" s="47">
        <v>44979</v>
      </c>
      <c r="M23" s="47">
        <v>45034</v>
      </c>
      <c r="N23" s="19">
        <v>67.691000000000003</v>
      </c>
      <c r="O23" s="19">
        <v>18208</v>
      </c>
      <c r="P23" s="19">
        <v>10850</v>
      </c>
      <c r="Q23" s="19"/>
      <c r="R23" s="19">
        <v>10850</v>
      </c>
      <c r="S23" s="10" t="s">
        <v>46</v>
      </c>
      <c r="T23" s="19">
        <v>118100.32</v>
      </c>
      <c r="U23" s="10" t="s">
        <v>125</v>
      </c>
      <c r="V23" s="9">
        <v>22</v>
      </c>
    </row>
    <row r="24" spans="1:22" ht="14.4" x14ac:dyDescent="0.3">
      <c r="A24" s="10" t="s">
        <v>44</v>
      </c>
      <c r="B24" s="10" t="s">
        <v>116</v>
      </c>
      <c r="C24" s="10" t="s">
        <v>117</v>
      </c>
      <c r="D24" s="10" t="s">
        <v>161</v>
      </c>
      <c r="E24" s="10" t="s">
        <v>119</v>
      </c>
      <c r="F24" s="10" t="s">
        <v>132</v>
      </c>
      <c r="G24" s="7" t="s">
        <v>133</v>
      </c>
      <c r="H24" s="10" t="s">
        <v>122</v>
      </c>
      <c r="I24" s="10" t="s">
        <v>45</v>
      </c>
      <c r="J24" s="10" t="s">
        <v>134</v>
      </c>
      <c r="K24" s="10" t="s">
        <v>135</v>
      </c>
      <c r="L24" s="47">
        <v>44979</v>
      </c>
      <c r="M24" s="47">
        <v>45034</v>
      </c>
      <c r="N24" s="19">
        <v>67.253</v>
      </c>
      <c r="O24" s="19">
        <v>16672</v>
      </c>
      <c r="P24" s="19">
        <v>10850</v>
      </c>
      <c r="Q24" s="19"/>
      <c r="R24" s="19">
        <v>10850</v>
      </c>
      <c r="S24" s="10" t="s">
        <v>46</v>
      </c>
      <c r="T24" s="19">
        <v>59273.72</v>
      </c>
      <c r="U24" s="10" t="s">
        <v>125</v>
      </c>
      <c r="V24" s="9">
        <v>23</v>
      </c>
    </row>
    <row r="25" spans="1:22" ht="14.4" x14ac:dyDescent="0.3">
      <c r="A25" s="10" t="s">
        <v>44</v>
      </c>
      <c r="B25" s="10" t="s">
        <v>116</v>
      </c>
      <c r="C25" s="10" t="s">
        <v>117</v>
      </c>
      <c r="D25" s="10" t="s">
        <v>162</v>
      </c>
      <c r="E25" s="10" t="s">
        <v>119</v>
      </c>
      <c r="F25" s="10" t="s">
        <v>120</v>
      </c>
      <c r="G25" s="7" t="s">
        <v>121</v>
      </c>
      <c r="H25" s="10" t="s">
        <v>122</v>
      </c>
      <c r="I25" s="10" t="s">
        <v>45</v>
      </c>
      <c r="J25" s="10" t="s">
        <v>123</v>
      </c>
      <c r="K25" s="10" t="s">
        <v>124</v>
      </c>
      <c r="L25" s="47">
        <v>44979</v>
      </c>
      <c r="M25" s="47">
        <v>45034</v>
      </c>
      <c r="N25" s="19">
        <v>67.637</v>
      </c>
      <c r="O25" s="19">
        <v>7142</v>
      </c>
      <c r="P25" s="19">
        <v>11600</v>
      </c>
      <c r="Q25" s="19"/>
      <c r="R25" s="19">
        <v>11600</v>
      </c>
      <c r="S25" s="10" t="s">
        <v>46</v>
      </c>
      <c r="T25" s="19">
        <v>20059.12</v>
      </c>
      <c r="U25" s="10" t="s">
        <v>125</v>
      </c>
      <c r="V25" s="9">
        <v>24</v>
      </c>
    </row>
    <row r="26" spans="1:22" ht="14.4" x14ac:dyDescent="0.3">
      <c r="A26" s="10" t="s">
        <v>44</v>
      </c>
      <c r="B26" s="10" t="s">
        <v>116</v>
      </c>
      <c r="C26" s="10" t="s">
        <v>117</v>
      </c>
      <c r="D26" s="10" t="s">
        <v>163</v>
      </c>
      <c r="E26" s="10" t="s">
        <v>119</v>
      </c>
      <c r="F26" s="10" t="s">
        <v>120</v>
      </c>
      <c r="G26" s="7" t="s">
        <v>121</v>
      </c>
      <c r="H26" s="10" t="s">
        <v>122</v>
      </c>
      <c r="I26" s="10" t="s">
        <v>45</v>
      </c>
      <c r="J26" s="10" t="s">
        <v>123</v>
      </c>
      <c r="K26" s="10" t="s">
        <v>124</v>
      </c>
      <c r="L26" s="47">
        <v>44979</v>
      </c>
      <c r="M26" s="47">
        <v>45034</v>
      </c>
      <c r="N26" s="19">
        <v>67.488</v>
      </c>
      <c r="O26" s="19">
        <v>6163</v>
      </c>
      <c r="P26" s="19">
        <v>11600</v>
      </c>
      <c r="Q26" s="19"/>
      <c r="R26" s="19">
        <v>11600</v>
      </c>
      <c r="S26" s="10" t="s">
        <v>46</v>
      </c>
      <c r="T26" s="19">
        <v>19490.98</v>
      </c>
      <c r="U26" s="10" t="s">
        <v>125</v>
      </c>
      <c r="V26" s="9">
        <v>25</v>
      </c>
    </row>
    <row r="27" spans="1:22" ht="14.4" x14ac:dyDescent="0.3">
      <c r="A27" s="10" t="s">
        <v>44</v>
      </c>
      <c r="B27" s="10" t="s">
        <v>116</v>
      </c>
      <c r="C27" s="10" t="s">
        <v>117</v>
      </c>
      <c r="D27" s="10" t="s">
        <v>164</v>
      </c>
      <c r="E27" s="10" t="s">
        <v>119</v>
      </c>
      <c r="F27" s="10" t="s">
        <v>151</v>
      </c>
      <c r="G27" s="7" t="s">
        <v>121</v>
      </c>
      <c r="H27" s="10" t="s">
        <v>122</v>
      </c>
      <c r="I27" s="10" t="s">
        <v>45</v>
      </c>
      <c r="J27" s="10" t="s">
        <v>152</v>
      </c>
      <c r="K27" s="10" t="s">
        <v>153</v>
      </c>
      <c r="L27" s="47">
        <v>44971</v>
      </c>
      <c r="M27" s="47">
        <v>45034</v>
      </c>
      <c r="N27" s="19">
        <v>67.83</v>
      </c>
      <c r="O27" s="19">
        <v>7854</v>
      </c>
      <c r="P27" s="19">
        <v>11600</v>
      </c>
      <c r="Q27" s="19"/>
      <c r="R27" s="19">
        <v>11600</v>
      </c>
      <c r="S27" s="10" t="s">
        <v>46</v>
      </c>
      <c r="T27" s="19">
        <v>24850.28</v>
      </c>
      <c r="U27" s="10" t="s">
        <v>125</v>
      </c>
      <c r="V27" s="9">
        <v>26</v>
      </c>
    </row>
    <row r="28" spans="1:22" ht="14.4" x14ac:dyDescent="0.3">
      <c r="A28" s="10" t="s">
        <v>44</v>
      </c>
      <c r="B28" s="10" t="s">
        <v>116</v>
      </c>
      <c r="C28" s="10" t="s">
        <v>117</v>
      </c>
      <c r="D28" s="10" t="s">
        <v>165</v>
      </c>
      <c r="E28" s="10" t="s">
        <v>119</v>
      </c>
      <c r="F28" s="10" t="s">
        <v>151</v>
      </c>
      <c r="G28" s="7" t="s">
        <v>121</v>
      </c>
      <c r="H28" s="10" t="s">
        <v>122</v>
      </c>
      <c r="I28" s="10" t="s">
        <v>45</v>
      </c>
      <c r="J28" s="10" t="s">
        <v>152</v>
      </c>
      <c r="K28" s="10" t="s">
        <v>153</v>
      </c>
      <c r="L28" s="47">
        <v>44971</v>
      </c>
      <c r="M28" s="47">
        <v>45034</v>
      </c>
      <c r="N28" s="19">
        <v>67.83</v>
      </c>
      <c r="O28" s="19">
        <v>7994</v>
      </c>
      <c r="P28" s="19">
        <v>11600</v>
      </c>
      <c r="Q28" s="19"/>
      <c r="R28" s="19">
        <v>11600</v>
      </c>
      <c r="S28" s="10" t="s">
        <v>46</v>
      </c>
      <c r="T28" s="19">
        <v>25218.44</v>
      </c>
      <c r="U28" s="10" t="s">
        <v>125</v>
      </c>
      <c r="V28" s="9">
        <v>27</v>
      </c>
    </row>
    <row r="29" spans="1:22" ht="14.4" x14ac:dyDescent="0.3">
      <c r="A29" s="10" t="s">
        <v>44</v>
      </c>
      <c r="B29" s="10" t="s">
        <v>116</v>
      </c>
      <c r="C29" s="10" t="s">
        <v>117</v>
      </c>
      <c r="D29" s="10" t="s">
        <v>166</v>
      </c>
      <c r="E29" s="10" t="s">
        <v>119</v>
      </c>
      <c r="F29" s="10" t="s">
        <v>144</v>
      </c>
      <c r="G29" s="7" t="s">
        <v>133</v>
      </c>
      <c r="H29" s="10" t="s">
        <v>122</v>
      </c>
      <c r="I29" s="10" t="s">
        <v>45</v>
      </c>
      <c r="J29" s="10" t="s">
        <v>145</v>
      </c>
      <c r="K29" s="10" t="s">
        <v>146</v>
      </c>
      <c r="L29" s="47">
        <v>44979</v>
      </c>
      <c r="M29" s="47">
        <v>45034</v>
      </c>
      <c r="N29" s="19">
        <v>67.488</v>
      </c>
      <c r="O29" s="19">
        <v>8952</v>
      </c>
      <c r="P29" s="19">
        <v>10850</v>
      </c>
      <c r="Q29" s="19"/>
      <c r="R29" s="19">
        <v>10850</v>
      </c>
      <c r="S29" s="10" t="s">
        <v>46</v>
      </c>
      <c r="T29" s="19">
        <v>98565.43</v>
      </c>
      <c r="U29" s="10" t="s">
        <v>125</v>
      </c>
      <c r="V29" s="9">
        <v>28</v>
      </c>
    </row>
    <row r="30" spans="1:22" ht="14.4" x14ac:dyDescent="0.3">
      <c r="A30" s="10" t="s">
        <v>44</v>
      </c>
      <c r="B30" s="10" t="s">
        <v>116</v>
      </c>
      <c r="C30" s="10" t="s">
        <v>117</v>
      </c>
      <c r="D30" s="10" t="s">
        <v>167</v>
      </c>
      <c r="E30" s="10" t="s">
        <v>119</v>
      </c>
      <c r="F30" s="10" t="s">
        <v>168</v>
      </c>
      <c r="G30" s="7" t="s">
        <v>139</v>
      </c>
      <c r="H30" s="10" t="s">
        <v>122</v>
      </c>
      <c r="I30" s="10" t="s">
        <v>45</v>
      </c>
      <c r="J30" s="10" t="s">
        <v>169</v>
      </c>
      <c r="K30" s="10" t="s">
        <v>170</v>
      </c>
      <c r="L30" s="47">
        <v>44979</v>
      </c>
      <c r="M30" s="47">
        <v>45034</v>
      </c>
      <c r="N30" s="19">
        <v>44.722999999999999</v>
      </c>
      <c r="O30" s="19">
        <v>20542</v>
      </c>
      <c r="P30" s="19">
        <v>10550</v>
      </c>
      <c r="Q30" s="19"/>
      <c r="R30" s="19">
        <v>10441.49</v>
      </c>
      <c r="S30" s="10" t="s">
        <v>46</v>
      </c>
      <c r="T30" s="19">
        <v>130614</v>
      </c>
      <c r="U30" s="10" t="s">
        <v>125</v>
      </c>
      <c r="V30" s="9">
        <v>29</v>
      </c>
    </row>
    <row r="31" spans="1:22" ht="14.4" x14ac:dyDescent="0.3">
      <c r="A31" s="10" t="s">
        <v>44</v>
      </c>
      <c r="B31" s="10" t="s">
        <v>116</v>
      </c>
      <c r="C31" s="10" t="s">
        <v>117</v>
      </c>
      <c r="D31" s="10" t="s">
        <v>171</v>
      </c>
      <c r="E31" s="10" t="s">
        <v>119</v>
      </c>
      <c r="F31" s="10" t="s">
        <v>120</v>
      </c>
      <c r="G31" s="7" t="s">
        <v>121</v>
      </c>
      <c r="H31" s="10" t="s">
        <v>122</v>
      </c>
      <c r="I31" s="10" t="s">
        <v>45</v>
      </c>
      <c r="J31" s="10" t="s">
        <v>123</v>
      </c>
      <c r="K31" s="10" t="s">
        <v>124</v>
      </c>
      <c r="L31" s="47">
        <v>44979</v>
      </c>
      <c r="M31" s="47">
        <v>45034</v>
      </c>
      <c r="N31" s="19">
        <v>67.488</v>
      </c>
      <c r="O31" s="19">
        <v>6979</v>
      </c>
      <c r="P31" s="19">
        <v>11600</v>
      </c>
      <c r="Q31" s="19"/>
      <c r="R31" s="19">
        <v>11600</v>
      </c>
      <c r="S31" s="10" t="s">
        <v>46</v>
      </c>
      <c r="T31" s="19">
        <v>20184.2</v>
      </c>
      <c r="U31" s="10" t="s">
        <v>125</v>
      </c>
      <c r="V31" s="9">
        <v>30</v>
      </c>
    </row>
    <row r="32" spans="1:22" ht="14.4" x14ac:dyDescent="0.3">
      <c r="A32" s="10" t="s">
        <v>44</v>
      </c>
      <c r="B32" s="10" t="s">
        <v>116</v>
      </c>
      <c r="C32" s="10" t="s">
        <v>117</v>
      </c>
      <c r="D32" s="10" t="s">
        <v>172</v>
      </c>
      <c r="E32" s="10" t="s">
        <v>119</v>
      </c>
      <c r="F32" s="10" t="s">
        <v>138</v>
      </c>
      <c r="G32" s="7" t="s">
        <v>139</v>
      </c>
      <c r="H32" s="10" t="s">
        <v>122</v>
      </c>
      <c r="I32" s="10" t="s">
        <v>45</v>
      </c>
      <c r="J32" s="10" t="s">
        <v>140</v>
      </c>
      <c r="K32" s="10" t="s">
        <v>141</v>
      </c>
      <c r="L32" s="47">
        <v>44979</v>
      </c>
      <c r="M32" s="47">
        <v>45034</v>
      </c>
      <c r="N32" s="19">
        <v>65.197000000000003</v>
      </c>
      <c r="O32" s="19">
        <v>10553</v>
      </c>
      <c r="P32" s="19">
        <v>10550</v>
      </c>
      <c r="Q32" s="19"/>
      <c r="R32" s="19">
        <v>10550</v>
      </c>
      <c r="S32" s="10" t="s">
        <v>46</v>
      </c>
      <c r="T32" s="19">
        <v>89139.78</v>
      </c>
      <c r="U32" s="10" t="s">
        <v>125</v>
      </c>
      <c r="V32" s="9">
        <v>31</v>
      </c>
    </row>
    <row r="33" spans="1:22" ht="14.4" x14ac:dyDescent="0.3">
      <c r="A33" s="10" t="s">
        <v>44</v>
      </c>
      <c r="B33" s="10" t="s">
        <v>116</v>
      </c>
      <c r="C33" s="10" t="s">
        <v>117</v>
      </c>
      <c r="D33" s="10" t="s">
        <v>173</v>
      </c>
      <c r="E33" s="10" t="s">
        <v>119</v>
      </c>
      <c r="F33" s="10" t="s">
        <v>132</v>
      </c>
      <c r="G33" s="7" t="s">
        <v>133</v>
      </c>
      <c r="H33" s="10" t="s">
        <v>122</v>
      </c>
      <c r="I33" s="10" t="s">
        <v>45</v>
      </c>
      <c r="J33" s="10" t="s">
        <v>134</v>
      </c>
      <c r="K33" s="10" t="s">
        <v>135</v>
      </c>
      <c r="L33" s="47">
        <v>44979</v>
      </c>
      <c r="M33" s="47">
        <v>45034</v>
      </c>
      <c r="N33" s="19">
        <v>68.234999999999999</v>
      </c>
      <c r="O33" s="19">
        <v>18727</v>
      </c>
      <c r="P33" s="19">
        <v>10850</v>
      </c>
      <c r="Q33" s="19"/>
      <c r="R33" s="19">
        <v>10850</v>
      </c>
      <c r="S33" s="10" t="s">
        <v>46</v>
      </c>
      <c r="T33" s="19">
        <v>234349.26</v>
      </c>
      <c r="U33" s="10" t="s">
        <v>125</v>
      </c>
      <c r="V33" s="9">
        <v>32</v>
      </c>
    </row>
    <row r="34" spans="1:22" ht="14.4" x14ac:dyDescent="0.3">
      <c r="A34" s="10" t="s">
        <v>44</v>
      </c>
      <c r="B34" s="10" t="s">
        <v>116</v>
      </c>
      <c r="C34" s="10" t="s">
        <v>117</v>
      </c>
      <c r="D34" s="10" t="s">
        <v>174</v>
      </c>
      <c r="E34" s="10" t="s">
        <v>119</v>
      </c>
      <c r="F34" s="10" t="s">
        <v>132</v>
      </c>
      <c r="G34" s="7" t="s">
        <v>133</v>
      </c>
      <c r="H34" s="10" t="s">
        <v>122</v>
      </c>
      <c r="I34" s="10" t="s">
        <v>45</v>
      </c>
      <c r="J34" s="10" t="s">
        <v>134</v>
      </c>
      <c r="K34" s="10" t="s">
        <v>135</v>
      </c>
      <c r="L34" s="47">
        <v>44979</v>
      </c>
      <c r="M34" s="47">
        <v>45034</v>
      </c>
      <c r="N34" s="19">
        <v>67.353999999999999</v>
      </c>
      <c r="O34" s="19">
        <v>15164</v>
      </c>
      <c r="P34" s="19">
        <v>10850</v>
      </c>
      <c r="Q34" s="19"/>
      <c r="R34" s="19">
        <v>10850</v>
      </c>
      <c r="S34" s="10" t="s">
        <v>46</v>
      </c>
      <c r="T34" s="19">
        <v>72398.86</v>
      </c>
      <c r="U34" s="10" t="s">
        <v>125</v>
      </c>
      <c r="V34" s="9">
        <v>33</v>
      </c>
    </row>
    <row r="35" spans="1:22" ht="14.4" x14ac:dyDescent="0.3">
      <c r="A35" s="10" t="s">
        <v>44</v>
      </c>
      <c r="B35" s="10" t="s">
        <v>116</v>
      </c>
      <c r="C35" s="10" t="s">
        <v>117</v>
      </c>
      <c r="D35" s="10" t="s">
        <v>175</v>
      </c>
      <c r="E35" s="10" t="s">
        <v>119</v>
      </c>
      <c r="F35" s="10" t="s">
        <v>176</v>
      </c>
      <c r="G35" s="7" t="s">
        <v>139</v>
      </c>
      <c r="H35" s="10" t="s">
        <v>122</v>
      </c>
      <c r="I35" s="10" t="s">
        <v>45</v>
      </c>
      <c r="J35" s="10" t="s">
        <v>177</v>
      </c>
      <c r="K35" s="10" t="s">
        <v>178</v>
      </c>
      <c r="L35" s="47">
        <v>44971</v>
      </c>
      <c r="M35" s="47">
        <v>45034</v>
      </c>
      <c r="N35" s="19">
        <v>66.25</v>
      </c>
      <c r="O35" s="19">
        <v>5370</v>
      </c>
      <c r="P35" s="19">
        <v>10550</v>
      </c>
      <c r="Q35" s="19"/>
      <c r="R35" s="19">
        <v>10476.75</v>
      </c>
      <c r="S35" s="10" t="s">
        <v>46</v>
      </c>
      <c r="T35" s="19">
        <v>56812.639999999999</v>
      </c>
      <c r="U35" s="10" t="s">
        <v>125</v>
      </c>
      <c r="V35" s="9">
        <v>34</v>
      </c>
    </row>
    <row r="36" spans="1:22" ht="14.4" x14ac:dyDescent="0.3">
      <c r="A36" s="10" t="s">
        <v>44</v>
      </c>
      <c r="B36" s="10" t="s">
        <v>116</v>
      </c>
      <c r="C36" s="10" t="s">
        <v>117</v>
      </c>
      <c r="D36" s="10" t="s">
        <v>179</v>
      </c>
      <c r="E36" s="10" t="s">
        <v>119</v>
      </c>
      <c r="F36" s="10" t="s">
        <v>180</v>
      </c>
      <c r="G36" s="7" t="s">
        <v>139</v>
      </c>
      <c r="H36" s="10" t="s">
        <v>122</v>
      </c>
      <c r="I36" s="10" t="s">
        <v>45</v>
      </c>
      <c r="J36" s="10" t="s">
        <v>181</v>
      </c>
      <c r="K36" s="10" t="s">
        <v>182</v>
      </c>
      <c r="L36" s="47">
        <v>44973</v>
      </c>
      <c r="M36" s="47">
        <v>45034</v>
      </c>
      <c r="N36" s="19">
        <v>66.070999999999998</v>
      </c>
      <c r="O36" s="19">
        <v>10103</v>
      </c>
      <c r="P36" s="19">
        <v>11400</v>
      </c>
      <c r="Q36" s="19"/>
      <c r="R36" s="19">
        <v>11400</v>
      </c>
      <c r="S36" s="10" t="s">
        <v>46</v>
      </c>
      <c r="T36" s="19">
        <v>136795.68</v>
      </c>
      <c r="U36" s="10" t="s">
        <v>125</v>
      </c>
      <c r="V36" s="9">
        <v>35</v>
      </c>
    </row>
    <row r="37" spans="1:22" ht="14.4" x14ac:dyDescent="0.3">
      <c r="A37" s="10" t="s">
        <v>44</v>
      </c>
      <c r="B37" s="10" t="s">
        <v>116</v>
      </c>
      <c r="C37" s="10" t="s">
        <v>117</v>
      </c>
      <c r="D37" s="10" t="s">
        <v>183</v>
      </c>
      <c r="E37" s="10" t="s">
        <v>119</v>
      </c>
      <c r="F37" s="10" t="s">
        <v>120</v>
      </c>
      <c r="G37" s="7" t="s">
        <v>121</v>
      </c>
      <c r="H37" s="10" t="s">
        <v>122</v>
      </c>
      <c r="I37" s="10" t="s">
        <v>45</v>
      </c>
      <c r="J37" s="10" t="s">
        <v>123</v>
      </c>
      <c r="K37" s="10" t="s">
        <v>124</v>
      </c>
      <c r="L37" s="47">
        <v>44979</v>
      </c>
      <c r="M37" s="47">
        <v>45034</v>
      </c>
      <c r="N37" s="19">
        <v>67.488</v>
      </c>
      <c r="O37" s="19">
        <v>8891</v>
      </c>
      <c r="P37" s="19">
        <v>11600</v>
      </c>
      <c r="Q37" s="19"/>
      <c r="R37" s="19">
        <v>11600</v>
      </c>
      <c r="S37" s="10" t="s">
        <v>46</v>
      </c>
      <c r="T37" s="19">
        <v>28381.68</v>
      </c>
      <c r="U37" s="10" t="s">
        <v>125</v>
      </c>
      <c r="V37" s="9">
        <v>36</v>
      </c>
    </row>
    <row r="38" spans="1:22" ht="14.4" x14ac:dyDescent="0.3">
      <c r="A38" s="10" t="s">
        <v>44</v>
      </c>
      <c r="B38" s="10" t="s">
        <v>116</v>
      </c>
      <c r="C38" s="10" t="s">
        <v>117</v>
      </c>
      <c r="D38" s="10" t="s">
        <v>184</v>
      </c>
      <c r="E38" s="10" t="s">
        <v>119</v>
      </c>
      <c r="F38" s="10" t="s">
        <v>138</v>
      </c>
      <c r="G38" s="7" t="s">
        <v>139</v>
      </c>
      <c r="H38" s="10" t="s">
        <v>122</v>
      </c>
      <c r="I38" s="10" t="s">
        <v>45</v>
      </c>
      <c r="J38" s="10" t="s">
        <v>140</v>
      </c>
      <c r="K38" s="10" t="s">
        <v>141</v>
      </c>
      <c r="L38" s="47">
        <v>44979</v>
      </c>
      <c r="M38" s="47">
        <v>45034</v>
      </c>
      <c r="N38" s="19">
        <v>66.816999999999993</v>
      </c>
      <c r="O38" s="19">
        <v>5939</v>
      </c>
      <c r="P38" s="19">
        <v>10550</v>
      </c>
      <c r="Q38" s="19"/>
      <c r="R38" s="19">
        <v>10550</v>
      </c>
      <c r="S38" s="10" t="s">
        <v>46</v>
      </c>
      <c r="T38" s="19">
        <v>25517.279999999999</v>
      </c>
      <c r="U38" s="10" t="s">
        <v>125</v>
      </c>
      <c r="V38" s="9">
        <v>37</v>
      </c>
    </row>
    <row r="39" spans="1:22" ht="14.4" x14ac:dyDescent="0.3">
      <c r="A39" s="10" t="s">
        <v>44</v>
      </c>
      <c r="B39" s="10" t="s">
        <v>116</v>
      </c>
      <c r="C39" s="10" t="s">
        <v>117</v>
      </c>
      <c r="D39" s="10" t="s">
        <v>185</v>
      </c>
      <c r="E39" s="10" t="s">
        <v>119</v>
      </c>
      <c r="F39" s="10" t="s">
        <v>132</v>
      </c>
      <c r="G39" s="7" t="s">
        <v>133</v>
      </c>
      <c r="H39" s="10" t="s">
        <v>122</v>
      </c>
      <c r="I39" s="10" t="s">
        <v>45</v>
      </c>
      <c r="J39" s="10" t="s">
        <v>134</v>
      </c>
      <c r="K39" s="10" t="s">
        <v>135</v>
      </c>
      <c r="L39" s="47">
        <v>44979</v>
      </c>
      <c r="M39" s="47">
        <v>45034</v>
      </c>
      <c r="N39" s="19">
        <v>68.234999999999999</v>
      </c>
      <c r="O39" s="19">
        <v>19025</v>
      </c>
      <c r="P39" s="19">
        <v>10850</v>
      </c>
      <c r="Q39" s="19"/>
      <c r="R39" s="19">
        <v>10850</v>
      </c>
      <c r="S39" s="10" t="s">
        <v>46</v>
      </c>
      <c r="T39" s="19">
        <v>225508.32</v>
      </c>
      <c r="U39" s="10" t="s">
        <v>125</v>
      </c>
      <c r="V39" s="9">
        <v>38</v>
      </c>
    </row>
    <row r="40" spans="1:22" ht="14.4" x14ac:dyDescent="0.3">
      <c r="A40" s="10" t="s">
        <v>44</v>
      </c>
      <c r="B40" s="10" t="s">
        <v>116</v>
      </c>
      <c r="C40" s="10" t="s">
        <v>117</v>
      </c>
      <c r="D40" s="10" t="s">
        <v>186</v>
      </c>
      <c r="E40" s="10" t="s">
        <v>119</v>
      </c>
      <c r="F40" s="10" t="s">
        <v>144</v>
      </c>
      <c r="G40" s="7" t="s">
        <v>133</v>
      </c>
      <c r="H40" s="10" t="s">
        <v>122</v>
      </c>
      <c r="I40" s="10" t="s">
        <v>45</v>
      </c>
      <c r="J40" s="10" t="s">
        <v>145</v>
      </c>
      <c r="K40" s="10" t="s">
        <v>146</v>
      </c>
      <c r="L40" s="47">
        <v>44979</v>
      </c>
      <c r="M40" s="47">
        <v>45034</v>
      </c>
      <c r="N40" s="19">
        <v>65.813999999999993</v>
      </c>
      <c r="O40" s="19">
        <v>18122</v>
      </c>
      <c r="P40" s="19">
        <v>10850</v>
      </c>
      <c r="Q40" s="19"/>
      <c r="R40" s="19">
        <v>10850</v>
      </c>
      <c r="S40" s="10" t="s">
        <v>46</v>
      </c>
      <c r="T40" s="19">
        <v>244404</v>
      </c>
      <c r="U40" s="10" t="s">
        <v>125</v>
      </c>
      <c r="V40" s="9">
        <v>39</v>
      </c>
    </row>
    <row r="41" spans="1:22" ht="14.4" x14ac:dyDescent="0.3">
      <c r="A41" s="10" t="s">
        <v>44</v>
      </c>
      <c r="B41" s="10" t="s">
        <v>116</v>
      </c>
      <c r="C41" s="10" t="s">
        <v>117</v>
      </c>
      <c r="D41" s="10" t="s">
        <v>187</v>
      </c>
      <c r="E41" s="10" t="s">
        <v>119</v>
      </c>
      <c r="F41" s="10" t="s">
        <v>144</v>
      </c>
      <c r="G41" s="7" t="s">
        <v>133</v>
      </c>
      <c r="H41" s="10" t="s">
        <v>122</v>
      </c>
      <c r="I41" s="10" t="s">
        <v>45</v>
      </c>
      <c r="J41" s="10" t="s">
        <v>145</v>
      </c>
      <c r="K41" s="10" t="s">
        <v>146</v>
      </c>
      <c r="L41" s="47">
        <v>44979</v>
      </c>
      <c r="M41" s="47">
        <v>45034</v>
      </c>
      <c r="N41" s="19">
        <v>67.488</v>
      </c>
      <c r="O41" s="19">
        <v>14174</v>
      </c>
      <c r="P41" s="19">
        <v>10850</v>
      </c>
      <c r="Q41" s="19"/>
      <c r="R41" s="19">
        <v>10850</v>
      </c>
      <c r="S41" s="10" t="s">
        <v>46</v>
      </c>
      <c r="T41" s="19">
        <v>96163.11</v>
      </c>
      <c r="U41" s="10" t="s">
        <v>125</v>
      </c>
      <c r="V41" s="9">
        <v>40</v>
      </c>
    </row>
    <row r="42" spans="1:22" ht="14.4" x14ac:dyDescent="0.3">
      <c r="A42" s="10" t="s">
        <v>44</v>
      </c>
      <c r="B42" s="10" t="s">
        <v>116</v>
      </c>
      <c r="C42" s="10" t="s">
        <v>117</v>
      </c>
      <c r="D42" s="10" t="s">
        <v>188</v>
      </c>
      <c r="E42" s="10" t="s">
        <v>119</v>
      </c>
      <c r="F42" s="10" t="s">
        <v>144</v>
      </c>
      <c r="G42" s="7" t="s">
        <v>133</v>
      </c>
      <c r="H42" s="10" t="s">
        <v>122</v>
      </c>
      <c r="I42" s="10" t="s">
        <v>45</v>
      </c>
      <c r="J42" s="10" t="s">
        <v>145</v>
      </c>
      <c r="K42" s="10" t="s">
        <v>146</v>
      </c>
      <c r="L42" s="47">
        <v>44979</v>
      </c>
      <c r="M42" s="47">
        <v>45034</v>
      </c>
      <c r="N42" s="19">
        <v>66.963999999999999</v>
      </c>
      <c r="O42" s="19">
        <v>19137</v>
      </c>
      <c r="P42" s="19">
        <v>10850</v>
      </c>
      <c r="Q42" s="19"/>
      <c r="R42" s="19">
        <v>10850</v>
      </c>
      <c r="S42" s="10" t="s">
        <v>46</v>
      </c>
      <c r="T42" s="19">
        <v>238368</v>
      </c>
      <c r="U42" s="10" t="s">
        <v>125</v>
      </c>
      <c r="V42" s="9">
        <v>41</v>
      </c>
    </row>
    <row r="43" spans="1:22" ht="14.4" x14ac:dyDescent="0.3">
      <c r="A43" s="10" t="s">
        <v>44</v>
      </c>
      <c r="B43" s="10" t="s">
        <v>116</v>
      </c>
      <c r="C43" s="10" t="s">
        <v>117</v>
      </c>
      <c r="D43" s="10" t="s">
        <v>189</v>
      </c>
      <c r="E43" s="10" t="s">
        <v>119</v>
      </c>
      <c r="F43" s="10" t="s">
        <v>120</v>
      </c>
      <c r="G43" s="7" t="s">
        <v>121</v>
      </c>
      <c r="H43" s="10" t="s">
        <v>122</v>
      </c>
      <c r="I43" s="10" t="s">
        <v>45</v>
      </c>
      <c r="J43" s="10" t="s">
        <v>123</v>
      </c>
      <c r="K43" s="10" t="s">
        <v>124</v>
      </c>
      <c r="L43" s="47">
        <v>44979</v>
      </c>
      <c r="M43" s="47">
        <v>45034</v>
      </c>
      <c r="N43" s="19">
        <v>67.597999999999999</v>
      </c>
      <c r="O43" s="19">
        <v>4780</v>
      </c>
      <c r="P43" s="19">
        <v>11600</v>
      </c>
      <c r="Q43" s="19"/>
      <c r="R43" s="19">
        <v>11600</v>
      </c>
      <c r="S43" s="10" t="s">
        <v>46</v>
      </c>
      <c r="T43" s="19">
        <v>13020.36</v>
      </c>
      <c r="U43" s="10" t="s">
        <v>125</v>
      </c>
      <c r="V43" s="9">
        <v>42</v>
      </c>
    </row>
    <row r="44" spans="1:22" ht="14.4" x14ac:dyDescent="0.3">
      <c r="A44" s="10" t="s">
        <v>44</v>
      </c>
      <c r="B44" s="10" t="s">
        <v>116</v>
      </c>
      <c r="C44" s="10" t="s">
        <v>117</v>
      </c>
      <c r="D44" s="10" t="s">
        <v>190</v>
      </c>
      <c r="E44" s="10" t="s">
        <v>119</v>
      </c>
      <c r="F44" s="10" t="s">
        <v>120</v>
      </c>
      <c r="G44" s="7" t="s">
        <v>121</v>
      </c>
      <c r="H44" s="10" t="s">
        <v>122</v>
      </c>
      <c r="I44" s="10" t="s">
        <v>45</v>
      </c>
      <c r="J44" s="10" t="s">
        <v>123</v>
      </c>
      <c r="K44" s="10" t="s">
        <v>124</v>
      </c>
      <c r="L44" s="47">
        <v>44979</v>
      </c>
      <c r="M44" s="47">
        <v>45034</v>
      </c>
      <c r="N44" s="19">
        <v>67.421000000000006</v>
      </c>
      <c r="O44" s="19">
        <v>8366</v>
      </c>
      <c r="P44" s="19">
        <v>11600</v>
      </c>
      <c r="Q44" s="19"/>
      <c r="R44" s="19">
        <v>11600</v>
      </c>
      <c r="S44" s="10" t="s">
        <v>46</v>
      </c>
      <c r="T44" s="19">
        <v>26780.3</v>
      </c>
      <c r="U44" s="10" t="s">
        <v>125</v>
      </c>
      <c r="V44" s="9">
        <v>43</v>
      </c>
    </row>
    <row r="45" spans="1:22" ht="14.4" x14ac:dyDescent="0.3">
      <c r="A45" s="10" t="s">
        <v>44</v>
      </c>
      <c r="B45" s="10" t="s">
        <v>116</v>
      </c>
      <c r="C45" s="10" t="s">
        <v>117</v>
      </c>
      <c r="D45" s="10" t="s">
        <v>191</v>
      </c>
      <c r="E45" s="10" t="s">
        <v>119</v>
      </c>
      <c r="F45" s="10" t="s">
        <v>151</v>
      </c>
      <c r="G45" s="7" t="s">
        <v>121</v>
      </c>
      <c r="H45" s="10" t="s">
        <v>122</v>
      </c>
      <c r="I45" s="10" t="s">
        <v>45</v>
      </c>
      <c r="J45" s="10" t="s">
        <v>152</v>
      </c>
      <c r="K45" s="10" t="s">
        <v>153</v>
      </c>
      <c r="L45" s="47">
        <v>44971</v>
      </c>
      <c r="M45" s="47">
        <v>45034</v>
      </c>
      <c r="N45" s="19">
        <v>67.558999999999997</v>
      </c>
      <c r="O45" s="19">
        <v>3570</v>
      </c>
      <c r="P45" s="19">
        <v>11600</v>
      </c>
      <c r="Q45" s="19"/>
      <c r="R45" s="19">
        <v>11600</v>
      </c>
      <c r="S45" s="10" t="s">
        <v>46</v>
      </c>
      <c r="T45" s="19">
        <v>10053.120000000001</v>
      </c>
      <c r="U45" s="10" t="s">
        <v>125</v>
      </c>
      <c r="V45" s="9">
        <v>44</v>
      </c>
    </row>
    <row r="46" spans="1:22" ht="14.4" x14ac:dyDescent="0.3">
      <c r="A46" s="10" t="s">
        <v>44</v>
      </c>
      <c r="B46" s="10" t="s">
        <v>116</v>
      </c>
      <c r="C46" s="10" t="s">
        <v>117</v>
      </c>
      <c r="D46" s="10" t="s">
        <v>192</v>
      </c>
      <c r="E46" s="10" t="s">
        <v>119</v>
      </c>
      <c r="F46" s="10" t="s">
        <v>120</v>
      </c>
      <c r="G46" s="7" t="s">
        <v>121</v>
      </c>
      <c r="H46" s="10" t="s">
        <v>122</v>
      </c>
      <c r="I46" s="10" t="s">
        <v>45</v>
      </c>
      <c r="J46" s="10" t="s">
        <v>123</v>
      </c>
      <c r="K46" s="10" t="s">
        <v>124</v>
      </c>
      <c r="L46" s="47">
        <v>44979</v>
      </c>
      <c r="M46" s="47">
        <v>45034</v>
      </c>
      <c r="N46" s="19">
        <v>67.558999999999997</v>
      </c>
      <c r="O46" s="19">
        <v>3777</v>
      </c>
      <c r="P46" s="19">
        <v>11600</v>
      </c>
      <c r="Q46" s="19"/>
      <c r="R46" s="19">
        <v>11600</v>
      </c>
      <c r="S46" s="10" t="s">
        <v>46</v>
      </c>
      <c r="T46" s="19">
        <v>10977.12</v>
      </c>
      <c r="U46" s="10" t="s">
        <v>125</v>
      </c>
      <c r="V46" s="9">
        <v>45</v>
      </c>
    </row>
    <row r="47" spans="1:22" ht="14.4" x14ac:dyDescent="0.3">
      <c r="A47" s="10" t="s">
        <v>44</v>
      </c>
      <c r="B47" s="10" t="s">
        <v>116</v>
      </c>
      <c r="C47" s="10" t="s">
        <v>117</v>
      </c>
      <c r="D47" s="10" t="s">
        <v>193</v>
      </c>
      <c r="E47" s="10" t="s">
        <v>119</v>
      </c>
      <c r="F47" s="10" t="s">
        <v>138</v>
      </c>
      <c r="G47" s="7" t="s">
        <v>139</v>
      </c>
      <c r="H47" s="10" t="s">
        <v>122</v>
      </c>
      <c r="I47" s="10" t="s">
        <v>45</v>
      </c>
      <c r="J47" s="10" t="s">
        <v>140</v>
      </c>
      <c r="K47" s="10" t="s">
        <v>141</v>
      </c>
      <c r="L47" s="47">
        <v>44979</v>
      </c>
      <c r="M47" s="47">
        <v>45034</v>
      </c>
      <c r="N47" s="19">
        <v>64.552999999999997</v>
      </c>
      <c r="O47" s="19">
        <v>9554</v>
      </c>
      <c r="P47" s="19">
        <v>10550</v>
      </c>
      <c r="Q47" s="19"/>
      <c r="R47" s="19">
        <v>10550</v>
      </c>
      <c r="S47" s="10" t="s">
        <v>46</v>
      </c>
      <c r="T47" s="19">
        <v>47890.9</v>
      </c>
      <c r="U47" s="10" t="s">
        <v>125</v>
      </c>
      <c r="V47" s="9">
        <v>46</v>
      </c>
    </row>
    <row r="48" spans="1:22" ht="14.4" x14ac:dyDescent="0.3">
      <c r="A48" s="10" t="s">
        <v>44</v>
      </c>
      <c r="B48" s="10" t="s">
        <v>116</v>
      </c>
      <c r="C48" s="10" t="s">
        <v>117</v>
      </c>
      <c r="D48" s="10" t="s">
        <v>194</v>
      </c>
      <c r="E48" s="10" t="s">
        <v>119</v>
      </c>
      <c r="F48" s="10" t="s">
        <v>144</v>
      </c>
      <c r="G48" s="7" t="s">
        <v>133</v>
      </c>
      <c r="H48" s="10" t="s">
        <v>122</v>
      </c>
      <c r="I48" s="10" t="s">
        <v>45</v>
      </c>
      <c r="J48" s="10" t="s">
        <v>145</v>
      </c>
      <c r="K48" s="10" t="s">
        <v>146</v>
      </c>
      <c r="L48" s="47">
        <v>44979</v>
      </c>
      <c r="M48" s="47">
        <v>45034</v>
      </c>
      <c r="N48" s="19">
        <v>64.239000000000004</v>
      </c>
      <c r="O48" s="19">
        <v>6345</v>
      </c>
      <c r="P48" s="19">
        <v>10850</v>
      </c>
      <c r="Q48" s="19"/>
      <c r="R48" s="19">
        <v>10850</v>
      </c>
      <c r="S48" s="10" t="s">
        <v>46</v>
      </c>
      <c r="T48" s="19">
        <v>66406.02</v>
      </c>
      <c r="U48" s="10" t="s">
        <v>125</v>
      </c>
      <c r="V48" s="9">
        <v>47</v>
      </c>
    </row>
    <row r="49" spans="1:22" ht="14.4" x14ac:dyDescent="0.3">
      <c r="A49" s="10" t="s">
        <v>44</v>
      </c>
      <c r="B49" s="10" t="s">
        <v>116</v>
      </c>
      <c r="C49" s="10" t="s">
        <v>117</v>
      </c>
      <c r="D49" s="10" t="s">
        <v>195</v>
      </c>
      <c r="E49" s="10" t="s">
        <v>119</v>
      </c>
      <c r="F49" s="10" t="s">
        <v>120</v>
      </c>
      <c r="G49" s="7" t="s">
        <v>121</v>
      </c>
      <c r="H49" s="10" t="s">
        <v>122</v>
      </c>
      <c r="I49" s="10" t="s">
        <v>45</v>
      </c>
      <c r="J49" s="10" t="s">
        <v>123</v>
      </c>
      <c r="K49" s="10" t="s">
        <v>124</v>
      </c>
      <c r="L49" s="47">
        <v>44979</v>
      </c>
      <c r="M49" s="47">
        <v>45034</v>
      </c>
      <c r="N49" s="19">
        <v>67.597999999999999</v>
      </c>
      <c r="O49" s="19">
        <v>4933</v>
      </c>
      <c r="P49" s="19">
        <v>11600</v>
      </c>
      <c r="Q49" s="19"/>
      <c r="R49" s="19">
        <v>11600</v>
      </c>
      <c r="S49" s="10" t="s">
        <v>46</v>
      </c>
      <c r="T49" s="19">
        <v>13796.36</v>
      </c>
      <c r="U49" s="10" t="s">
        <v>125</v>
      </c>
      <c r="V49" s="9">
        <v>48</v>
      </c>
    </row>
    <row r="50" spans="1:22" ht="14.4" x14ac:dyDescent="0.3">
      <c r="A50" s="10" t="s">
        <v>44</v>
      </c>
      <c r="B50" s="10" t="s">
        <v>116</v>
      </c>
      <c r="C50" s="10" t="s">
        <v>117</v>
      </c>
      <c r="D50" s="10" t="s">
        <v>196</v>
      </c>
      <c r="E50" s="10" t="s">
        <v>119</v>
      </c>
      <c r="F50" s="10" t="s">
        <v>120</v>
      </c>
      <c r="G50" s="7" t="s">
        <v>121</v>
      </c>
      <c r="H50" s="10" t="s">
        <v>122</v>
      </c>
      <c r="I50" s="10" t="s">
        <v>45</v>
      </c>
      <c r="J50" s="10" t="s">
        <v>123</v>
      </c>
      <c r="K50" s="10" t="s">
        <v>124</v>
      </c>
      <c r="L50" s="47">
        <v>44979</v>
      </c>
      <c r="M50" s="47">
        <v>45034</v>
      </c>
      <c r="N50" s="19">
        <v>67.637</v>
      </c>
      <c r="O50" s="19">
        <v>5692</v>
      </c>
      <c r="P50" s="19">
        <v>11600</v>
      </c>
      <c r="Q50" s="19"/>
      <c r="R50" s="19">
        <v>11600</v>
      </c>
      <c r="S50" s="10" t="s">
        <v>46</v>
      </c>
      <c r="T50" s="19">
        <v>16600.32</v>
      </c>
      <c r="U50" s="10" t="s">
        <v>125</v>
      </c>
      <c r="V50" s="9">
        <v>49</v>
      </c>
    </row>
    <row r="51" spans="1:22" ht="14.4" x14ac:dyDescent="0.3">
      <c r="A51" s="10" t="s">
        <v>44</v>
      </c>
      <c r="B51" s="10" t="s">
        <v>116</v>
      </c>
      <c r="C51" s="10" t="s">
        <v>117</v>
      </c>
      <c r="D51" s="10" t="s">
        <v>197</v>
      </c>
      <c r="E51" s="10" t="s">
        <v>119</v>
      </c>
      <c r="F51" s="10" t="s">
        <v>138</v>
      </c>
      <c r="G51" s="7" t="s">
        <v>139</v>
      </c>
      <c r="H51" s="10" t="s">
        <v>122</v>
      </c>
      <c r="I51" s="10" t="s">
        <v>45</v>
      </c>
      <c r="J51" s="10" t="s">
        <v>140</v>
      </c>
      <c r="K51" s="10" t="s">
        <v>141</v>
      </c>
      <c r="L51" s="47">
        <v>44979</v>
      </c>
      <c r="M51" s="47">
        <v>45034</v>
      </c>
      <c r="N51" s="19">
        <v>65.796999999999997</v>
      </c>
      <c r="O51" s="19">
        <v>10932</v>
      </c>
      <c r="P51" s="19">
        <v>10550</v>
      </c>
      <c r="Q51" s="19"/>
      <c r="R51" s="19">
        <v>10550</v>
      </c>
      <c r="S51" s="10" t="s">
        <v>46</v>
      </c>
      <c r="T51" s="19">
        <v>94297.44</v>
      </c>
      <c r="U51" s="10" t="s">
        <v>125</v>
      </c>
      <c r="V51" s="9">
        <v>50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88C8D-A89F-48EA-A8CD-7E3E7931AD7C}">
  <sheetPr>
    <tabColor rgb="FFC00000"/>
  </sheetPr>
  <dimension ref="A1:E26"/>
  <sheetViews>
    <sheetView workbookViewId="0">
      <selection activeCell="C12" sqref="C12"/>
    </sheetView>
  </sheetViews>
  <sheetFormatPr defaultRowHeight="14.4" x14ac:dyDescent="0.3"/>
  <cols>
    <col min="1" max="1" width="17.6640625" bestFit="1" customWidth="1"/>
    <col min="2" max="2" width="17.33203125" bestFit="1" customWidth="1"/>
    <col min="3" max="3" width="17.33203125" style="4" bestFit="1" customWidth="1"/>
    <col min="4" max="4" width="24" style="4" bestFit="1" customWidth="1"/>
    <col min="5" max="5" width="14.33203125" customWidth="1"/>
    <col min="6" max="6" width="24" bestFit="1" customWidth="1"/>
    <col min="7" max="7" width="13.44140625" customWidth="1"/>
  </cols>
  <sheetData>
    <row r="1" spans="1:5" s="23" customFormat="1" ht="56.4" x14ac:dyDescent="0.3">
      <c r="A1" s="23" t="s">
        <v>105</v>
      </c>
      <c r="B1" s="23" t="s">
        <v>69</v>
      </c>
      <c r="C1" s="23" t="s">
        <v>70</v>
      </c>
      <c r="D1" s="23" t="s">
        <v>114</v>
      </c>
      <c r="E1" s="23" t="s">
        <v>8</v>
      </c>
    </row>
    <row r="2" spans="1:5" ht="15.6" x14ac:dyDescent="0.3">
      <c r="A2" s="22">
        <f>MIN(Centrum[Date of arrival to Sary-Agach/ Дата прибытия на Сары-Агач])</f>
        <v>45033</v>
      </c>
      <c r="B2" s="22">
        <f>MAX(Centrum[Date of arrival to Sary-Agach/ Дата прибытия на Сары-Агач])</f>
        <v>45034</v>
      </c>
      <c r="C2" s="22">
        <f ca="1">IF(WORKDAY(A2,15)&gt;=TODAY(),TODAY(),WORKDAY(A2,15))</f>
        <v>45054</v>
      </c>
      <c r="D2" s="48">
        <v>45051</v>
      </c>
      <c r="E2" s="13" t="s">
        <v>40</v>
      </c>
    </row>
    <row r="4" spans="1:5" ht="36" customHeight="1" x14ac:dyDescent="0.3">
      <c r="A4" s="33" t="str">
        <f>IF(B26="","Обновите курсы валюты в Справочнике","")</f>
        <v/>
      </c>
    </row>
    <row r="5" spans="1:5" s="25" customFormat="1" x14ac:dyDescent="0.3">
      <c r="A5" s="25" t="s">
        <v>71</v>
      </c>
      <c r="B5" s="25" t="s">
        <v>72</v>
      </c>
      <c r="C5" s="25" t="s">
        <v>112</v>
      </c>
      <c r="D5" s="23" t="s">
        <v>73</v>
      </c>
    </row>
    <row r="6" spans="1:5" x14ac:dyDescent="0.3">
      <c r="A6" s="24" t="s">
        <v>77</v>
      </c>
      <c r="B6" s="8">
        <v>45034</v>
      </c>
      <c r="C6" s="49">
        <v>11455</v>
      </c>
    </row>
    <row r="7" spans="1:5" x14ac:dyDescent="0.3">
      <c r="A7" s="24" t="s">
        <v>107</v>
      </c>
      <c r="B7" s="8">
        <v>45035</v>
      </c>
      <c r="C7" s="49">
        <v>11435.99</v>
      </c>
    </row>
    <row r="8" spans="1:5" x14ac:dyDescent="0.3">
      <c r="A8" s="24" t="s">
        <v>108</v>
      </c>
      <c r="B8" s="8">
        <v>45036</v>
      </c>
      <c r="C8" s="49">
        <v>11416.17</v>
      </c>
    </row>
    <row r="9" spans="1:5" x14ac:dyDescent="0.3">
      <c r="A9" s="24" t="s">
        <v>109</v>
      </c>
      <c r="B9" s="8">
        <v>45037</v>
      </c>
      <c r="C9" s="49">
        <v>11416.17</v>
      </c>
    </row>
    <row r="10" spans="1:5" x14ac:dyDescent="0.3">
      <c r="A10" s="24" t="s">
        <v>110</v>
      </c>
      <c r="B10" s="8">
        <v>45038</v>
      </c>
      <c r="C10" s="49">
        <v>11416.17</v>
      </c>
    </row>
    <row r="11" spans="1:5" x14ac:dyDescent="0.3">
      <c r="A11" s="24" t="s">
        <v>111</v>
      </c>
      <c r="B11" s="8">
        <v>45039</v>
      </c>
      <c r="C11" s="49">
        <v>11416.17</v>
      </c>
    </row>
    <row r="12" spans="1:5" x14ac:dyDescent="0.3">
      <c r="A12" s="24" t="s">
        <v>106</v>
      </c>
      <c r="B12" s="8">
        <v>45040</v>
      </c>
      <c r="C12" s="49">
        <v>11416.17</v>
      </c>
    </row>
    <row r="13" spans="1:5" x14ac:dyDescent="0.3">
      <c r="A13" s="24" t="s">
        <v>77</v>
      </c>
      <c r="B13" s="8">
        <v>45041</v>
      </c>
      <c r="C13" s="49">
        <v>11424.87</v>
      </c>
    </row>
    <row r="14" spans="1:5" x14ac:dyDescent="0.3">
      <c r="A14" s="24" t="s">
        <v>107</v>
      </c>
      <c r="B14" s="8">
        <v>45042</v>
      </c>
      <c r="C14" s="49">
        <v>11402.01</v>
      </c>
    </row>
    <row r="15" spans="1:5" x14ac:dyDescent="0.3">
      <c r="A15" s="24" t="s">
        <v>108</v>
      </c>
      <c r="B15" s="8">
        <v>45043</v>
      </c>
      <c r="C15" s="49">
        <v>11377.11</v>
      </c>
    </row>
    <row r="16" spans="1:5" x14ac:dyDescent="0.3">
      <c r="A16" s="24" t="s">
        <v>109</v>
      </c>
      <c r="B16" s="8">
        <v>45044</v>
      </c>
      <c r="C16" s="49">
        <v>11390.24</v>
      </c>
    </row>
    <row r="17" spans="1:4" x14ac:dyDescent="0.3">
      <c r="A17" s="24" t="s">
        <v>110</v>
      </c>
      <c r="B17" s="8">
        <v>45045</v>
      </c>
      <c r="C17" s="49">
        <v>11390.24</v>
      </c>
    </row>
    <row r="18" spans="1:4" x14ac:dyDescent="0.3">
      <c r="A18" s="24" t="s">
        <v>111</v>
      </c>
      <c r="B18" s="8">
        <v>45046</v>
      </c>
      <c r="C18" s="49">
        <v>11390.24</v>
      </c>
    </row>
    <row r="19" spans="1:4" x14ac:dyDescent="0.3">
      <c r="A19" s="24" t="s">
        <v>106</v>
      </c>
      <c r="B19" s="8">
        <v>45047</v>
      </c>
      <c r="C19" s="49">
        <v>11408.01</v>
      </c>
    </row>
    <row r="20" spans="1:4" x14ac:dyDescent="0.3">
      <c r="A20" s="24" t="s">
        <v>77</v>
      </c>
      <c r="B20" s="8">
        <v>45048</v>
      </c>
      <c r="C20" s="49">
        <v>11420.01</v>
      </c>
    </row>
    <row r="21" spans="1:4" x14ac:dyDescent="0.3">
      <c r="A21" s="24" t="s">
        <v>107</v>
      </c>
      <c r="B21" s="8">
        <v>45049</v>
      </c>
      <c r="C21" s="49">
        <v>11438.01</v>
      </c>
    </row>
    <row r="22" spans="1:4" x14ac:dyDescent="0.3">
      <c r="A22" s="24" t="s">
        <v>108</v>
      </c>
      <c r="B22" s="8">
        <v>45050</v>
      </c>
      <c r="C22" s="49">
        <v>11459.46</v>
      </c>
      <c r="D22" s="4" t="s">
        <v>113</v>
      </c>
    </row>
    <row r="23" spans="1:4" x14ac:dyDescent="0.3">
      <c r="A23" s="24" t="s">
        <v>109</v>
      </c>
      <c r="B23" s="8">
        <v>45051</v>
      </c>
      <c r="C23" s="49">
        <v>11445.03</v>
      </c>
    </row>
    <row r="24" spans="1:4" x14ac:dyDescent="0.3">
      <c r="A24" s="24" t="s">
        <v>110</v>
      </c>
      <c r="B24" s="8">
        <v>45052</v>
      </c>
      <c r="C24" s="49">
        <v>11445.03</v>
      </c>
    </row>
    <row r="25" spans="1:4" x14ac:dyDescent="0.3">
      <c r="A25" s="24" t="s">
        <v>111</v>
      </c>
      <c r="B25" s="8">
        <v>45053</v>
      </c>
      <c r="C25" s="49">
        <v>11445.03</v>
      </c>
    </row>
    <row r="26" spans="1:4" x14ac:dyDescent="0.3">
      <c r="A26" s="24" t="s">
        <v>106</v>
      </c>
      <c r="B26" s="8">
        <v>45054</v>
      </c>
      <c r="C26" s="49">
        <v>11424.06</v>
      </c>
    </row>
  </sheetData>
  <phoneticPr fontId="20" type="noConversion"/>
  <pageMargins left="0.7" right="0.7" top="0.75" bottom="0.75" header="0.3" footer="0.3"/>
  <pageSetup paperSize="9" orientation="portrait" verticalDpi="0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3FF3CDA-355F-4FED-BC8D-E342FA1C26A8}">
          <x14:formula1>
            <xm:f>Лист2!$A$2:$A$9</xm:f>
          </x14:formula1>
          <xm:sqref>E2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8E031-4838-4F48-8772-E40D7D629098}">
  <dimension ref="A1:Z154"/>
  <sheetViews>
    <sheetView topLeftCell="M1" workbookViewId="0">
      <selection activeCell="Z5" sqref="Z5"/>
    </sheetView>
  </sheetViews>
  <sheetFormatPr defaultRowHeight="14.4" x14ac:dyDescent="0.3"/>
  <cols>
    <col min="1" max="1" width="9.109375" customWidth="1"/>
    <col min="2" max="5" width="10.88671875" customWidth="1"/>
    <col min="6" max="6" width="16.33203125" customWidth="1"/>
    <col min="7" max="11" width="10.88671875" customWidth="1"/>
    <col min="12" max="12" width="16.5546875" customWidth="1"/>
    <col min="13" max="18" width="10.88671875" customWidth="1"/>
    <col min="19" max="19" width="16.33203125" customWidth="1"/>
    <col min="20" max="20" width="18.6640625" customWidth="1"/>
    <col min="21" max="22" width="10.88671875" customWidth="1"/>
    <col min="23" max="23" width="15.33203125" customWidth="1"/>
    <col min="24" max="24" width="10.88671875" customWidth="1"/>
    <col min="25" max="25" width="22.109375" customWidth="1"/>
    <col min="26" max="26" width="19" style="13" customWidth="1"/>
  </cols>
  <sheetData>
    <row r="1" spans="1:26" ht="61.2" x14ac:dyDescent="0.3">
      <c r="A1" s="64">
        <v>488</v>
      </c>
      <c r="B1" s="64"/>
      <c r="C1" s="64"/>
      <c r="D1" s="65"/>
      <c r="E1" s="65"/>
      <c r="F1" s="65"/>
      <c r="G1" s="65"/>
      <c r="H1" s="66" t="s">
        <v>0</v>
      </c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8"/>
    </row>
    <row r="2" spans="1:26" x14ac:dyDescent="0.3">
      <c r="A2" s="20" t="s">
        <v>78</v>
      </c>
      <c r="B2" s="20" t="s">
        <v>79</v>
      </c>
      <c r="C2" s="20" t="s">
        <v>80</v>
      </c>
      <c r="D2" s="20" t="s">
        <v>81</v>
      </c>
      <c r="E2" s="20" t="s">
        <v>82</v>
      </c>
      <c r="F2" s="20" t="s">
        <v>83</v>
      </c>
      <c r="G2" s="20" t="s">
        <v>84</v>
      </c>
      <c r="H2" s="20" t="s">
        <v>85</v>
      </c>
      <c r="I2" s="20" t="s">
        <v>86</v>
      </c>
      <c r="J2" s="20" t="s">
        <v>87</v>
      </c>
      <c r="K2" s="20" t="s">
        <v>88</v>
      </c>
      <c r="L2" s="20" t="s">
        <v>89</v>
      </c>
      <c r="M2" s="20" t="s">
        <v>90</v>
      </c>
      <c r="N2" s="20" t="s">
        <v>91</v>
      </c>
      <c r="O2" s="20" t="s">
        <v>92</v>
      </c>
      <c r="P2" s="20" t="s">
        <v>93</v>
      </c>
      <c r="Q2" s="20" t="s">
        <v>94</v>
      </c>
      <c r="R2" s="20" t="s">
        <v>95</v>
      </c>
      <c r="S2" s="20" t="s">
        <v>96</v>
      </c>
      <c r="T2" s="20" t="s">
        <v>97</v>
      </c>
      <c r="U2" s="20" t="s">
        <v>98</v>
      </c>
      <c r="V2" s="20" t="s">
        <v>99</v>
      </c>
      <c r="W2" s="20" t="s">
        <v>100</v>
      </c>
      <c r="X2" s="20" t="s">
        <v>101</v>
      </c>
      <c r="Y2" s="20" t="s">
        <v>102</v>
      </c>
      <c r="Z2" s="20" t="s">
        <v>103</v>
      </c>
    </row>
    <row r="3" spans="1:26" ht="115.2" x14ac:dyDescent="0.3">
      <c r="A3" s="34" t="s">
        <v>1</v>
      </c>
      <c r="B3" s="35" t="s">
        <v>2</v>
      </c>
      <c r="C3" s="35" t="s">
        <v>3</v>
      </c>
      <c r="D3" s="35" t="s">
        <v>4</v>
      </c>
      <c r="E3" s="35" t="s">
        <v>5</v>
      </c>
      <c r="F3" s="34" t="s">
        <v>6</v>
      </c>
      <c r="G3" s="34" t="s">
        <v>7</v>
      </c>
      <c r="H3" s="1" t="s">
        <v>8</v>
      </c>
      <c r="I3" s="34" t="s">
        <v>9</v>
      </c>
      <c r="J3" s="34" t="s">
        <v>10</v>
      </c>
      <c r="K3" s="34" t="s">
        <v>11</v>
      </c>
      <c r="L3" s="34" t="s">
        <v>12</v>
      </c>
      <c r="M3" s="34" t="s">
        <v>13</v>
      </c>
      <c r="N3" s="34" t="s">
        <v>14</v>
      </c>
      <c r="O3" s="34" t="s">
        <v>15</v>
      </c>
      <c r="P3" s="34" t="s">
        <v>16</v>
      </c>
      <c r="Q3" s="34" t="s">
        <v>17</v>
      </c>
      <c r="R3" s="34" t="s">
        <v>18</v>
      </c>
      <c r="S3" s="34" t="s">
        <v>19</v>
      </c>
      <c r="T3" s="34" t="s">
        <v>20</v>
      </c>
      <c r="U3" s="34" t="s">
        <v>21</v>
      </c>
      <c r="V3" s="34" t="s">
        <v>22</v>
      </c>
      <c r="W3" s="34" t="s">
        <v>23</v>
      </c>
      <c r="X3" s="34" t="s">
        <v>24</v>
      </c>
      <c r="Y3" s="34" t="s">
        <v>25</v>
      </c>
      <c r="Z3" s="34" t="s">
        <v>26</v>
      </c>
    </row>
    <row r="4" spans="1:26" x14ac:dyDescent="0.3">
      <c r="A4" s="2" t="s">
        <v>27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21"/>
      <c r="S4" s="21"/>
      <c r="T4" s="6">
        <f>SUM(T5:T154)</f>
        <v>560418.24</v>
      </c>
      <c r="U4" s="3"/>
      <c r="V4" s="26"/>
      <c r="W4" s="26"/>
      <c r="X4" s="5"/>
      <c r="Y4" s="6">
        <f>SUM(Y5:Y1048576)</f>
        <v>6414003569.3472004</v>
      </c>
      <c r="Z4" s="3" t="s">
        <v>198</v>
      </c>
    </row>
    <row r="5" spans="1:26" s="11" customFormat="1" x14ac:dyDescent="0.3">
      <c r="A5" s="14">
        <v>1</v>
      </c>
      <c r="B5" s="11" t="str">
        <f>_xlfn.XLOOKUP($A5,Centrum[Индекс],Centrum[Carrier/ Перевозчик],"",0,1)</f>
        <v>CENTRUM AVIATION FZCO</v>
      </c>
      <c r="C5" s="11" t="str">
        <f>_xlfn.XLOOKUP($A5,Centrum[Индекс],Centrum[Country /  Страна],"",0,1)</f>
        <v>KOREA</v>
      </c>
      <c r="D5" s="11" t="str">
        <f>_xlfn.XLOOKUP($A5,Centrum[Индекс],Centrum[Container num./ 
№ контейнера],"",0,1)</f>
        <v>CAIU4826970</v>
      </c>
      <c r="E5" s="11" t="str">
        <f>_xlfn.XLOOKUP($A5,Centrum[Индекс],Centrum[Supplier/
Поставщик],"",0,1)</f>
        <v>GM KOREA COMPANY</v>
      </c>
      <c r="F5" s="11" t="str">
        <f>_xlfn.XLOOKUP($A5,Centrum[Индекс],Centrum[Shippers invoice no/ 
Номер инвойса поставщика],"",1)</f>
        <v>TJAUZ37129A01</v>
      </c>
      <c r="G5" s="15">
        <f>_xlfn.XLOOKUP($A5,Centrum[Индекс],Centrum[Invoice value / Стоимость груза в к-ре по инвойсу],"",0,1)</f>
        <v>19024.2</v>
      </c>
      <c r="H5" s="14" t="s">
        <v>40</v>
      </c>
      <c r="I5" s="11">
        <f>_xlfn.XLOOKUP($A5,Centrum[Индекс],Centrum[CBM on the shipper/ 
CBM по поставщику],"",0,1)</f>
        <v>67.082999999999998</v>
      </c>
      <c r="J5" s="16">
        <f>_xlfn.XLOOKUP($A5,Centrum[Индекс],Centrum[Gross weight of cont// 
Гросс.вес по конт.],"",0,1)</f>
        <v>6071</v>
      </c>
      <c r="K5" s="17" t="str">
        <f>_xlfn.XLOOKUP($A5,Centrum[Индекс],Centrum[Route/ Маршрут (TSR/TCR)],"",0,1)</f>
        <v>TSR</v>
      </c>
      <c r="L5" s="11" t="str">
        <f>_xlfn.XLOOKUP($A5,Centrum[Индекс],Centrum[Условия поставки],"",0,1)</f>
        <v>KUNSAN (FOB/P-D)</v>
      </c>
      <c r="M5" s="11" t="str">
        <f>_xlfn.XLOOKUP($A5,Centrum[Индекс],Centrum[№ HBL date / 
№/ дата коносамента],"",0,1)</f>
        <v>FSIMPUAS229365</v>
      </c>
      <c r="N5" s="11" t="str">
        <f>_xlfn.XLOOKUP($A5,Centrum[Индекс],Centrum[№ MBL / 
№/ коносамента],"",0,1)</f>
        <v>FSCOPUVV386630</v>
      </c>
      <c r="O5" s="8">
        <f>(_xlfn.XLOOKUP($A5,Centrum[Индекс],Centrum[Date on board / Дата погрузки на судно],"",0,1))*1</f>
        <v>44979</v>
      </c>
      <c r="P5" s="8">
        <f>(_xlfn.XLOOKUP($A5,Centrum[Индекс],Centrum[Date of arrival to Sary-Agach/ Дата прибытия на Сары-Агач],"",0,1))*1</f>
        <v>45033</v>
      </c>
      <c r="Q5" s="14" t="str">
        <f>_xlfn.XLOOKUP($A5,Centrum[Индекс],Centrum[Container type/ 
Тип контейнера],"",0,1)</f>
        <v>40'HC</v>
      </c>
      <c r="R5" s="16">
        <f>_xlfn.XLOOKUP($A5,Centrum[Индекс],Centrum[Transportation cost per supplier/ 
Cтоимость перевозки по поставщикам],0,0,1)</f>
        <v>11600</v>
      </c>
      <c r="S5" s="16">
        <f>Шаблон_Формулы!$T5-Шаблон_Формулы!$R5</f>
        <v>0</v>
      </c>
      <c r="T5" s="16">
        <f>_xlfn.XLOOKUP($A5,Centrum[Индекс],Centrum[Transportation total amount / Общая стоимость перевозки],0,0,1)</f>
        <v>11600</v>
      </c>
      <c r="U5" s="12" cm="1">
        <f t="array" ref="U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5" s="16">
        <f>_xlfn.XLOOKUP(Шаблон_Формулы[[#This Row],[21]],Курс_USD[Дата],Курс_USD[Курс],,0,1)</f>
        <v>11445.03</v>
      </c>
      <c r="W5" s="16">
        <f>Шаблон_Формулы!$T5*Шаблон_Формулы!$V5</f>
        <v>132762348.00000001</v>
      </c>
      <c r="Y5" s="16">
        <f>Шаблон_Формулы!$W5+Шаблон_Формулы!$X5</f>
        <v>132762348.00000001</v>
      </c>
      <c r="Z5" s="14" t="str">
        <f>_xlfn.XLOOKUP($A5,Centrum[Индекс],Centrum[Transport co invoice no/ 
Номер инвойса ТК],"",0,1)</f>
        <v>CNT-FS230001670</v>
      </c>
    </row>
    <row r="6" spans="1:26" s="11" customFormat="1" x14ac:dyDescent="0.3">
      <c r="A6" s="14">
        <v>2</v>
      </c>
      <c r="B6" s="11" t="str">
        <f>_xlfn.XLOOKUP($A6,Centrum[Индекс],Centrum[Carrier/ Перевозчик],"",0,1)</f>
        <v>CENTRUM AVIATION FZCO</v>
      </c>
      <c r="C6" s="11" t="str">
        <f>_xlfn.XLOOKUP($A6,Centrum[Индекс],Centrum[Country /  Страна],"",0,1)</f>
        <v>KOREA</v>
      </c>
      <c r="D6" s="11" t="str">
        <f>_xlfn.XLOOKUP($A6,Centrum[Индекс],Centrum[Container num./ 
№ контейнера],"",0,1)</f>
        <v>CAIU7847534</v>
      </c>
      <c r="E6" s="11" t="str">
        <f>_xlfn.XLOOKUP($A6,Centrum[Индекс],Centrum[Supplier/
Поставщик],"",0,1)</f>
        <v>GM KOREA COMPANY</v>
      </c>
      <c r="F6" s="11" t="str">
        <f>_xlfn.XLOOKUP($A6,Centrum[Индекс],Centrum[Shippers invoice no/ 
Номер инвойса поставщика],"",1)</f>
        <v>TJAUZ37129A01</v>
      </c>
      <c r="G6" s="15">
        <f>_xlfn.XLOOKUP($A6,Centrum[Индекс],Centrum[Invoice value / Стоимость груза в к-ре по инвойсу],"",0,1)</f>
        <v>28742.400000000001</v>
      </c>
      <c r="H6" s="14" t="s">
        <v>40</v>
      </c>
      <c r="I6" s="11">
        <f>_xlfn.XLOOKUP($A6,Centrum[Индекс],Centrum[CBM on the shipper/ 
CBM по поставщику],"",0,1)</f>
        <v>67.387</v>
      </c>
      <c r="J6" s="16">
        <f>_xlfn.XLOOKUP($A6,Centrum[Индекс],Centrum[Gross weight of cont// 
Гросс.вес по конт.],"",0,1)</f>
        <v>9416</v>
      </c>
      <c r="K6" s="17" t="str">
        <f>_xlfn.XLOOKUP($A6,Centrum[Индекс],Centrum[Route/ Маршрут (TSR/TCR)],"",0,1)</f>
        <v>TSR</v>
      </c>
      <c r="L6" s="11" t="str">
        <f>_xlfn.XLOOKUP($A6,Centrum[Индекс],Centrum[Условия поставки],"",0,1)</f>
        <v>KUNSAN (FOB/P-D)</v>
      </c>
      <c r="M6" s="11" t="str">
        <f>_xlfn.XLOOKUP($A6,Centrum[Индекс],Centrum[№ HBL date / 
№/ дата коносамента],"",0,1)</f>
        <v>FSIMPUAS229365</v>
      </c>
      <c r="N6" s="11" t="str">
        <f>_xlfn.XLOOKUP($A6,Centrum[Индекс],Centrum[№ MBL / 
№/ коносамента],"",0,1)</f>
        <v>FSCOPUVV386630</v>
      </c>
      <c r="O6" s="8">
        <f>(_xlfn.XLOOKUP($A6,Centrum[Индекс],Centrum[Date on board / Дата погрузки на судно],"",0,1))*1</f>
        <v>44979</v>
      </c>
      <c r="P6" s="8">
        <f>(_xlfn.XLOOKUP($A6,Centrum[Индекс],Centrum[Date of arrival to Sary-Agach/ Дата прибытия на Сары-Агач],"",0,1))*1</f>
        <v>45034</v>
      </c>
      <c r="Q6" s="14" t="str">
        <f>_xlfn.XLOOKUP($A6,Centrum[Индекс],Centrum[Container type/ 
Тип контейнера],"",0,1)</f>
        <v>40'HC</v>
      </c>
      <c r="R6" s="16">
        <f>_xlfn.XLOOKUP($A6,Centrum[Индекс],Centrum[Transportation cost per supplier/ 
Cтоимость перевозки по поставщикам],0,0,1)</f>
        <v>11600</v>
      </c>
      <c r="S6" s="16">
        <f>Шаблон_Формулы!$T6-Шаблон_Формулы!$R6</f>
        <v>0</v>
      </c>
      <c r="T6" s="16">
        <f>_xlfn.XLOOKUP($A6,Centrum[Индекс],Centrum[Transportation total amount / Общая стоимость перевозки],0,0,1)</f>
        <v>11600</v>
      </c>
      <c r="U6" s="12" cm="1">
        <f t="array" ref="U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6" s="16">
        <f>_xlfn.XLOOKUP(Шаблон_Формулы[[#This Row],[21]],Курс_USD[Дата],Курс_USD[Курс],,0,1)</f>
        <v>11445.03</v>
      </c>
      <c r="W6" s="16">
        <f>Шаблон_Формулы!$T6*Шаблон_Формулы!$V6</f>
        <v>132762348.00000001</v>
      </c>
      <c r="Y6" s="16">
        <f>Шаблон_Формулы!$W6+Шаблон_Формулы!$X6</f>
        <v>132762348.00000001</v>
      </c>
      <c r="Z6" s="14" t="str">
        <f>_xlfn.XLOOKUP($A6,Centrum[Индекс],Centrum[Transport co invoice no/ 
Номер инвойса ТК],"",0,1)</f>
        <v>CNT-FS230001670</v>
      </c>
    </row>
    <row r="7" spans="1:26" s="11" customFormat="1" x14ac:dyDescent="0.3">
      <c r="A7" s="14">
        <v>3</v>
      </c>
      <c r="B7" s="11" t="str">
        <f>_xlfn.XLOOKUP($A7,Centrum[Индекс],Centrum[Carrier/ Перевозчик],"",0,1)</f>
        <v>CENTRUM AVIATION FZCO</v>
      </c>
      <c r="C7" s="11" t="str">
        <f>_xlfn.XLOOKUP($A7,Centrum[Индекс],Centrum[Country /  Страна],"",0,1)</f>
        <v>KOREA</v>
      </c>
      <c r="D7" s="11" t="str">
        <f>_xlfn.XLOOKUP($A7,Centrum[Индекс],Centrum[Container num./ 
№ контейнера],"",0,1)</f>
        <v>CAIU7848130</v>
      </c>
      <c r="E7" s="11" t="str">
        <f>_xlfn.XLOOKUP($A7,Centrum[Индекс],Centrum[Supplier/
Поставщик],"",0,1)</f>
        <v>GM KOREA COMPANY</v>
      </c>
      <c r="F7" s="11" t="str">
        <f>_xlfn.XLOOKUP($A7,Centrum[Индекс],Centrum[Shippers invoice no/ 
Номер инвойса поставщика],"",1)</f>
        <v>TJAUZ37129A01</v>
      </c>
      <c r="G7" s="15">
        <f>_xlfn.XLOOKUP($A7,Centrum[Индекс],Centrum[Invoice value / Стоимость груза в к-ре по инвойсу],"",0,1)</f>
        <v>13594.04</v>
      </c>
      <c r="H7" s="14" t="s">
        <v>40</v>
      </c>
      <c r="I7" s="11">
        <f>_xlfn.XLOOKUP($A7,Centrum[Индекс],Centrum[CBM on the shipper/ 
CBM по поставщику],"",0,1)</f>
        <v>67.558999999999997</v>
      </c>
      <c r="J7" s="16">
        <f>_xlfn.XLOOKUP($A7,Centrum[Индекс],Centrum[Gross weight of cont// 
Гросс.вес по конт.],"",0,1)</f>
        <v>5156</v>
      </c>
      <c r="K7" s="17" t="str">
        <f>_xlfn.XLOOKUP($A7,Centrum[Индекс],Centrum[Route/ Маршрут (TSR/TCR)],"",0,1)</f>
        <v>TSR</v>
      </c>
      <c r="L7" s="11" t="str">
        <f>_xlfn.XLOOKUP($A7,Centrum[Индекс],Centrum[Условия поставки],"",0,1)</f>
        <v>KUNSAN (FOB/P-D)</v>
      </c>
      <c r="M7" s="11" t="str">
        <f>_xlfn.XLOOKUP($A7,Centrum[Индекс],Centrum[№ HBL date / 
№/ дата коносамента],"",0,1)</f>
        <v>FSIMPUAS229365</v>
      </c>
      <c r="N7" s="11" t="str">
        <f>_xlfn.XLOOKUP($A7,Centrum[Индекс],Centrum[№ MBL / 
№/ коносамента],"",0,1)</f>
        <v>FSCOPUVV386630</v>
      </c>
      <c r="O7" s="8">
        <f>(_xlfn.XLOOKUP($A7,Centrum[Индекс],Centrum[Date on board / Дата погрузки на судно],"",0,1))*1</f>
        <v>44979</v>
      </c>
      <c r="P7" s="8">
        <f>(_xlfn.XLOOKUP($A7,Centrum[Индекс],Centrum[Date of arrival to Sary-Agach/ Дата прибытия на Сары-Агач],"",0,1))*1</f>
        <v>45034</v>
      </c>
      <c r="Q7" s="14" t="str">
        <f>_xlfn.XLOOKUP($A7,Centrum[Индекс],Centrum[Container type/ 
Тип контейнера],"",0,1)</f>
        <v>40'HC</v>
      </c>
      <c r="R7" s="16">
        <f>_xlfn.XLOOKUP($A7,Centrum[Индекс],Centrum[Transportation cost per supplier/ 
Cтоимость перевозки по поставщикам],0,0,1)</f>
        <v>11600</v>
      </c>
      <c r="S7" s="16">
        <f>Шаблон_Формулы!$T7-Шаблон_Формулы!$R7</f>
        <v>0</v>
      </c>
      <c r="T7" s="16">
        <f>_xlfn.XLOOKUP($A7,Centrum[Индекс],Centrum[Transportation total amount / Общая стоимость перевозки],0,0,1)</f>
        <v>11600</v>
      </c>
      <c r="U7" s="12" cm="1">
        <f t="array" ref="U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7" s="16">
        <f>_xlfn.XLOOKUP(Шаблон_Формулы[[#This Row],[21]],Курс_USD[Дата],Курс_USD[Курс],,0,1)</f>
        <v>11445.03</v>
      </c>
      <c r="W7" s="16">
        <f>Шаблон_Формулы!$T7*Шаблон_Формулы!$V7</f>
        <v>132762348.00000001</v>
      </c>
      <c r="Y7" s="16">
        <f>Шаблон_Формулы!$W7+Шаблон_Формулы!$X7</f>
        <v>132762348.00000001</v>
      </c>
      <c r="Z7" s="14" t="str">
        <f>_xlfn.XLOOKUP($A7,Centrum[Индекс],Centrum[Transport co invoice no/ 
Номер инвойса ТК],"",0,1)</f>
        <v>CNT-FS230001670</v>
      </c>
    </row>
    <row r="8" spans="1:26" s="11" customFormat="1" x14ac:dyDescent="0.3">
      <c r="A8" s="14">
        <v>4</v>
      </c>
      <c r="B8" s="11" t="str">
        <f>_xlfn.XLOOKUP($A8,Centrum[Индекс],Centrum[Carrier/ Перевозчик],"",0,1)</f>
        <v>CENTRUM AVIATION FZCO</v>
      </c>
      <c r="C8" s="11" t="str">
        <f>_xlfn.XLOOKUP($A8,Centrum[Индекс],Centrum[Country /  Страна],"",0,1)</f>
        <v>KOREA</v>
      </c>
      <c r="D8" s="11" t="str">
        <f>_xlfn.XLOOKUP($A8,Centrum[Индекс],Centrum[Container num./ 
№ контейнера],"",0,1)</f>
        <v>CAIU7893756</v>
      </c>
      <c r="E8" s="11" t="str">
        <f>_xlfn.XLOOKUP($A8,Centrum[Индекс],Centrum[Supplier/
Поставщик],"",0,1)</f>
        <v>GM KOREA COMPANY</v>
      </c>
      <c r="F8" s="11" t="str">
        <f>_xlfn.XLOOKUP($A8,Centrum[Индекс],Centrum[Shippers invoice no/ 
Номер инвойса поставщика],"",1)</f>
        <v>TJAUZ37129A01</v>
      </c>
      <c r="G8" s="15">
        <f>_xlfn.XLOOKUP($A8,Centrum[Индекс],Centrum[Invoice value / Стоимость груза в к-ре по инвойсу],"",0,1)</f>
        <v>20636.599999999999</v>
      </c>
      <c r="H8" s="14" t="s">
        <v>40</v>
      </c>
      <c r="I8" s="11">
        <f>_xlfn.XLOOKUP($A8,Centrum[Индекс],Centrum[CBM on the shipper/ 
CBM по поставщику],"",0,1)</f>
        <v>67.286000000000001</v>
      </c>
      <c r="J8" s="16">
        <f>_xlfn.XLOOKUP($A8,Centrum[Индекс],Centrum[Gross weight of cont// 
Гросс.вес по конт.],"",0,1)</f>
        <v>7144</v>
      </c>
      <c r="K8" s="17" t="str">
        <f>_xlfn.XLOOKUP($A8,Centrum[Индекс],Centrum[Route/ Маршрут (TSR/TCR)],"",0,1)</f>
        <v>TSR</v>
      </c>
      <c r="L8" s="11" t="str">
        <f>_xlfn.XLOOKUP($A8,Centrum[Индекс],Centrum[Условия поставки],"",0,1)</f>
        <v>KUNSAN (FOB/P-D)</v>
      </c>
      <c r="M8" s="11" t="str">
        <f>_xlfn.XLOOKUP($A8,Centrum[Индекс],Centrum[№ HBL date / 
№/ дата коносамента],"",0,1)</f>
        <v>FSIMPUAS229365</v>
      </c>
      <c r="N8" s="11" t="str">
        <f>_xlfn.XLOOKUP($A8,Centrum[Индекс],Centrum[№ MBL / 
№/ коносамента],"",0,1)</f>
        <v>FSCOPUVV386630</v>
      </c>
      <c r="O8" s="8">
        <f>(_xlfn.XLOOKUP($A8,Centrum[Индекс],Centrum[Date on board / Дата погрузки на судно],"",0,1))*1</f>
        <v>44979</v>
      </c>
      <c r="P8" s="8">
        <f>(_xlfn.XLOOKUP($A8,Centrum[Индекс],Centrum[Date of arrival to Sary-Agach/ Дата прибытия на Сары-Агач],"",0,1))*1</f>
        <v>45034</v>
      </c>
      <c r="Q8" s="14" t="str">
        <f>_xlfn.XLOOKUP($A8,Centrum[Индекс],Centrum[Container type/ 
Тип контейнера],"",0,1)</f>
        <v>40'HC</v>
      </c>
      <c r="R8" s="16">
        <f>_xlfn.XLOOKUP($A8,Centrum[Индекс],Centrum[Transportation cost per supplier/ 
Cтоимость перевозки по поставщикам],0,0,1)</f>
        <v>11600</v>
      </c>
      <c r="S8" s="16">
        <f>Шаблон_Формулы!$T8-Шаблон_Формулы!$R8</f>
        <v>0</v>
      </c>
      <c r="T8" s="16">
        <f>_xlfn.XLOOKUP($A8,Centrum[Индекс],Centrum[Transportation total amount / Общая стоимость перевозки],0,0,1)</f>
        <v>11600</v>
      </c>
      <c r="U8" s="12" cm="1">
        <f t="array" ref="U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8" s="16">
        <f>_xlfn.XLOOKUP(Шаблон_Формулы[[#This Row],[21]],Курс_USD[Дата],Курс_USD[Курс],,0,1)</f>
        <v>11445.03</v>
      </c>
      <c r="W8" s="16">
        <f>Шаблон_Формулы!$T8*Шаблон_Формулы!$V8</f>
        <v>132762348.00000001</v>
      </c>
      <c r="Y8" s="16">
        <f>Шаблон_Формулы!$W8+Шаблон_Формулы!$X8</f>
        <v>132762348.00000001</v>
      </c>
      <c r="Z8" s="14" t="str">
        <f>_xlfn.XLOOKUP($A8,Centrum[Индекс],Centrum[Transport co invoice no/ 
Номер инвойса ТК],"",0,1)</f>
        <v>CNT-FS230001670</v>
      </c>
    </row>
    <row r="9" spans="1:26" s="11" customFormat="1" x14ac:dyDescent="0.3">
      <c r="A9" s="14">
        <v>5</v>
      </c>
      <c r="B9" s="11" t="str">
        <f>_xlfn.XLOOKUP($A9,Centrum[Индекс],Centrum[Carrier/ Перевозчик],"",0,1)</f>
        <v>CENTRUM AVIATION FZCO</v>
      </c>
      <c r="C9" s="11" t="str">
        <f>_xlfn.XLOOKUP($A9,Centrum[Индекс],Centrum[Country /  Страна],"",0,1)</f>
        <v>KOREA</v>
      </c>
      <c r="D9" s="11" t="str">
        <f>_xlfn.XLOOKUP($A9,Centrum[Индекс],Centrum[Container num./ 
№ контейнера],"",0,1)</f>
        <v>CAIU7894006</v>
      </c>
      <c r="E9" s="11" t="str">
        <f>_xlfn.XLOOKUP($A9,Centrum[Индекс],Centrum[Supplier/
Поставщик],"",0,1)</f>
        <v>GM KOREA COMPANY</v>
      </c>
      <c r="F9" s="11" t="str">
        <f>_xlfn.XLOOKUP($A9,Centrum[Индекс],Centrum[Shippers invoice no/ 
Номер инвойса поставщика],"",1)</f>
        <v>TJAUZ37129A01</v>
      </c>
      <c r="G9" s="15">
        <f>_xlfn.XLOOKUP($A9,Centrum[Индекс],Centrum[Invoice value / Стоимость груза в к-ре по инвойсу],"",0,1)</f>
        <v>24809.31</v>
      </c>
      <c r="H9" s="14" t="s">
        <v>40</v>
      </c>
      <c r="I9" s="11">
        <f>_xlfn.XLOOKUP($A9,Centrum[Индекс],Centrum[CBM on the shipper/ 
CBM по поставщику],"",0,1)</f>
        <v>67.387</v>
      </c>
      <c r="J9" s="16">
        <f>_xlfn.XLOOKUP($A9,Centrum[Индекс],Centrum[Gross weight of cont// 
Гросс.вес по конт.],"",0,1)</f>
        <v>8806</v>
      </c>
      <c r="K9" s="17" t="str">
        <f>_xlfn.XLOOKUP($A9,Centrum[Индекс],Centrum[Route/ Маршрут (TSR/TCR)],"",0,1)</f>
        <v>TSR</v>
      </c>
      <c r="L9" s="11" t="str">
        <f>_xlfn.XLOOKUP($A9,Centrum[Индекс],Centrum[Условия поставки],"",0,1)</f>
        <v>KUNSAN (FOB/P-D)</v>
      </c>
      <c r="M9" s="11" t="str">
        <f>_xlfn.XLOOKUP($A9,Centrum[Индекс],Centrum[№ HBL date / 
№/ дата коносамента],"",0,1)</f>
        <v>FSIMPUAS229365</v>
      </c>
      <c r="N9" s="11" t="str">
        <f>_xlfn.XLOOKUP($A9,Centrum[Индекс],Centrum[№ MBL / 
№/ коносамента],"",0,1)</f>
        <v>FSCOPUVV386630</v>
      </c>
      <c r="O9" s="8">
        <f>(_xlfn.XLOOKUP($A9,Centrum[Индекс],Centrum[Date on board / Дата погрузки на судно],"",0,1))*1</f>
        <v>44979</v>
      </c>
      <c r="P9" s="8">
        <f>(_xlfn.XLOOKUP($A9,Centrum[Индекс],Centrum[Date of arrival to Sary-Agach/ Дата прибытия на Сары-Агач],"",0,1))*1</f>
        <v>45034</v>
      </c>
      <c r="Q9" s="14" t="str">
        <f>_xlfn.XLOOKUP($A9,Centrum[Индекс],Centrum[Container type/ 
Тип контейнера],"",0,1)</f>
        <v>40'HC</v>
      </c>
      <c r="R9" s="16">
        <f>_xlfn.XLOOKUP($A9,Centrum[Индекс],Centrum[Transportation cost per supplier/ 
Cтоимость перевозки по поставщикам],0,0,1)</f>
        <v>11600</v>
      </c>
      <c r="S9" s="16">
        <f>Шаблон_Формулы!$T9-Шаблон_Формулы!$R9</f>
        <v>0</v>
      </c>
      <c r="T9" s="16">
        <f>_xlfn.XLOOKUP($A9,Centrum[Индекс],Centrum[Transportation total amount / Общая стоимость перевозки],0,0,1)</f>
        <v>11600</v>
      </c>
      <c r="U9" s="12" cm="1">
        <f t="array" ref="U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9" s="16">
        <f>_xlfn.XLOOKUP(Шаблон_Формулы[[#This Row],[21]],Курс_USD[Дата],Курс_USD[Курс],,0,1)</f>
        <v>11445.03</v>
      </c>
      <c r="W9" s="16">
        <f>Шаблон_Формулы!$T9*Шаблон_Формулы!$V9</f>
        <v>132762348.00000001</v>
      </c>
      <c r="Y9" s="16">
        <f>Шаблон_Формулы!$W9+Шаблон_Формулы!$X9</f>
        <v>132762348.00000001</v>
      </c>
      <c r="Z9" s="14" t="str">
        <f>_xlfn.XLOOKUP($A9,Centrum[Индекс],Centrum[Transport co invoice no/ 
Номер инвойса ТК],"",0,1)</f>
        <v>CNT-FS230001670</v>
      </c>
    </row>
    <row r="10" spans="1:26" s="11" customFormat="1" x14ac:dyDescent="0.3">
      <c r="A10" s="14">
        <v>6</v>
      </c>
      <c r="B10" s="11" t="str">
        <f>_xlfn.XLOOKUP($A10,Centrum[Индекс],Centrum[Carrier/ Перевозчик],"",0,1)</f>
        <v>CENTRUM AVIATION FZCO</v>
      </c>
      <c r="C10" s="11" t="str">
        <f>_xlfn.XLOOKUP($A10,Centrum[Индекс],Centrum[Country /  Страна],"",0,1)</f>
        <v>KOREA</v>
      </c>
      <c r="D10" s="11" t="str">
        <f>_xlfn.XLOOKUP($A10,Centrum[Индекс],Centrum[Container num./ 
№ контейнера],"",0,1)</f>
        <v>CAIU7954511</v>
      </c>
      <c r="E10" s="11" t="str">
        <f>_xlfn.XLOOKUP($A10,Centrum[Индекс],Centrum[Supplier/
Поставщик],"",0,1)</f>
        <v>GM KOREA COMPANY</v>
      </c>
      <c r="F10" s="11" t="str">
        <f>_xlfn.XLOOKUP($A10,Centrum[Индекс],Centrum[Shippers invoice no/ 
Номер инвойса поставщика],"",1)</f>
        <v>TJAUZ37129A01</v>
      </c>
      <c r="G10" s="15">
        <f>_xlfn.XLOOKUP($A10,Centrum[Индекс],Centrum[Invoice value / Стоимость груза в к-ре по инвойсу],"",0,1)</f>
        <v>19105.599999999999</v>
      </c>
      <c r="H10" s="14" t="s">
        <v>40</v>
      </c>
      <c r="I10" s="11">
        <f>_xlfn.XLOOKUP($A10,Centrum[Индекс],Centrum[CBM on the shipper/ 
CBM по поставщику],"",0,1)</f>
        <v>67.558999999999997</v>
      </c>
      <c r="J10" s="16">
        <f>_xlfn.XLOOKUP($A10,Centrum[Индекс],Centrum[Gross weight of cont// 
Гросс.вес по конт.],"",0,1)</f>
        <v>6894</v>
      </c>
      <c r="K10" s="17" t="str">
        <f>_xlfn.XLOOKUP($A10,Centrum[Индекс],Centrum[Route/ Маршрут (TSR/TCR)],"",0,1)</f>
        <v>TSR</v>
      </c>
      <c r="L10" s="11" t="str">
        <f>_xlfn.XLOOKUP($A10,Centrum[Индекс],Centrum[Условия поставки],"",0,1)</f>
        <v>KUNSAN (FOB/P-D)</v>
      </c>
      <c r="M10" s="11" t="str">
        <f>_xlfn.XLOOKUP($A10,Centrum[Индекс],Centrum[№ HBL date / 
№/ дата коносамента],"",0,1)</f>
        <v>FSIMPUAS229365</v>
      </c>
      <c r="N10" s="11" t="str">
        <f>_xlfn.XLOOKUP($A10,Centrum[Индекс],Centrum[№ MBL / 
№/ коносамента],"",0,1)</f>
        <v>FSCOPUVV386630</v>
      </c>
      <c r="O10" s="8">
        <f>(_xlfn.XLOOKUP($A10,Centrum[Индекс],Centrum[Date on board / Дата погрузки на судно],"",0,1))*1</f>
        <v>44979</v>
      </c>
      <c r="P10" s="8">
        <f>(_xlfn.XLOOKUP($A10,Centrum[Индекс],Centrum[Date of arrival to Sary-Agach/ Дата прибытия на Сары-Агач],"",0,1))*1</f>
        <v>45034</v>
      </c>
      <c r="Q10" s="14" t="str">
        <f>_xlfn.XLOOKUP($A10,Centrum[Индекс],Centrum[Container type/ 
Тип контейнера],"",0,1)</f>
        <v>40'HC</v>
      </c>
      <c r="R10" s="16">
        <f>_xlfn.XLOOKUP($A10,Centrum[Индекс],Centrum[Transportation cost per supplier/ 
Cтоимость перевозки по поставщикам],0,0,1)</f>
        <v>11600</v>
      </c>
      <c r="S10" s="16">
        <f>Шаблон_Формулы!$T10-Шаблон_Формулы!$R10</f>
        <v>0</v>
      </c>
      <c r="T10" s="16">
        <f>_xlfn.XLOOKUP($A10,Centrum[Индекс],Centrum[Transportation total amount / Общая стоимость перевозки],0,0,1)</f>
        <v>11600</v>
      </c>
      <c r="U10" s="12" cm="1">
        <f t="array" ref="U1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0" s="16">
        <f>_xlfn.XLOOKUP(Шаблон_Формулы[[#This Row],[21]],Курс_USD[Дата],Курс_USD[Курс],,0,1)</f>
        <v>11445.03</v>
      </c>
      <c r="W10" s="16">
        <f>Шаблон_Формулы!$T10*Шаблон_Формулы!$V10</f>
        <v>132762348.00000001</v>
      </c>
      <c r="Y10" s="16">
        <f>Шаблон_Формулы!$W10+Шаблон_Формулы!$X10</f>
        <v>132762348.00000001</v>
      </c>
      <c r="Z10" s="14" t="str">
        <f>_xlfn.XLOOKUP($A10,Centrum[Индекс],Centrum[Transport co invoice no/ 
Номер инвойса ТК],"",0,1)</f>
        <v>CNT-FS230001670</v>
      </c>
    </row>
    <row r="11" spans="1:26" s="11" customFormat="1" x14ac:dyDescent="0.3">
      <c r="A11" s="14">
        <v>7</v>
      </c>
      <c r="B11" s="11" t="str">
        <f>_xlfn.XLOOKUP($A11,Centrum[Индекс],Centrum[Carrier/ Перевозчик],"",0,1)</f>
        <v>CENTRUM AVIATION FZCO</v>
      </c>
      <c r="C11" s="11" t="str">
        <f>_xlfn.XLOOKUP($A11,Centrum[Индекс],Centrum[Country /  Страна],"",0,1)</f>
        <v>KOREA</v>
      </c>
      <c r="D11" s="11" t="str">
        <f>_xlfn.XLOOKUP($A11,Centrum[Индекс],Centrum[Container num./ 
№ контейнера],"",0,1)</f>
        <v>CAIU7961017</v>
      </c>
      <c r="E11" s="11" t="str">
        <f>_xlfn.XLOOKUP($A11,Centrum[Индекс],Centrum[Supplier/
Поставщик],"",0,1)</f>
        <v>GM KOREA COMPANY</v>
      </c>
      <c r="F11" s="11" t="str">
        <f>_xlfn.XLOOKUP($A11,Centrum[Индекс],Centrum[Shippers invoice no/ 
Номер инвойса поставщика],"",1)</f>
        <v>TJAUZ37130A01</v>
      </c>
      <c r="G11" s="15">
        <f>_xlfn.XLOOKUP($A11,Centrum[Индекс],Centrum[Invoice value / Стоимость груза в к-ре по инвойсу],"",0,1)</f>
        <v>63337.279999999999</v>
      </c>
      <c r="H11" s="14" t="s">
        <v>40</v>
      </c>
      <c r="I11" s="11">
        <f>_xlfn.XLOOKUP($A11,Centrum[Индекс],Centrum[CBM on the shipper/ 
CBM по поставщику],"",0,1)</f>
        <v>66.631</v>
      </c>
      <c r="J11" s="16">
        <f>_xlfn.XLOOKUP($A11,Centrum[Индекс],Centrum[Gross weight of cont// 
Гросс.вес по конт.],"",0,1)</f>
        <v>10491</v>
      </c>
      <c r="K11" s="17" t="str">
        <f>_xlfn.XLOOKUP($A11,Centrum[Индекс],Centrum[Route/ Маршрут (TSR/TCR)],"",0,1)</f>
        <v>TSR</v>
      </c>
      <c r="L11" s="11" t="str">
        <f>_xlfn.XLOOKUP($A11,Centrum[Индекс],Centrum[Условия поставки],"",0,1)</f>
        <v>INCHEON (FOB/P-D)</v>
      </c>
      <c r="M11" s="11" t="str">
        <f>_xlfn.XLOOKUP($A11,Centrum[Индекс],Centrum[№ HBL date / 
№/ дата коносамента],"",0,1)</f>
        <v>FSIMINAS229362</v>
      </c>
      <c r="N11" s="11" t="str">
        <f>_xlfn.XLOOKUP($A11,Centrum[Индекс],Centrum[№ MBL / 
№/ коносамента],"",0,1)</f>
        <v>FSCOPUVV386626</v>
      </c>
      <c r="O11" s="8">
        <f>(_xlfn.XLOOKUP($A11,Centrum[Индекс],Centrum[Date on board / Дата погрузки на судно],"",0,1))*1</f>
        <v>44979</v>
      </c>
      <c r="P11" s="8">
        <f>(_xlfn.XLOOKUP($A11,Centrum[Индекс],Centrum[Date of arrival to Sary-Agach/ Дата прибытия на Сары-Агач],"",0,1))*1</f>
        <v>45034</v>
      </c>
      <c r="Q11" s="14" t="str">
        <f>_xlfn.XLOOKUP($A11,Centrum[Индекс],Centrum[Container type/ 
Тип контейнера],"",0,1)</f>
        <v>40'HC</v>
      </c>
      <c r="R11" s="16">
        <f>_xlfn.XLOOKUP($A11,Centrum[Индекс],Centrum[Transportation cost per supplier/ 
Cтоимость перевозки по поставщикам],0,0,1)</f>
        <v>10850</v>
      </c>
      <c r="S11" s="16">
        <f>Шаблон_Формулы!$T11-Шаблон_Формулы!$R11</f>
        <v>0</v>
      </c>
      <c r="T11" s="16">
        <f>_xlfn.XLOOKUP($A11,Centrum[Индекс],Centrum[Transportation total amount / Общая стоимость перевозки],0,0,1)</f>
        <v>10850</v>
      </c>
      <c r="U11" s="12" cm="1">
        <f t="array" ref="U1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1" s="16">
        <f>_xlfn.XLOOKUP(Шаблон_Формулы[[#This Row],[21]],Курс_USD[Дата],Курс_USD[Курс],,0,1)</f>
        <v>11445.03</v>
      </c>
      <c r="W11" s="16">
        <f>Шаблон_Формулы!$T11*Шаблон_Формулы!$V11</f>
        <v>124178575.5</v>
      </c>
      <c r="Y11" s="16">
        <f>Шаблон_Формулы!$W11+Шаблон_Формулы!$X11</f>
        <v>124178575.5</v>
      </c>
      <c r="Z11" s="14" t="str">
        <f>_xlfn.XLOOKUP($A11,Centrum[Индекс],Centrum[Transport co invoice no/ 
Номер инвойса ТК],"",0,1)</f>
        <v>CNT-FS230001670</v>
      </c>
    </row>
    <row r="12" spans="1:26" s="11" customFormat="1" x14ac:dyDescent="0.3">
      <c r="A12" s="14">
        <v>8</v>
      </c>
      <c r="B12" s="11" t="str">
        <f>_xlfn.XLOOKUP($A12,Centrum[Индекс],Centrum[Carrier/ Перевозчик],"",0,1)</f>
        <v>CENTRUM AVIATION FZCO</v>
      </c>
      <c r="C12" s="11" t="str">
        <f>_xlfn.XLOOKUP($A12,Centrum[Индекс],Centrum[Country /  Страна],"",0,1)</f>
        <v>KOREA</v>
      </c>
      <c r="D12" s="11" t="str">
        <f>_xlfn.XLOOKUP($A12,Centrum[Индекс],Centrum[Container num./ 
№ контейнера],"",0,1)</f>
        <v>CAIU8406512</v>
      </c>
      <c r="E12" s="11" t="str">
        <f>_xlfn.XLOOKUP($A12,Centrum[Индекс],Centrum[Supplier/
Поставщик],"",0,1)</f>
        <v>GM KOREA COMPANY</v>
      </c>
      <c r="F12" s="11" t="str">
        <f>_xlfn.XLOOKUP($A12,Centrum[Индекс],Centrum[Shippers invoice no/ 
Номер инвойса поставщика],"",1)</f>
        <v>TJAUZ37129A01</v>
      </c>
      <c r="G12" s="15">
        <f>_xlfn.XLOOKUP($A12,Centrum[Индекс],Centrum[Invoice value / Стоимость груза в к-ре по инвойсу],"",0,1)</f>
        <v>20346.84</v>
      </c>
      <c r="H12" s="14" t="s">
        <v>40</v>
      </c>
      <c r="I12" s="11">
        <f>_xlfn.XLOOKUP($A12,Centrum[Индекс],Centrum[CBM on the shipper/ 
CBM по поставщику],"",0,1)</f>
        <v>67.597999999999999</v>
      </c>
      <c r="J12" s="16">
        <f>_xlfn.XLOOKUP($A12,Centrum[Индекс],Centrum[Gross weight of cont// 
Гросс.вес по конт.],"",0,1)</f>
        <v>6571</v>
      </c>
      <c r="K12" s="17" t="str">
        <f>_xlfn.XLOOKUP($A12,Centrum[Индекс],Centrum[Route/ Маршрут (TSR/TCR)],"",0,1)</f>
        <v>TSR</v>
      </c>
      <c r="L12" s="11" t="str">
        <f>_xlfn.XLOOKUP($A12,Centrum[Индекс],Centrum[Условия поставки],"",0,1)</f>
        <v>KUNSAN (FOB/P-D)</v>
      </c>
      <c r="M12" s="11" t="str">
        <f>_xlfn.XLOOKUP($A12,Centrum[Индекс],Centrum[№ HBL date / 
№/ дата коносамента],"",0,1)</f>
        <v>FSIMPUAS229365</v>
      </c>
      <c r="N12" s="11" t="str">
        <f>_xlfn.XLOOKUP($A12,Centrum[Индекс],Centrum[№ MBL / 
№/ коносамента],"",0,1)</f>
        <v>FSCOPUVV386630</v>
      </c>
      <c r="O12" s="8">
        <f>(_xlfn.XLOOKUP($A12,Centrum[Индекс],Centrum[Date on board / Дата погрузки на судно],"",0,1))*1</f>
        <v>44979</v>
      </c>
      <c r="P12" s="8">
        <f>(_xlfn.XLOOKUP($A12,Centrum[Индекс],Centrum[Date of arrival to Sary-Agach/ Дата прибытия на Сары-Агач],"",0,1))*1</f>
        <v>45034</v>
      </c>
      <c r="Q12" s="14" t="str">
        <f>_xlfn.XLOOKUP($A12,Centrum[Индекс],Centrum[Container type/ 
Тип контейнера],"",0,1)</f>
        <v>40'HC</v>
      </c>
      <c r="R12" s="16">
        <f>_xlfn.XLOOKUP($A12,Centrum[Индекс],Centrum[Transportation cost per supplier/ 
Cтоимость перевозки по поставщикам],0,0,1)</f>
        <v>11600</v>
      </c>
      <c r="S12" s="16">
        <f>Шаблон_Формулы!$T12-Шаблон_Формулы!$R12</f>
        <v>0</v>
      </c>
      <c r="T12" s="16">
        <f>_xlfn.XLOOKUP($A12,Centrum[Индекс],Centrum[Transportation total amount / Общая стоимость перевозки],0,0,1)</f>
        <v>11600</v>
      </c>
      <c r="U12" s="12" cm="1">
        <f t="array" ref="U1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2" s="16">
        <f>_xlfn.XLOOKUP(Шаблон_Формулы[[#This Row],[21]],Курс_USD[Дата],Курс_USD[Курс],,0,1)</f>
        <v>11445.03</v>
      </c>
      <c r="W12" s="16">
        <f>Шаблон_Формулы!$T12*Шаблон_Формулы!$V12</f>
        <v>132762348.00000001</v>
      </c>
      <c r="Y12" s="16">
        <f>Шаблон_Формулы!$W12+Шаблон_Формулы!$X12</f>
        <v>132762348.00000001</v>
      </c>
      <c r="Z12" s="14" t="str">
        <f>_xlfn.XLOOKUP($A12,Centrum[Индекс],Centrum[Transport co invoice no/ 
Номер инвойса ТК],"",0,1)</f>
        <v>CNT-FS230001670</v>
      </c>
    </row>
    <row r="13" spans="1:26" s="11" customFormat="1" x14ac:dyDescent="0.3">
      <c r="A13" s="14">
        <v>9</v>
      </c>
      <c r="B13" s="11" t="str">
        <f>_xlfn.XLOOKUP($A13,Centrum[Индекс],Centrum[Carrier/ Перевозчик],"",0,1)</f>
        <v>CENTRUM AVIATION FZCO</v>
      </c>
      <c r="C13" s="11" t="str">
        <f>_xlfn.XLOOKUP($A13,Centrum[Индекс],Centrum[Country /  Страна],"",0,1)</f>
        <v>KOREA</v>
      </c>
      <c r="D13" s="11" t="str">
        <f>_xlfn.XLOOKUP($A13,Centrum[Индекс],Centrum[Container num./ 
№ контейнера],"",0,1)</f>
        <v>CAIU8476696</v>
      </c>
      <c r="E13" s="11" t="str">
        <f>_xlfn.XLOOKUP($A13,Centrum[Индекс],Centrum[Supplier/
Поставщик],"",0,1)</f>
        <v>GM KOREA COMPANY</v>
      </c>
      <c r="F13" s="11" t="str">
        <f>_xlfn.XLOOKUP($A13,Centrum[Индекс],Centrum[Shippers invoice no/ 
Номер инвойса поставщика],"",1)</f>
        <v>TJAUZ37132C01</v>
      </c>
      <c r="G13" s="15">
        <f>_xlfn.XLOOKUP($A13,Centrum[Индекс],Centrum[Invoice value / Стоимость груза в к-ре по инвойсу],"",0,1)</f>
        <v>51105.56</v>
      </c>
      <c r="H13" s="14" t="s">
        <v>40</v>
      </c>
      <c r="I13" s="11">
        <f>_xlfn.XLOOKUP($A13,Centrum[Индекс],Centrum[CBM on the shipper/ 
CBM по поставщику],"",0,1)</f>
        <v>67.082999999999998</v>
      </c>
      <c r="J13" s="16">
        <f>_xlfn.XLOOKUP($A13,Centrum[Индекс],Centrum[Gross weight of cont// 
Гросс.вес по конт.],"",0,1)</f>
        <v>6768</v>
      </c>
      <c r="K13" s="17" t="str">
        <f>_xlfn.XLOOKUP($A13,Centrum[Индекс],Centrum[Route/ Маршрут (TSR/TCR)],"",0,1)</f>
        <v>TSR</v>
      </c>
      <c r="L13" s="11" t="str">
        <f>_xlfn.XLOOKUP($A13,Centrum[Индекс],Centrum[Условия поставки],"",0,1)</f>
        <v>BUSAN (FOB/P-D)</v>
      </c>
      <c r="M13" s="11" t="str">
        <f>_xlfn.XLOOKUP($A13,Centrum[Индекс],Centrum[№ HBL date / 
№/ дата коносамента],"",0,1)</f>
        <v>FSIMPUAS229366</v>
      </c>
      <c r="N13" s="11" t="str">
        <f>_xlfn.XLOOKUP($A13,Centrum[Индекс],Centrum[№ MBL / 
№/ коносамента],"",0,1)</f>
        <v>FSCOPUVV386631</v>
      </c>
      <c r="O13" s="8">
        <f>(_xlfn.XLOOKUP($A13,Centrum[Индекс],Centrum[Date on board / Дата погрузки на судно],"",0,1))*1</f>
        <v>44979</v>
      </c>
      <c r="P13" s="8">
        <f>(_xlfn.XLOOKUP($A13,Centrum[Индекс],Centrum[Date of arrival to Sary-Agach/ Дата прибытия на Сары-Агач],"",0,1))*1</f>
        <v>45034</v>
      </c>
      <c r="Q13" s="14" t="str">
        <f>_xlfn.XLOOKUP($A13,Centrum[Индекс],Centrum[Container type/ 
Тип контейнера],"",0,1)</f>
        <v>40'HC</v>
      </c>
      <c r="R13" s="16">
        <f>_xlfn.XLOOKUP($A13,Centrum[Индекс],Centrum[Transportation cost per supplier/ 
Cтоимость перевозки по поставщикам],0,0,1)</f>
        <v>10550</v>
      </c>
      <c r="S13" s="16">
        <f>Шаблон_Формулы!$T13-Шаблон_Формулы!$R13</f>
        <v>0</v>
      </c>
      <c r="T13" s="16">
        <f>_xlfn.XLOOKUP($A13,Centrum[Индекс],Centrum[Transportation total amount / Общая стоимость перевозки],0,0,1)</f>
        <v>10550</v>
      </c>
      <c r="U13" s="12" cm="1">
        <f t="array" ref="U1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3" s="16">
        <f>_xlfn.XLOOKUP(Шаблон_Формулы[[#This Row],[21]],Курс_USD[Дата],Курс_USD[Курс],,0,1)</f>
        <v>11445.03</v>
      </c>
      <c r="W13" s="16">
        <f>Шаблон_Формулы!$T13*Шаблон_Формулы!$V13</f>
        <v>120745066.5</v>
      </c>
      <c r="Y13" s="16">
        <f>Шаблон_Формулы!$W13+Шаблон_Формулы!$X13</f>
        <v>120745066.5</v>
      </c>
      <c r="Z13" s="14" t="str">
        <f>_xlfn.XLOOKUP($A13,Centrum[Индекс],Centrum[Transport co invoice no/ 
Номер инвойса ТК],"",0,1)</f>
        <v>CNT-FS230001670</v>
      </c>
    </row>
    <row r="14" spans="1:26" s="11" customFormat="1" x14ac:dyDescent="0.3">
      <c r="A14" s="14">
        <v>10</v>
      </c>
      <c r="B14" s="11" t="str">
        <f>_xlfn.XLOOKUP($A14,Centrum[Индекс],Centrum[Carrier/ Перевозчик],"",0,1)</f>
        <v>CENTRUM AVIATION FZCO</v>
      </c>
      <c r="C14" s="11" t="str">
        <f>_xlfn.XLOOKUP($A14,Centrum[Индекс],Centrum[Country /  Страна],"",0,1)</f>
        <v>KOREA</v>
      </c>
      <c r="D14" s="11" t="str">
        <f>_xlfn.XLOOKUP($A14,Centrum[Индекс],Centrum[Container num./ 
№ контейнера],"",0,1)</f>
        <v>CAIU8768229</v>
      </c>
      <c r="E14" s="11" t="str">
        <f>_xlfn.XLOOKUP($A14,Centrum[Индекс],Centrum[Supplier/
Поставщик],"",0,1)</f>
        <v>GM KOREA COMPANY</v>
      </c>
      <c r="F14" s="11" t="str">
        <f>_xlfn.XLOOKUP($A14,Centrum[Индекс],Centrum[Shippers invoice no/ 
Номер инвойса поставщика],"",1)</f>
        <v>TJAUZ37129A01</v>
      </c>
      <c r="G14" s="15">
        <f>_xlfn.XLOOKUP($A14,Centrum[Индекс],Centrum[Invoice value / Стоимость груза в к-ре по инвойсу],"",0,1)</f>
        <v>21717</v>
      </c>
      <c r="H14" s="14" t="s">
        <v>40</v>
      </c>
      <c r="I14" s="11">
        <f>_xlfn.XLOOKUP($A14,Centrum[Индекс],Centrum[CBM on the shipper/ 
CBM по поставщику],"",0,1)</f>
        <v>67.674999999999997</v>
      </c>
      <c r="J14" s="16">
        <f>_xlfn.XLOOKUP($A14,Centrum[Индекс],Centrum[Gross weight of cont// 
Гросс.вес по конт.],"",0,1)</f>
        <v>6935</v>
      </c>
      <c r="K14" s="17" t="str">
        <f>_xlfn.XLOOKUP($A14,Centrum[Индекс],Centrum[Route/ Маршрут (TSR/TCR)],"",0,1)</f>
        <v>TSR</v>
      </c>
      <c r="L14" s="11" t="str">
        <f>_xlfn.XLOOKUP($A14,Centrum[Индекс],Centrum[Условия поставки],"",0,1)</f>
        <v>KUNSAN (FOB/P-D)</v>
      </c>
      <c r="M14" s="11" t="str">
        <f>_xlfn.XLOOKUP($A14,Centrum[Индекс],Centrum[№ HBL date / 
№/ дата коносамента],"",0,1)</f>
        <v>FSIMPUAS229365</v>
      </c>
      <c r="N14" s="11" t="str">
        <f>_xlfn.XLOOKUP($A14,Centrum[Индекс],Centrum[№ MBL / 
№/ коносамента],"",0,1)</f>
        <v>FSCOPUVV386630</v>
      </c>
      <c r="O14" s="8">
        <f>(_xlfn.XLOOKUP($A14,Centrum[Индекс],Centrum[Date on board / Дата погрузки на судно],"",0,1))*1</f>
        <v>44979</v>
      </c>
      <c r="P14" s="8">
        <f>(_xlfn.XLOOKUP($A14,Centrum[Индекс],Centrum[Date of arrival to Sary-Agach/ Дата прибытия на Сары-Агач],"",0,1))*1</f>
        <v>45034</v>
      </c>
      <c r="Q14" s="14" t="str">
        <f>_xlfn.XLOOKUP($A14,Centrum[Индекс],Centrum[Container type/ 
Тип контейнера],"",0,1)</f>
        <v>40'HC</v>
      </c>
      <c r="R14" s="16">
        <f>_xlfn.XLOOKUP($A14,Centrum[Индекс],Centrum[Transportation cost per supplier/ 
Cтоимость перевозки по поставщикам],0,0,1)</f>
        <v>11600</v>
      </c>
      <c r="S14" s="16">
        <f>Шаблон_Формулы!$T14-Шаблон_Формулы!$R14</f>
        <v>0</v>
      </c>
      <c r="T14" s="16">
        <f>_xlfn.XLOOKUP($A14,Centrum[Индекс],Centrum[Transportation total amount / Общая стоимость перевозки],0,0,1)</f>
        <v>11600</v>
      </c>
      <c r="U14" s="12" cm="1">
        <f t="array" ref="U1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4" s="16">
        <f>_xlfn.XLOOKUP(Шаблон_Формулы[[#This Row],[21]],Курс_USD[Дата],Курс_USD[Курс],,0,1)</f>
        <v>11445.03</v>
      </c>
      <c r="W14" s="16">
        <f>Шаблон_Формулы!$T14*Шаблон_Формулы!$V14</f>
        <v>132762348.00000001</v>
      </c>
      <c r="Y14" s="16">
        <f>Шаблон_Формулы!$W14+Шаблон_Формулы!$X14</f>
        <v>132762348.00000001</v>
      </c>
      <c r="Z14" s="14" t="str">
        <f>_xlfn.XLOOKUP($A14,Centrum[Индекс],Centrum[Transport co invoice no/ 
Номер инвойса ТК],"",0,1)</f>
        <v>CNT-FS230001670</v>
      </c>
    </row>
    <row r="15" spans="1:26" s="11" customFormat="1" x14ac:dyDescent="0.3">
      <c r="A15" s="14">
        <v>11</v>
      </c>
      <c r="B15" s="11" t="str">
        <f>_xlfn.XLOOKUP($A15,Centrum[Индекс],Centrum[Carrier/ Перевозчик],"",0,1)</f>
        <v>CENTRUM AVIATION FZCO</v>
      </c>
      <c r="C15" s="11" t="str">
        <f>_xlfn.XLOOKUP($A15,Centrum[Индекс],Centrum[Country /  Страна],"",0,1)</f>
        <v>KOREA</v>
      </c>
      <c r="D15" s="11" t="str">
        <f>_xlfn.XLOOKUP($A15,Centrum[Индекс],Centrum[Container num./ 
№ контейнера],"",0,1)</f>
        <v>CAIU8857711</v>
      </c>
      <c r="E15" s="11" t="str">
        <f>_xlfn.XLOOKUP($A15,Centrum[Индекс],Centrum[Supplier/
Поставщик],"",0,1)</f>
        <v>GM KOREA COMPANY</v>
      </c>
      <c r="F15" s="11" t="str">
        <f>_xlfn.XLOOKUP($A15,Centrum[Индекс],Centrum[Shippers invoice no/ 
Номер инвойса поставщика],"",1)</f>
        <v>TJAUZ37133A01</v>
      </c>
      <c r="G15" s="15">
        <f>_xlfn.XLOOKUP($A15,Centrum[Индекс],Centrum[Invoice value / Стоимость груза в к-ре по инвойсу],"",0,1)</f>
        <v>103771.42</v>
      </c>
      <c r="H15" s="14" t="s">
        <v>40</v>
      </c>
      <c r="I15" s="11">
        <f>_xlfn.XLOOKUP($A15,Centrum[Индекс],Centrum[CBM on the shipper/ 
CBM по поставщику],"",0,1)</f>
        <v>67.066000000000003</v>
      </c>
      <c r="J15" s="16">
        <f>_xlfn.XLOOKUP($A15,Centrum[Индекс],Centrum[Gross weight of cont// 
Гросс.вес по конт.],"",0,1)</f>
        <v>14603</v>
      </c>
      <c r="K15" s="17" t="str">
        <f>_xlfn.XLOOKUP($A15,Centrum[Индекс],Centrum[Route/ Маршрут (TSR/TCR)],"",0,1)</f>
        <v>TSR</v>
      </c>
      <c r="L15" s="11" t="str">
        <f>_xlfn.XLOOKUP($A15,Centrum[Индекс],Centrum[Условия поставки],"",0,1)</f>
        <v>INCHEON (FOB/P-D)</v>
      </c>
      <c r="M15" s="11" t="str">
        <f>_xlfn.XLOOKUP($A15,Centrum[Индекс],Centrum[№ HBL date / 
№/ дата коносамента],"",0,1)</f>
        <v>FSIMINAS229363</v>
      </c>
      <c r="N15" s="11" t="str">
        <f>_xlfn.XLOOKUP($A15,Centrum[Индекс],Centrum[№ MBL / 
№/ коносамента],"",0,1)</f>
        <v>FSCOPUVV386627</v>
      </c>
      <c r="O15" s="8">
        <f>(_xlfn.XLOOKUP($A15,Centrum[Индекс],Centrum[Date on board / Дата погрузки на судно],"",0,1))*1</f>
        <v>44979</v>
      </c>
      <c r="P15" s="8">
        <f>(_xlfn.XLOOKUP($A15,Centrum[Индекс],Centrum[Date of arrival to Sary-Agach/ Дата прибытия на Сары-Агач],"",0,1))*1</f>
        <v>45034</v>
      </c>
      <c r="Q15" s="14" t="str">
        <f>_xlfn.XLOOKUP($A15,Centrum[Индекс],Centrum[Container type/ 
Тип контейнера],"",0,1)</f>
        <v>40'HC</v>
      </c>
      <c r="R15" s="16">
        <f>_xlfn.XLOOKUP($A15,Centrum[Индекс],Centrum[Transportation cost per supplier/ 
Cтоимость перевозки по поставщикам],0,0,1)</f>
        <v>10850</v>
      </c>
      <c r="S15" s="16">
        <f>Шаблон_Формулы!$T15-Шаблон_Формулы!$R15</f>
        <v>0</v>
      </c>
      <c r="T15" s="16">
        <f>_xlfn.XLOOKUP($A15,Centrum[Индекс],Centrum[Transportation total amount / Общая стоимость перевозки],0,0,1)</f>
        <v>10850</v>
      </c>
      <c r="U15" s="12" cm="1">
        <f t="array" ref="U1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5" s="16">
        <f>_xlfn.XLOOKUP(Шаблон_Формулы[[#This Row],[21]],Курс_USD[Дата],Курс_USD[Курс],,0,1)</f>
        <v>11445.03</v>
      </c>
      <c r="W15" s="16">
        <f>Шаблон_Формулы!$T15*Шаблон_Формулы!$V15</f>
        <v>124178575.5</v>
      </c>
      <c r="Y15" s="16">
        <f>Шаблон_Формулы!$W15+Шаблон_Формулы!$X15</f>
        <v>124178575.5</v>
      </c>
      <c r="Z15" s="14" t="str">
        <f>_xlfn.XLOOKUP($A15,Centrum[Индекс],Centrum[Transport co invoice no/ 
Номер инвойса ТК],"",0,1)</f>
        <v>CNT-FS230001670</v>
      </c>
    </row>
    <row r="16" spans="1:26" s="11" customFormat="1" x14ac:dyDescent="0.3">
      <c r="A16" s="14">
        <v>12</v>
      </c>
      <c r="B16" s="11" t="str">
        <f>_xlfn.XLOOKUP($A16,Centrum[Индекс],Centrum[Carrier/ Перевозчик],"",0,1)</f>
        <v>CENTRUM AVIATION FZCO</v>
      </c>
      <c r="C16" s="11" t="str">
        <f>_xlfn.XLOOKUP($A16,Centrum[Индекс],Centrum[Country /  Страна],"",0,1)</f>
        <v>KOREA</v>
      </c>
      <c r="D16" s="11" t="str">
        <f>_xlfn.XLOOKUP($A16,Centrum[Индекс],Centrum[Container num./ 
№ контейнера],"",0,1)</f>
        <v>CAIU8903484</v>
      </c>
      <c r="E16" s="11" t="str">
        <f>_xlfn.XLOOKUP($A16,Centrum[Индекс],Centrum[Supplier/
Поставщик],"",0,1)</f>
        <v>GM KOREA COMPANY</v>
      </c>
      <c r="F16" s="11" t="str">
        <f>_xlfn.XLOOKUP($A16,Centrum[Индекс],Centrum[Shippers invoice no/ 
Номер инвойса поставщика],"",1)</f>
        <v>TJAUZ37129A01</v>
      </c>
      <c r="G16" s="15">
        <f>_xlfn.XLOOKUP($A16,Centrum[Индекс],Centrum[Invoice value / Стоимость груза в к-ре по инвойсу],"",0,1)</f>
        <v>12396.96</v>
      </c>
      <c r="H16" s="14" t="s">
        <v>40</v>
      </c>
      <c r="I16" s="11">
        <f>_xlfn.XLOOKUP($A16,Centrum[Индекс],Centrum[CBM on the shipper/ 
CBM по поставщику],"",0,1)</f>
        <v>67.558999999999997</v>
      </c>
      <c r="J16" s="16">
        <f>_xlfn.XLOOKUP($A16,Centrum[Индекс],Centrum[Gross weight of cont// 
Гросс.вес по конт.],"",0,1)</f>
        <v>4947</v>
      </c>
      <c r="K16" s="17" t="str">
        <f>_xlfn.XLOOKUP($A16,Centrum[Индекс],Centrum[Route/ Маршрут (TSR/TCR)],"",0,1)</f>
        <v>TSR</v>
      </c>
      <c r="L16" s="11" t="str">
        <f>_xlfn.XLOOKUP($A16,Centrum[Индекс],Centrum[Условия поставки],"",0,1)</f>
        <v>KUNSAN (FOB/P-D)</v>
      </c>
      <c r="M16" s="11" t="str">
        <f>_xlfn.XLOOKUP($A16,Centrum[Индекс],Centrum[№ HBL date / 
№/ дата коносамента],"",0,1)</f>
        <v>FSIMPUAS229365</v>
      </c>
      <c r="N16" s="11" t="str">
        <f>_xlfn.XLOOKUP($A16,Centrum[Индекс],Centrum[№ MBL / 
№/ коносамента],"",0,1)</f>
        <v>FSCOPUVV386630</v>
      </c>
      <c r="O16" s="8">
        <f>(_xlfn.XLOOKUP($A16,Centrum[Индекс],Centrum[Date on board / Дата погрузки на судно],"",0,1))*1</f>
        <v>44979</v>
      </c>
      <c r="P16" s="8">
        <f>(_xlfn.XLOOKUP($A16,Centrum[Индекс],Centrum[Date of arrival to Sary-Agach/ Дата прибытия на Сары-Агач],"",0,1))*1</f>
        <v>45034</v>
      </c>
      <c r="Q16" s="14" t="str">
        <f>_xlfn.XLOOKUP($A16,Centrum[Индекс],Centrum[Container type/ 
Тип контейнера],"",0,1)</f>
        <v>40'HC</v>
      </c>
      <c r="R16" s="16">
        <f>_xlfn.XLOOKUP($A16,Centrum[Индекс],Centrum[Transportation cost per supplier/ 
Cтоимость перевозки по поставщикам],0,0,1)</f>
        <v>11600</v>
      </c>
      <c r="S16" s="16">
        <f>Шаблон_Формулы!$T16-Шаблон_Формулы!$R16</f>
        <v>0</v>
      </c>
      <c r="T16" s="16">
        <f>_xlfn.XLOOKUP($A16,Centrum[Индекс],Centrum[Transportation total amount / Общая стоимость перевозки],0,0,1)</f>
        <v>11600</v>
      </c>
      <c r="U16" s="12" cm="1">
        <f t="array" ref="U1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6" s="16">
        <f>_xlfn.XLOOKUP(Шаблон_Формулы[[#This Row],[21]],Курс_USD[Дата],Курс_USD[Курс],,0,1)</f>
        <v>11445.03</v>
      </c>
      <c r="W16" s="16">
        <f>Шаблон_Формулы!$T16*Шаблон_Формулы!$V16</f>
        <v>132762348.00000001</v>
      </c>
      <c r="Y16" s="16">
        <f>Шаблон_Формулы!$W16+Шаблон_Формулы!$X16</f>
        <v>132762348.00000001</v>
      </c>
      <c r="Z16" s="14" t="str">
        <f>_xlfn.XLOOKUP($A16,Centrum[Индекс],Centrum[Transport co invoice no/ 
Номер инвойса ТК],"",0,1)</f>
        <v>CNT-FS230001670</v>
      </c>
    </row>
    <row r="17" spans="1:26" s="11" customFormat="1" x14ac:dyDescent="0.3">
      <c r="A17" s="14">
        <v>13</v>
      </c>
      <c r="B17" s="11" t="str">
        <f>_xlfn.XLOOKUP($A17,Centrum[Индекс],Centrum[Carrier/ Перевозчик],"",0,1)</f>
        <v>CENTRUM AVIATION FZCO</v>
      </c>
      <c r="C17" s="11" t="str">
        <f>_xlfn.XLOOKUP($A17,Centrum[Индекс],Centrum[Country /  Страна],"",0,1)</f>
        <v>KOREA</v>
      </c>
      <c r="D17" s="11" t="str">
        <f>_xlfn.XLOOKUP($A17,Centrum[Индекс],Centrum[Container num./ 
№ контейнера],"",0,1)</f>
        <v>CAIU9072174</v>
      </c>
      <c r="E17" s="11" t="str">
        <f>_xlfn.XLOOKUP($A17,Centrum[Индекс],Centrum[Supplier/
Поставщик],"",0,1)</f>
        <v>GM KOREA COMPANY</v>
      </c>
      <c r="F17" s="11" t="str">
        <f>_xlfn.XLOOKUP($A17,Centrum[Индекс],Centrum[Shippers invoice no/ 
Номер инвойса поставщика],"",1)</f>
        <v>TJAUZ37129A01</v>
      </c>
      <c r="G17" s="15">
        <f>_xlfn.XLOOKUP($A17,Centrum[Индекс],Centrum[Invoice value / Стоимость груза в к-ре по инвойсу],"",0,1)</f>
        <v>30467.73</v>
      </c>
      <c r="H17" s="14" t="s">
        <v>40</v>
      </c>
      <c r="I17" s="11">
        <f>_xlfn.XLOOKUP($A17,Centrum[Индекс],Centrum[CBM on the shipper/ 
CBM по поставщику],"",0,1)</f>
        <v>67.453999999999994</v>
      </c>
      <c r="J17" s="16">
        <f>_xlfn.XLOOKUP($A17,Centrum[Индекс],Centrum[Gross weight of cont// 
Гросс.вес по конт.],"",0,1)</f>
        <v>9508</v>
      </c>
      <c r="K17" s="17" t="str">
        <f>_xlfn.XLOOKUP($A17,Centrum[Индекс],Centrum[Route/ Маршрут (TSR/TCR)],"",0,1)</f>
        <v>TSR</v>
      </c>
      <c r="L17" s="11" t="str">
        <f>_xlfn.XLOOKUP($A17,Centrum[Индекс],Centrum[Условия поставки],"",0,1)</f>
        <v>KUNSAN (FOB/P-D)</v>
      </c>
      <c r="M17" s="11" t="str">
        <f>_xlfn.XLOOKUP($A17,Centrum[Индекс],Centrum[№ HBL date / 
№/ дата коносамента],"",0,1)</f>
        <v>FSIMPUAS229365</v>
      </c>
      <c r="N17" s="11" t="str">
        <f>_xlfn.XLOOKUP($A17,Centrum[Индекс],Centrum[№ MBL / 
№/ коносамента],"",0,1)</f>
        <v>FSCOPUVV386630</v>
      </c>
      <c r="O17" s="8">
        <f>(_xlfn.XLOOKUP($A17,Centrum[Индекс],Centrum[Date on board / Дата погрузки на судно],"",0,1))*1</f>
        <v>44979</v>
      </c>
      <c r="P17" s="8">
        <f>(_xlfn.XLOOKUP($A17,Centrum[Индекс],Centrum[Date of arrival to Sary-Agach/ Дата прибытия на Сары-Агач],"",0,1))*1</f>
        <v>45034</v>
      </c>
      <c r="Q17" s="14" t="str">
        <f>_xlfn.XLOOKUP($A17,Centrum[Индекс],Centrum[Container type/ 
Тип контейнера],"",0,1)</f>
        <v>40'HC</v>
      </c>
      <c r="R17" s="16">
        <f>_xlfn.XLOOKUP($A17,Centrum[Индекс],Centrum[Transportation cost per supplier/ 
Cтоимость перевозки по поставщикам],0,0,1)</f>
        <v>11600</v>
      </c>
      <c r="S17" s="16">
        <f>Шаблон_Формулы!$T17-Шаблон_Формулы!$R17</f>
        <v>0</v>
      </c>
      <c r="T17" s="16">
        <f>_xlfn.XLOOKUP($A17,Centrum[Индекс],Centrum[Transportation total amount / Общая стоимость перевозки],0,0,1)</f>
        <v>11600</v>
      </c>
      <c r="U17" s="12" cm="1">
        <f t="array" ref="U1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7" s="16">
        <f>_xlfn.XLOOKUP(Шаблон_Формулы[[#This Row],[21]],Курс_USD[Дата],Курс_USD[Курс],,0,1)</f>
        <v>11445.03</v>
      </c>
      <c r="W17" s="16">
        <f>Шаблон_Формулы!$T17*Шаблон_Формулы!$V17</f>
        <v>132762348.00000001</v>
      </c>
      <c r="Y17" s="16">
        <f>Шаблон_Формулы!$W17+Шаблон_Формулы!$X17</f>
        <v>132762348.00000001</v>
      </c>
      <c r="Z17" s="14" t="str">
        <f>_xlfn.XLOOKUP($A17,Centrum[Индекс],Centrum[Transport co invoice no/ 
Номер инвойса ТК],"",0,1)</f>
        <v>CNT-FS230001670</v>
      </c>
    </row>
    <row r="18" spans="1:26" s="11" customFormat="1" x14ac:dyDescent="0.3">
      <c r="A18" s="14">
        <v>14</v>
      </c>
      <c r="B18" s="11" t="str">
        <f>_xlfn.XLOOKUP($A18,Centrum[Индекс],Centrum[Carrier/ Перевозчик],"",0,1)</f>
        <v>CENTRUM AVIATION FZCO</v>
      </c>
      <c r="C18" s="11" t="str">
        <f>_xlfn.XLOOKUP($A18,Centrum[Индекс],Centrum[Country /  Страна],"",0,1)</f>
        <v>KOREA</v>
      </c>
      <c r="D18" s="11" t="str">
        <f>_xlfn.XLOOKUP($A18,Centrum[Индекс],Centrum[Container num./ 
№ контейнера],"",0,1)</f>
        <v>FESU5119911</v>
      </c>
      <c r="E18" s="11" t="str">
        <f>_xlfn.XLOOKUP($A18,Centrum[Индекс],Centrum[Supplier/
Поставщик],"",0,1)</f>
        <v>GM KOREA COMPANY</v>
      </c>
      <c r="F18" s="11" t="str">
        <f>_xlfn.XLOOKUP($A18,Centrum[Индекс],Centrum[Shippers invoice no/ 
Номер инвойса поставщика],"",1)</f>
        <v>TJAUZ37129A01</v>
      </c>
      <c r="G18" s="15">
        <f>_xlfn.XLOOKUP($A18,Centrum[Индекс],Centrum[Invoice value / Стоимость груза в к-ре по инвойсу],"",0,1)</f>
        <v>26655.24</v>
      </c>
      <c r="H18" s="14" t="s">
        <v>40</v>
      </c>
      <c r="I18" s="11">
        <f>_xlfn.XLOOKUP($A18,Centrum[Индекс],Centrum[CBM on the shipper/ 
CBM по поставщику],"",0,1)</f>
        <v>67.387</v>
      </c>
      <c r="J18" s="16">
        <f>_xlfn.XLOOKUP($A18,Centrum[Индекс],Centrum[Gross weight of cont// 
Гросс.вес по конт.],"",0,1)</f>
        <v>9493</v>
      </c>
      <c r="K18" s="17" t="str">
        <f>_xlfn.XLOOKUP($A18,Centrum[Индекс],Centrum[Route/ Маршрут (TSR/TCR)],"",0,1)</f>
        <v>TSR</v>
      </c>
      <c r="L18" s="11" t="str">
        <f>_xlfn.XLOOKUP($A18,Centrum[Индекс],Centrum[Условия поставки],"",0,1)</f>
        <v>KUNSAN (FOB/P-D)</v>
      </c>
      <c r="M18" s="11" t="str">
        <f>_xlfn.XLOOKUP($A18,Centrum[Индекс],Centrum[№ HBL date / 
№/ дата коносамента],"",0,1)</f>
        <v>FSIMPUAS229365</v>
      </c>
      <c r="N18" s="11" t="str">
        <f>_xlfn.XLOOKUP($A18,Centrum[Индекс],Centrum[№ MBL / 
№/ коносамента],"",0,1)</f>
        <v>FSCOPUVV386630</v>
      </c>
      <c r="O18" s="8">
        <f>(_xlfn.XLOOKUP($A18,Centrum[Индекс],Centrum[Date on board / Дата погрузки на судно],"",0,1))*1</f>
        <v>44979</v>
      </c>
      <c r="P18" s="8">
        <f>(_xlfn.XLOOKUP($A18,Centrum[Индекс],Centrum[Date of arrival to Sary-Agach/ Дата прибытия на Сары-Агач],"",0,1))*1</f>
        <v>45034</v>
      </c>
      <c r="Q18" s="14" t="str">
        <f>_xlfn.XLOOKUP($A18,Centrum[Индекс],Centrum[Container type/ 
Тип контейнера],"",0,1)</f>
        <v>40'HC</v>
      </c>
      <c r="R18" s="16">
        <f>_xlfn.XLOOKUP($A18,Centrum[Индекс],Centrum[Transportation cost per supplier/ 
Cтоимость перевозки по поставщикам],0,0,1)</f>
        <v>11600</v>
      </c>
      <c r="S18" s="16">
        <f>Шаблон_Формулы!$T18-Шаблон_Формулы!$R18</f>
        <v>0</v>
      </c>
      <c r="T18" s="16">
        <f>_xlfn.XLOOKUP($A18,Centrum[Индекс],Centrum[Transportation total amount / Общая стоимость перевозки],0,0,1)</f>
        <v>11600</v>
      </c>
      <c r="U18" s="12" cm="1">
        <f t="array" ref="U1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8" s="16">
        <f>_xlfn.XLOOKUP(Шаблон_Формулы[[#This Row],[21]],Курс_USD[Дата],Курс_USD[Курс],,0,1)</f>
        <v>11445.03</v>
      </c>
      <c r="W18" s="16">
        <f>Шаблон_Формулы!$T18*Шаблон_Формулы!$V18</f>
        <v>132762348.00000001</v>
      </c>
      <c r="Y18" s="16">
        <f>Шаблон_Формулы!$W18+Шаблон_Формулы!$X18</f>
        <v>132762348.00000001</v>
      </c>
      <c r="Z18" s="14" t="str">
        <f>_xlfn.XLOOKUP($A18,Centrum[Индекс],Centrum[Transport co invoice no/ 
Номер инвойса ТК],"",0,1)</f>
        <v>CNT-FS230001670</v>
      </c>
    </row>
    <row r="19" spans="1:26" s="11" customFormat="1" x14ac:dyDescent="0.3">
      <c r="A19" s="14">
        <v>15</v>
      </c>
      <c r="B19" s="11" t="str">
        <f>_xlfn.XLOOKUP($A19,Centrum[Индекс],Centrum[Carrier/ Перевозчик],"",0,1)</f>
        <v>CENTRUM AVIATION FZCO</v>
      </c>
      <c r="C19" s="11" t="str">
        <f>_xlfn.XLOOKUP($A19,Centrum[Индекс],Centrum[Country /  Страна],"",0,1)</f>
        <v>KOREA</v>
      </c>
      <c r="D19" s="11" t="str">
        <f>_xlfn.XLOOKUP($A19,Centrum[Индекс],Centrum[Container num./ 
№ контейнера],"",0,1)</f>
        <v>FESU5133150</v>
      </c>
      <c r="E19" s="11" t="str">
        <f>_xlfn.XLOOKUP($A19,Centrum[Индекс],Centrum[Supplier/
Поставщик],"",0,1)</f>
        <v>GM KOREA COMPANY</v>
      </c>
      <c r="F19" s="11" t="str">
        <f>_xlfn.XLOOKUP($A19,Centrum[Индекс],Centrum[Shippers invoice no/ 
Номер инвойса поставщика],"",1)</f>
        <v>TJAUZ37116A01</v>
      </c>
      <c r="G19" s="15">
        <f>_xlfn.XLOOKUP($A19,Centrum[Индекс],Centrum[Invoice value / Стоимость груза в к-ре по инвойсу],"",0,1)</f>
        <v>24850.28</v>
      </c>
      <c r="H19" s="14" t="s">
        <v>40</v>
      </c>
      <c r="I19" s="11">
        <f>_xlfn.XLOOKUP($A19,Centrum[Индекс],Centrum[CBM on the shipper/ 
CBM по поставщику],"",0,1)</f>
        <v>67.83</v>
      </c>
      <c r="J19" s="16">
        <f>_xlfn.XLOOKUP($A19,Centrum[Индекс],Centrum[Gross weight of cont// 
Гросс.вес по конт.],"",0,1)</f>
        <v>7834</v>
      </c>
      <c r="K19" s="17" t="str">
        <f>_xlfn.XLOOKUP($A19,Centrum[Индекс],Centrum[Route/ Маршрут (TSR/TCR)],"",0,1)</f>
        <v>TSR</v>
      </c>
      <c r="L19" s="11" t="str">
        <f>_xlfn.XLOOKUP($A19,Centrum[Индекс],Centrum[Условия поставки],"",0,1)</f>
        <v>KUNSAN (FOB/P-D)</v>
      </c>
      <c r="M19" s="11" t="str">
        <f>_xlfn.XLOOKUP($A19,Centrum[Индекс],Centrum[№ HBL date / 
№/ дата коносамента],"",0,1)</f>
        <v>FSIMPUAS229341</v>
      </c>
      <c r="N19" s="11" t="str">
        <f>_xlfn.XLOOKUP($A19,Centrum[Индекс],Centrum[№ MBL / 
№/ коносамента],"",0,1)</f>
        <v>FSCOPUVV386541</v>
      </c>
      <c r="O19" s="8">
        <f>(_xlfn.XLOOKUP($A19,Centrum[Индекс],Centrum[Date on board / Дата погрузки на судно],"",0,1))*1</f>
        <v>44971</v>
      </c>
      <c r="P19" s="8">
        <f>(_xlfn.XLOOKUP($A19,Centrum[Индекс],Centrum[Date of arrival to Sary-Agach/ Дата прибытия на Сары-Агач],"",0,1))*1</f>
        <v>45034</v>
      </c>
      <c r="Q19" s="14" t="str">
        <f>_xlfn.XLOOKUP($A19,Centrum[Индекс],Centrum[Container type/ 
Тип контейнера],"",0,1)</f>
        <v>40'HC</v>
      </c>
      <c r="R19" s="16">
        <f>_xlfn.XLOOKUP($A19,Centrum[Индекс],Centrum[Transportation cost per supplier/ 
Cтоимость перевозки по поставщикам],0,0,1)</f>
        <v>11600</v>
      </c>
      <c r="S19" s="16">
        <f>Шаблон_Формулы!$T19-Шаблон_Формулы!$R19</f>
        <v>0</v>
      </c>
      <c r="T19" s="16">
        <f>_xlfn.XLOOKUP($A19,Centrum[Индекс],Centrum[Transportation total amount / Общая стоимость перевозки],0,0,1)</f>
        <v>11600</v>
      </c>
      <c r="U19" s="12" cm="1">
        <f t="array" ref="U1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9" s="16">
        <f>_xlfn.XLOOKUP(Шаблон_Формулы[[#This Row],[21]],Курс_USD[Дата],Курс_USD[Курс],,0,1)</f>
        <v>11445.03</v>
      </c>
      <c r="W19" s="16">
        <f>Шаблон_Формулы!$T19*Шаблон_Формулы!$V19</f>
        <v>132762348.00000001</v>
      </c>
      <c r="Y19" s="16">
        <f>Шаблон_Формулы!$W19+Шаблон_Формулы!$X19</f>
        <v>132762348.00000001</v>
      </c>
      <c r="Z19" s="14" t="str">
        <f>_xlfn.XLOOKUP($A19,Centrum[Индекс],Centrum[Transport co invoice no/ 
Номер инвойса ТК],"",0,1)</f>
        <v>CNT-FS230001670</v>
      </c>
    </row>
    <row r="20" spans="1:26" s="11" customFormat="1" x14ac:dyDescent="0.3">
      <c r="A20" s="14">
        <v>16</v>
      </c>
      <c r="B20" s="11" t="str">
        <f>_xlfn.XLOOKUP($A20,Centrum[Индекс],Centrum[Carrier/ Перевозчик],"",0,1)</f>
        <v>CENTRUM AVIATION FZCO</v>
      </c>
      <c r="C20" s="11" t="str">
        <f>_xlfn.XLOOKUP($A20,Centrum[Индекс],Centrum[Country /  Страна],"",0,1)</f>
        <v>KOREA</v>
      </c>
      <c r="D20" s="11" t="str">
        <f>_xlfn.XLOOKUP($A20,Centrum[Индекс],Centrum[Container num./ 
№ контейнера],"",0,1)</f>
        <v>FESU5141324</v>
      </c>
      <c r="E20" s="11" t="str">
        <f>_xlfn.XLOOKUP($A20,Centrum[Индекс],Centrum[Supplier/
Поставщик],"",0,1)</f>
        <v>GM KOREA COMPANY</v>
      </c>
      <c r="F20" s="11" t="str">
        <f>_xlfn.XLOOKUP($A20,Centrum[Индекс],Centrum[Shippers invoice no/ 
Номер инвойса поставщика],"",1)</f>
        <v>TJAUZ37116A01</v>
      </c>
      <c r="G20" s="15">
        <f>_xlfn.XLOOKUP($A20,Centrum[Индекс],Centrum[Invoice value / Стоимость груза в к-ре по инвойсу],"",0,1)</f>
        <v>25709.32</v>
      </c>
      <c r="H20" s="14" t="s">
        <v>40</v>
      </c>
      <c r="I20" s="11">
        <f>_xlfn.XLOOKUP($A20,Centrum[Индекс],Centrum[CBM on the shipper/ 
CBM по поставщику],"",0,1)</f>
        <v>67.83</v>
      </c>
      <c r="J20" s="16">
        <f>_xlfn.XLOOKUP($A20,Centrum[Индекс],Centrum[Gross weight of cont// 
Гросс.вес по конт.],"",0,1)</f>
        <v>8200</v>
      </c>
      <c r="K20" s="17" t="str">
        <f>_xlfn.XLOOKUP($A20,Centrum[Индекс],Centrum[Route/ Маршрут (TSR/TCR)],"",0,1)</f>
        <v>TSR</v>
      </c>
      <c r="L20" s="11" t="str">
        <f>_xlfn.XLOOKUP($A20,Centrum[Индекс],Centrum[Условия поставки],"",0,1)</f>
        <v>KUNSAN (FOB/P-D)</v>
      </c>
      <c r="M20" s="11" t="str">
        <f>_xlfn.XLOOKUP($A20,Centrum[Индекс],Centrum[№ HBL date / 
№/ дата коносамента],"",0,1)</f>
        <v>FSIMPUAS229341</v>
      </c>
      <c r="N20" s="11" t="str">
        <f>_xlfn.XLOOKUP($A20,Centrum[Индекс],Centrum[№ MBL / 
№/ коносамента],"",0,1)</f>
        <v>FSCOPUVV386541</v>
      </c>
      <c r="O20" s="8">
        <f>(_xlfn.XLOOKUP($A20,Centrum[Индекс],Centrum[Date on board / Дата погрузки на судно],"",0,1))*1</f>
        <v>44971</v>
      </c>
      <c r="P20" s="8">
        <f>(_xlfn.XLOOKUP($A20,Centrum[Индекс],Centrum[Date of arrival to Sary-Agach/ Дата прибытия на Сары-Агач],"",0,1))*1</f>
        <v>45034</v>
      </c>
      <c r="Q20" s="14" t="str">
        <f>_xlfn.XLOOKUP($A20,Centrum[Индекс],Centrum[Container type/ 
Тип контейнера],"",0,1)</f>
        <v>40'HC</v>
      </c>
      <c r="R20" s="16">
        <f>_xlfn.XLOOKUP($A20,Centrum[Индекс],Centrum[Transportation cost per supplier/ 
Cтоимость перевозки по поставщикам],0,0,1)</f>
        <v>11600</v>
      </c>
      <c r="S20" s="16">
        <f>Шаблон_Формулы!$T20-Шаблон_Формулы!$R20</f>
        <v>0</v>
      </c>
      <c r="T20" s="16">
        <f>_xlfn.XLOOKUP($A20,Centrum[Индекс],Centrum[Transportation total amount / Общая стоимость перевозки],0,0,1)</f>
        <v>11600</v>
      </c>
      <c r="U20" s="12" cm="1">
        <f t="array" ref="U2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20" s="16">
        <f>_xlfn.XLOOKUP(Шаблон_Формулы[[#This Row],[21]],Курс_USD[Дата],Курс_USD[Курс],,0,1)</f>
        <v>11445.03</v>
      </c>
      <c r="W20" s="16">
        <f>Шаблон_Формулы!$T20*Шаблон_Формулы!$V20</f>
        <v>132762348.00000001</v>
      </c>
      <c r="Y20" s="16">
        <f>Шаблон_Формулы!$W20+Шаблон_Формулы!$X20</f>
        <v>132762348.00000001</v>
      </c>
      <c r="Z20" s="14" t="str">
        <f>_xlfn.XLOOKUP($A20,Centrum[Индекс],Centrum[Transport co invoice no/ 
Номер инвойса ТК],"",0,1)</f>
        <v>CNT-FS230001670</v>
      </c>
    </row>
    <row r="21" spans="1:26" s="11" customFormat="1" x14ac:dyDescent="0.3">
      <c r="A21" s="14">
        <v>17</v>
      </c>
      <c r="B21" s="11" t="str">
        <f>_xlfn.XLOOKUP($A21,Centrum[Индекс],Centrum[Carrier/ Перевозчик],"",0,1)</f>
        <v>CENTRUM AVIATION FZCO</v>
      </c>
      <c r="C21" s="11" t="str">
        <f>_xlfn.XLOOKUP($A21,Centrum[Индекс],Centrum[Country /  Страна],"",0,1)</f>
        <v>KOREA</v>
      </c>
      <c r="D21" s="11" t="str">
        <f>_xlfn.XLOOKUP($A21,Centrum[Индекс],Centrum[Container num./ 
№ контейнера],"",0,1)</f>
        <v>FESU5172768</v>
      </c>
      <c r="E21" s="11" t="str">
        <f>_xlfn.XLOOKUP($A21,Centrum[Индекс],Centrum[Supplier/
Поставщик],"",0,1)</f>
        <v>GM KOREA COMPANY</v>
      </c>
      <c r="F21" s="11" t="str">
        <f>_xlfn.XLOOKUP($A21,Centrum[Индекс],Centrum[Shippers invoice no/ 
Номер инвойса поставщика],"",1)</f>
        <v>TJAUZ37129A01</v>
      </c>
      <c r="G21" s="15">
        <f>_xlfn.XLOOKUP($A21,Centrum[Индекс],Centrum[Invoice value / Стоимость груза в к-ре по инвойсу],"",0,1)</f>
        <v>17694.12</v>
      </c>
      <c r="H21" s="14" t="s">
        <v>40</v>
      </c>
      <c r="I21" s="11">
        <f>_xlfn.XLOOKUP($A21,Centrum[Индекс],Centrum[CBM on the shipper/ 
CBM по поставщику],"",0,1)</f>
        <v>67.319999999999993</v>
      </c>
      <c r="J21" s="16">
        <f>_xlfn.XLOOKUP($A21,Centrum[Индекс],Centrum[Gross weight of cont// 
Гросс.вес по конт.],"",0,1)</f>
        <v>6014</v>
      </c>
      <c r="K21" s="17" t="str">
        <f>_xlfn.XLOOKUP($A21,Centrum[Индекс],Centrum[Route/ Маршрут (TSR/TCR)],"",0,1)</f>
        <v>TSR</v>
      </c>
      <c r="L21" s="11" t="str">
        <f>_xlfn.XLOOKUP($A21,Centrum[Индекс],Centrum[Условия поставки],"",0,1)</f>
        <v>KUNSAN (FOB/P-D)</v>
      </c>
      <c r="M21" s="11" t="str">
        <f>_xlfn.XLOOKUP($A21,Centrum[Индекс],Centrum[№ HBL date / 
№/ дата коносамента],"",0,1)</f>
        <v>FSIMPUAS229365</v>
      </c>
      <c r="N21" s="11" t="str">
        <f>_xlfn.XLOOKUP($A21,Centrum[Индекс],Centrum[№ MBL / 
№/ коносамента],"",0,1)</f>
        <v>FSCOPUVV386630</v>
      </c>
      <c r="O21" s="8">
        <f>(_xlfn.XLOOKUP($A21,Centrum[Индекс],Centrum[Date on board / Дата погрузки на судно],"",0,1))*1</f>
        <v>44979</v>
      </c>
      <c r="P21" s="8">
        <f>(_xlfn.XLOOKUP($A21,Centrum[Индекс],Centrum[Date of arrival to Sary-Agach/ Дата прибытия на Сары-Агач],"",0,1))*1</f>
        <v>45034</v>
      </c>
      <c r="Q21" s="14" t="str">
        <f>_xlfn.XLOOKUP($A21,Centrum[Индекс],Centrum[Container type/ 
Тип контейнера],"",0,1)</f>
        <v>40'HC</v>
      </c>
      <c r="R21" s="16">
        <f>_xlfn.XLOOKUP($A21,Centrum[Индекс],Centrum[Transportation cost per supplier/ 
Cтоимость перевозки по поставщикам],0,0,1)</f>
        <v>11600</v>
      </c>
      <c r="S21" s="16">
        <f>Шаблон_Формулы!$T21-Шаблон_Формулы!$R21</f>
        <v>0</v>
      </c>
      <c r="T21" s="16">
        <f>_xlfn.XLOOKUP($A21,Centrum[Индекс],Centrum[Transportation total amount / Общая стоимость перевозки],0,0,1)</f>
        <v>11600</v>
      </c>
      <c r="U21" s="12" cm="1">
        <f t="array" ref="U2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21" s="16">
        <f>_xlfn.XLOOKUP(Шаблон_Формулы[[#This Row],[21]],Курс_USD[Дата],Курс_USD[Курс],,0,1)</f>
        <v>11445.03</v>
      </c>
      <c r="W21" s="16">
        <f>Шаблон_Формулы!$T21*Шаблон_Формулы!$V21</f>
        <v>132762348.00000001</v>
      </c>
      <c r="Y21" s="16">
        <f>Шаблон_Формулы!$W21+Шаблон_Формулы!$X21</f>
        <v>132762348.00000001</v>
      </c>
      <c r="Z21" s="14" t="str">
        <f>_xlfn.XLOOKUP($A21,Centrum[Индекс],Centrum[Transport co invoice no/ 
Номер инвойса ТК],"",0,1)</f>
        <v>CNT-FS230001670</v>
      </c>
    </row>
    <row r="22" spans="1:26" s="11" customFormat="1" x14ac:dyDescent="0.3">
      <c r="A22" s="14">
        <v>18</v>
      </c>
      <c r="B22" s="11" t="str">
        <f>_xlfn.XLOOKUP($A22,Centrum[Индекс],Centrum[Carrier/ Перевозчик],"",0,1)</f>
        <v>CENTRUM AVIATION FZCO</v>
      </c>
      <c r="C22" s="11" t="str">
        <f>_xlfn.XLOOKUP($A22,Centrum[Индекс],Centrum[Country /  Страна],"",0,1)</f>
        <v>KOREA</v>
      </c>
      <c r="D22" s="11" t="str">
        <f>_xlfn.XLOOKUP($A22,Centrum[Индекс],Centrum[Container num./ 
№ контейнера],"",0,1)</f>
        <v>FESU5176608</v>
      </c>
      <c r="E22" s="11" t="str">
        <f>_xlfn.XLOOKUP($A22,Centrum[Индекс],Centrum[Supplier/
Поставщик],"",0,1)</f>
        <v>GM KOREA COMPANY</v>
      </c>
      <c r="F22" s="11" t="str">
        <f>_xlfn.XLOOKUP($A22,Centrum[Индекс],Centrum[Shippers invoice no/ 
Номер инвойса поставщика],"",1)</f>
        <v>TJAUZ37132C01</v>
      </c>
      <c r="G22" s="15">
        <f>_xlfn.XLOOKUP($A22,Centrum[Индекс],Centrum[Invoice value / Стоимость груза в к-ре по инвойсу],"",0,1)</f>
        <v>45360</v>
      </c>
      <c r="H22" s="14" t="s">
        <v>40</v>
      </c>
      <c r="I22" s="11">
        <f>_xlfn.XLOOKUP($A22,Centrum[Индекс],Centrum[CBM on the shipper/ 
CBM по поставщику],"",0,1)</f>
        <v>66.784000000000006</v>
      </c>
      <c r="J22" s="16">
        <f>_xlfn.XLOOKUP($A22,Centrum[Индекс],Centrum[Gross weight of cont// 
Гросс.вес по конт.],"",0,1)</f>
        <v>4869</v>
      </c>
      <c r="K22" s="17" t="str">
        <f>_xlfn.XLOOKUP($A22,Centrum[Индекс],Centrum[Route/ Маршрут (TSR/TCR)],"",0,1)</f>
        <v>TSR</v>
      </c>
      <c r="L22" s="11" t="str">
        <f>_xlfn.XLOOKUP($A22,Centrum[Индекс],Centrum[Условия поставки],"",0,1)</f>
        <v>BUSAN (FOB/P-D)</v>
      </c>
      <c r="M22" s="11" t="str">
        <f>_xlfn.XLOOKUP($A22,Centrum[Индекс],Centrum[№ HBL date / 
№/ дата коносамента],"",0,1)</f>
        <v>FSIMPUAS229366</v>
      </c>
      <c r="N22" s="11" t="str">
        <f>_xlfn.XLOOKUP($A22,Centrum[Индекс],Centrum[№ MBL / 
№/ коносамента],"",0,1)</f>
        <v>FSCOPUVV386631</v>
      </c>
      <c r="O22" s="8">
        <f>(_xlfn.XLOOKUP($A22,Centrum[Индекс],Centrum[Date on board / Дата погрузки на судно],"",0,1))*1</f>
        <v>44979</v>
      </c>
      <c r="P22" s="8">
        <f>(_xlfn.XLOOKUP($A22,Centrum[Индекс],Centrum[Date of arrival to Sary-Agach/ Дата прибытия на Сары-Агач],"",0,1))*1</f>
        <v>45034</v>
      </c>
      <c r="Q22" s="14" t="str">
        <f>_xlfn.XLOOKUP($A22,Centrum[Индекс],Centrum[Container type/ 
Тип контейнера],"",0,1)</f>
        <v>40'HC</v>
      </c>
      <c r="R22" s="16">
        <f>_xlfn.XLOOKUP($A22,Centrum[Индекс],Centrum[Transportation cost per supplier/ 
Cтоимость перевозки по поставщикам],0,0,1)</f>
        <v>10550</v>
      </c>
      <c r="S22" s="16">
        <f>Шаблон_Формулы!$T22-Шаблон_Формулы!$R22</f>
        <v>0</v>
      </c>
      <c r="T22" s="16">
        <f>_xlfn.XLOOKUP($A22,Centrum[Индекс],Centrum[Transportation total amount / Общая стоимость перевозки],0,0,1)</f>
        <v>10550</v>
      </c>
      <c r="U22" s="12" cm="1">
        <f t="array" ref="U2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22" s="16">
        <f>_xlfn.XLOOKUP(Шаблон_Формулы[[#This Row],[21]],Курс_USD[Дата],Курс_USD[Курс],,0,1)</f>
        <v>11445.03</v>
      </c>
      <c r="W22" s="16">
        <f>Шаблон_Формулы!$T22*Шаблон_Формулы!$V22</f>
        <v>120745066.5</v>
      </c>
      <c r="Y22" s="16">
        <f>Шаблон_Формулы!$W22+Шаблон_Формулы!$X22</f>
        <v>120745066.5</v>
      </c>
      <c r="Z22" s="14" t="str">
        <f>_xlfn.XLOOKUP($A22,Centrum[Индекс],Centrum[Transport co invoice no/ 
Номер инвойса ТК],"",0,1)</f>
        <v>CNT-FS230001670</v>
      </c>
    </row>
    <row r="23" spans="1:26" s="11" customFormat="1" x14ac:dyDescent="0.3">
      <c r="A23" s="14">
        <v>19</v>
      </c>
      <c r="B23" s="11" t="str">
        <f>_xlfn.XLOOKUP($A23,Centrum[Индекс],Centrum[Carrier/ Перевозчик],"",0,1)</f>
        <v>CENTRUM AVIATION FZCO</v>
      </c>
      <c r="C23" s="11" t="str">
        <f>_xlfn.XLOOKUP($A23,Centrum[Индекс],Centrum[Country /  Страна],"",0,1)</f>
        <v>KOREA</v>
      </c>
      <c r="D23" s="11" t="str">
        <f>_xlfn.XLOOKUP($A23,Centrum[Индекс],Centrum[Container num./ 
№ контейнера],"",0,1)</f>
        <v>FESU5184630</v>
      </c>
      <c r="E23" s="11" t="str">
        <f>_xlfn.XLOOKUP($A23,Centrum[Индекс],Centrum[Supplier/
Поставщик],"",0,1)</f>
        <v>GM KOREA COMPANY</v>
      </c>
      <c r="F23" s="11" t="str">
        <f>_xlfn.XLOOKUP($A23,Centrum[Индекс],Centrum[Shippers invoice no/ 
Номер инвойса поставщика],"",1)</f>
        <v>TJAUZ37130A01</v>
      </c>
      <c r="G23" s="15">
        <f>_xlfn.XLOOKUP($A23,Centrum[Индекс],Centrum[Invoice value / Стоимость груза в к-ре по инвойсу],"",0,1)</f>
        <v>52939.28</v>
      </c>
      <c r="H23" s="14" t="s">
        <v>40</v>
      </c>
      <c r="I23" s="11">
        <f>_xlfn.XLOOKUP($A23,Centrum[Индекс],Centrum[CBM on the shipper/ 
CBM по поставщику],"",0,1)</f>
        <v>64.456000000000003</v>
      </c>
      <c r="J23" s="16">
        <f>_xlfn.XLOOKUP($A23,Centrum[Индекс],Centrum[Gross weight of cont// 
Гросс.вес по конт.],"",0,1)</f>
        <v>7110</v>
      </c>
      <c r="K23" s="17" t="str">
        <f>_xlfn.XLOOKUP($A23,Centrum[Индекс],Centrum[Route/ Маршрут (TSR/TCR)],"",0,1)</f>
        <v>TSR</v>
      </c>
      <c r="L23" s="11" t="str">
        <f>_xlfn.XLOOKUP($A23,Centrum[Индекс],Centrum[Условия поставки],"",0,1)</f>
        <v>INCHEON (FOB/P-D)</v>
      </c>
      <c r="M23" s="11" t="str">
        <f>_xlfn.XLOOKUP($A23,Centrum[Индекс],Centrum[№ HBL date / 
№/ дата коносамента],"",0,1)</f>
        <v>FSIMINAS229362</v>
      </c>
      <c r="N23" s="11" t="str">
        <f>_xlfn.XLOOKUP($A23,Centrum[Индекс],Centrum[№ MBL / 
№/ коносамента],"",0,1)</f>
        <v>FSCOPUVV386626</v>
      </c>
      <c r="O23" s="8">
        <f>(_xlfn.XLOOKUP($A23,Centrum[Индекс],Centrum[Date on board / Дата погрузки на судно],"",0,1))*1</f>
        <v>44979</v>
      </c>
      <c r="P23" s="8">
        <f>(_xlfn.XLOOKUP($A23,Centrum[Индекс],Centrum[Date of arrival to Sary-Agach/ Дата прибытия на Сары-Агач],"",0,1))*1</f>
        <v>45034</v>
      </c>
      <c r="Q23" s="14" t="str">
        <f>_xlfn.XLOOKUP($A23,Centrum[Индекс],Centrum[Container type/ 
Тип контейнера],"",0,1)</f>
        <v>40'HC</v>
      </c>
      <c r="R23" s="16">
        <f>_xlfn.XLOOKUP($A23,Centrum[Индекс],Centrum[Transportation cost per supplier/ 
Cтоимость перевозки по поставщикам],0,0,1)</f>
        <v>10850</v>
      </c>
      <c r="S23" s="16">
        <f>Шаблон_Формулы!$T23-Шаблон_Формулы!$R23</f>
        <v>0</v>
      </c>
      <c r="T23" s="16">
        <f>_xlfn.XLOOKUP($A23,Centrum[Индекс],Centrum[Transportation total amount / Общая стоимость перевозки],0,0,1)</f>
        <v>10850</v>
      </c>
      <c r="U23" s="12" cm="1">
        <f t="array" ref="U2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23" s="16">
        <f>_xlfn.XLOOKUP(Шаблон_Формулы[[#This Row],[21]],Курс_USD[Дата],Курс_USD[Курс],,0,1)</f>
        <v>11445.03</v>
      </c>
      <c r="W23" s="16">
        <f>Шаблон_Формулы!$T23*Шаблон_Формулы!$V23</f>
        <v>124178575.5</v>
      </c>
      <c r="Y23" s="16">
        <f>Шаблон_Формулы!$W23+Шаблон_Формулы!$X23</f>
        <v>124178575.5</v>
      </c>
      <c r="Z23" s="14" t="str">
        <f>_xlfn.XLOOKUP($A23,Centrum[Индекс],Centrum[Transport co invoice no/ 
Номер инвойса ТК],"",0,1)</f>
        <v>CNT-FS230001670</v>
      </c>
    </row>
    <row r="24" spans="1:26" s="11" customFormat="1" x14ac:dyDescent="0.3">
      <c r="A24" s="14">
        <v>20</v>
      </c>
      <c r="B24" s="11" t="str">
        <f>_xlfn.XLOOKUP($A24,Centrum[Индекс],Centrum[Carrier/ Перевозчик],"",0,1)</f>
        <v>CENTRUM AVIATION FZCO</v>
      </c>
      <c r="C24" s="11" t="str">
        <f>_xlfn.XLOOKUP($A24,Centrum[Индекс],Centrum[Country /  Страна],"",0,1)</f>
        <v>KOREA</v>
      </c>
      <c r="D24" s="11" t="str">
        <f>_xlfn.XLOOKUP($A24,Centrum[Индекс],Centrum[Container num./ 
№ контейнера],"",0,1)</f>
        <v>FESU5186442</v>
      </c>
      <c r="E24" s="11" t="str">
        <f>_xlfn.XLOOKUP($A24,Centrum[Индекс],Centrum[Supplier/
Поставщик],"",0,1)</f>
        <v>GM KOREA COMPANY</v>
      </c>
      <c r="F24" s="11" t="str">
        <f>_xlfn.XLOOKUP($A24,Centrum[Индекс],Centrum[Shippers invoice no/ 
Номер инвойса поставщика],"",1)</f>
        <v>TJAUZ37129A01</v>
      </c>
      <c r="G24" s="15">
        <f>_xlfn.XLOOKUP($A24,Centrum[Индекс],Centrum[Invoice value / Стоимость груза в к-ре по инвойсу],"",0,1)</f>
        <v>17480.04</v>
      </c>
      <c r="H24" s="14" t="s">
        <v>40</v>
      </c>
      <c r="I24" s="11">
        <f>_xlfn.XLOOKUP($A24,Centrum[Индекс],Centrum[CBM on the shipper/ 
CBM по поставщику],"",0,1)</f>
        <v>67.319999999999993</v>
      </c>
      <c r="J24" s="16">
        <f>_xlfn.XLOOKUP($A24,Centrum[Индекс],Centrum[Gross weight of cont// 
Гросс.вес по конт.],"",0,1)</f>
        <v>5890</v>
      </c>
      <c r="K24" s="17" t="str">
        <f>_xlfn.XLOOKUP($A24,Centrum[Индекс],Centrum[Route/ Маршрут (TSR/TCR)],"",0,1)</f>
        <v>TSR</v>
      </c>
      <c r="L24" s="11" t="str">
        <f>_xlfn.XLOOKUP($A24,Centrum[Индекс],Centrum[Условия поставки],"",0,1)</f>
        <v>KUNSAN (FOB/P-D)</v>
      </c>
      <c r="M24" s="11" t="str">
        <f>_xlfn.XLOOKUP($A24,Centrum[Индекс],Centrum[№ HBL date / 
№/ дата коносамента],"",0,1)</f>
        <v>FSIMPUAS229365</v>
      </c>
      <c r="N24" s="11" t="str">
        <f>_xlfn.XLOOKUP($A24,Centrum[Индекс],Centrum[№ MBL / 
№/ коносамента],"",0,1)</f>
        <v>FSCOPUVV386630</v>
      </c>
      <c r="O24" s="8">
        <f>(_xlfn.XLOOKUP($A24,Centrum[Индекс],Centrum[Date on board / Дата погрузки на судно],"",0,1))*1</f>
        <v>44979</v>
      </c>
      <c r="P24" s="8">
        <f>(_xlfn.XLOOKUP($A24,Centrum[Индекс],Centrum[Date of arrival to Sary-Agach/ Дата прибытия на Сары-Агач],"",0,1))*1</f>
        <v>45034</v>
      </c>
      <c r="Q24" s="14" t="str">
        <f>_xlfn.XLOOKUP($A24,Centrum[Индекс],Centrum[Container type/ 
Тип контейнера],"",0,1)</f>
        <v>40'HC</v>
      </c>
      <c r="R24" s="16">
        <f>_xlfn.XLOOKUP($A24,Centrum[Индекс],Centrum[Transportation cost per supplier/ 
Cтоимость перевозки по поставщикам],0,0,1)</f>
        <v>11600</v>
      </c>
      <c r="S24" s="16">
        <f>Шаблон_Формулы!$T24-Шаблон_Формулы!$R24</f>
        <v>0</v>
      </c>
      <c r="T24" s="16">
        <f>_xlfn.XLOOKUP($A24,Centrum[Индекс],Centrum[Transportation total amount / Общая стоимость перевозки],0,0,1)</f>
        <v>11600</v>
      </c>
      <c r="U24" s="12" cm="1">
        <f t="array" ref="U2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24" s="16">
        <f>_xlfn.XLOOKUP(Шаблон_Формулы[[#This Row],[21]],Курс_USD[Дата],Курс_USD[Курс],,0,1)</f>
        <v>11445.03</v>
      </c>
      <c r="W24" s="16">
        <f>Шаблон_Формулы!$T24*Шаблон_Формулы!$V24</f>
        <v>132762348.00000001</v>
      </c>
      <c r="Y24" s="16">
        <f>Шаблон_Формулы!$W24+Шаблон_Формулы!$X24</f>
        <v>132762348.00000001</v>
      </c>
      <c r="Z24" s="14" t="str">
        <f>_xlfn.XLOOKUP($A24,Centrum[Индекс],Centrum[Transport co invoice no/ 
Номер инвойса ТК],"",0,1)</f>
        <v>CNT-FS230001670</v>
      </c>
    </row>
    <row r="25" spans="1:26" s="11" customFormat="1" x14ac:dyDescent="0.3">
      <c r="A25" s="14">
        <v>21</v>
      </c>
      <c r="B25" s="11" t="str">
        <f>_xlfn.XLOOKUP($A25,Centrum[Индекс],Centrum[Carrier/ Перевозчик],"",0,1)</f>
        <v>CENTRUM AVIATION FZCO</v>
      </c>
      <c r="C25" s="11" t="str">
        <f>_xlfn.XLOOKUP($A25,Centrum[Индекс],Centrum[Country /  Страна],"",0,1)</f>
        <v>KOREA</v>
      </c>
      <c r="D25" s="11" t="str">
        <f>_xlfn.XLOOKUP($A25,Centrum[Индекс],Centrum[Container num./ 
№ контейнера],"",0,1)</f>
        <v>FESU5218262</v>
      </c>
      <c r="E25" s="11" t="str">
        <f>_xlfn.XLOOKUP($A25,Centrum[Индекс],Centrum[Supplier/
Поставщик],"",0,1)</f>
        <v>GM KOREA COMPANY</v>
      </c>
      <c r="F25" s="11" t="str">
        <f>_xlfn.XLOOKUP($A25,Centrum[Индекс],Centrum[Shippers invoice no/ 
Номер инвойса поставщика],"",1)</f>
        <v>TJAUZ37132C01</v>
      </c>
      <c r="G25" s="15">
        <f>_xlfn.XLOOKUP($A25,Centrum[Индекс],Centrum[Invoice value / Стоимость груза в к-ре по инвойсу],"",0,1)</f>
        <v>53268.2</v>
      </c>
      <c r="H25" s="14" t="s">
        <v>40</v>
      </c>
      <c r="I25" s="11">
        <f>_xlfn.XLOOKUP($A25,Centrum[Индекс],Centrum[CBM on the shipper/ 
CBM по поставщику],"",0,1)</f>
        <v>66.656000000000006</v>
      </c>
      <c r="J25" s="16">
        <f>_xlfn.XLOOKUP($A25,Centrum[Индекс],Centrum[Gross weight of cont// 
Гросс.вес по конт.],"",0,1)</f>
        <v>5381</v>
      </c>
      <c r="K25" s="17" t="str">
        <f>_xlfn.XLOOKUP($A25,Centrum[Индекс],Centrum[Route/ Маршрут (TSR/TCR)],"",0,1)</f>
        <v>TSR</v>
      </c>
      <c r="L25" s="11" t="str">
        <f>_xlfn.XLOOKUP($A25,Centrum[Индекс],Centrum[Условия поставки],"",0,1)</f>
        <v>BUSAN (FOB/P-D)</v>
      </c>
      <c r="M25" s="11" t="str">
        <f>_xlfn.XLOOKUP($A25,Centrum[Индекс],Centrum[№ HBL date / 
№/ дата коносамента],"",0,1)</f>
        <v>FSIMPUAS229366</v>
      </c>
      <c r="N25" s="11" t="str">
        <f>_xlfn.XLOOKUP($A25,Centrum[Индекс],Centrum[№ MBL / 
№/ коносамента],"",0,1)</f>
        <v>FSCOPUVV386631</v>
      </c>
      <c r="O25" s="8">
        <f>(_xlfn.XLOOKUP($A25,Centrum[Индекс],Centrum[Date on board / Дата погрузки на судно],"",0,1))*1</f>
        <v>44979</v>
      </c>
      <c r="P25" s="8">
        <f>(_xlfn.XLOOKUP($A25,Centrum[Индекс],Centrum[Date of arrival to Sary-Agach/ Дата прибытия на Сары-Агач],"",0,1))*1</f>
        <v>45034</v>
      </c>
      <c r="Q25" s="14" t="str">
        <f>_xlfn.XLOOKUP($A25,Centrum[Индекс],Centrum[Container type/ 
Тип контейнера],"",0,1)</f>
        <v>40'HC</v>
      </c>
      <c r="R25" s="16">
        <f>_xlfn.XLOOKUP($A25,Centrum[Индекс],Centrum[Transportation cost per supplier/ 
Cтоимость перевозки по поставщикам],0,0,1)</f>
        <v>10550</v>
      </c>
      <c r="S25" s="16">
        <f>Шаблон_Формулы!$T25-Шаблон_Формулы!$R25</f>
        <v>0</v>
      </c>
      <c r="T25" s="16">
        <f>_xlfn.XLOOKUP($A25,Centrum[Индекс],Centrum[Transportation total amount / Общая стоимость перевозки],0,0,1)</f>
        <v>10550</v>
      </c>
      <c r="U25" s="12" cm="1">
        <f t="array" ref="U2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25" s="16">
        <f>_xlfn.XLOOKUP(Шаблон_Формулы[[#This Row],[21]],Курс_USD[Дата],Курс_USD[Курс],,0,1)</f>
        <v>11445.03</v>
      </c>
      <c r="W25" s="16">
        <f>Шаблон_Формулы!$T25*Шаблон_Формулы!$V25</f>
        <v>120745066.5</v>
      </c>
      <c r="Y25" s="16">
        <f>Шаблон_Формулы!$W25+Шаблон_Формулы!$X25</f>
        <v>120745066.5</v>
      </c>
      <c r="Z25" s="14" t="str">
        <f>_xlfn.XLOOKUP($A25,Centrum[Индекс],Centrum[Transport co invoice no/ 
Номер инвойса ТК],"",0,1)</f>
        <v>CNT-FS230001670</v>
      </c>
    </row>
    <row r="26" spans="1:26" s="11" customFormat="1" x14ac:dyDescent="0.3">
      <c r="A26" s="14">
        <v>22</v>
      </c>
      <c r="B26" s="11" t="str">
        <f>_xlfn.XLOOKUP($A26,Centrum[Индекс],Centrum[Carrier/ Перевозчик],"",0,1)</f>
        <v>CENTRUM AVIATION FZCO</v>
      </c>
      <c r="C26" s="11" t="str">
        <f>_xlfn.XLOOKUP($A26,Centrum[Индекс],Centrum[Country /  Страна],"",0,1)</f>
        <v>KOREA</v>
      </c>
      <c r="D26" s="11" t="str">
        <f>_xlfn.XLOOKUP($A26,Centrum[Индекс],Centrum[Container num./ 
№ контейнера],"",0,1)</f>
        <v>FESU5225976</v>
      </c>
      <c r="E26" s="11" t="str">
        <f>_xlfn.XLOOKUP($A26,Centrum[Индекс],Centrum[Supplier/
Поставщик],"",0,1)</f>
        <v>GM KOREA COMPANY</v>
      </c>
      <c r="F26" s="11" t="str">
        <f>_xlfn.XLOOKUP($A26,Centrum[Индекс],Centrum[Shippers invoice no/ 
Номер инвойса поставщика],"",1)</f>
        <v>TJAUZ37130A01</v>
      </c>
      <c r="G26" s="15">
        <f>_xlfn.XLOOKUP($A26,Centrum[Индекс],Centrum[Invoice value / Стоимость груза в к-ре по инвойсу],"",0,1)</f>
        <v>118100.32</v>
      </c>
      <c r="H26" s="14" t="s">
        <v>40</v>
      </c>
      <c r="I26" s="11">
        <f>_xlfn.XLOOKUP($A26,Centrum[Индекс],Centrum[CBM on the shipper/ 
CBM по поставщику],"",0,1)</f>
        <v>67.691000000000003</v>
      </c>
      <c r="J26" s="16">
        <f>_xlfn.XLOOKUP($A26,Centrum[Индекс],Centrum[Gross weight of cont// 
Гросс.вес по конт.],"",0,1)</f>
        <v>18208</v>
      </c>
      <c r="K26" s="17" t="str">
        <f>_xlfn.XLOOKUP($A26,Centrum[Индекс],Centrum[Route/ Маршрут (TSR/TCR)],"",0,1)</f>
        <v>TSR</v>
      </c>
      <c r="L26" s="11" t="str">
        <f>_xlfn.XLOOKUP($A26,Centrum[Индекс],Centrum[Условия поставки],"",0,1)</f>
        <v>INCHEON (FOB/P-D)</v>
      </c>
      <c r="M26" s="11" t="str">
        <f>_xlfn.XLOOKUP($A26,Centrum[Индекс],Centrum[№ HBL date / 
№/ дата коносамента],"",0,1)</f>
        <v>FSIMINAS229362</v>
      </c>
      <c r="N26" s="11" t="str">
        <f>_xlfn.XLOOKUP($A26,Centrum[Индекс],Centrum[№ MBL / 
№/ коносамента],"",0,1)</f>
        <v>FSCOPUVV386626</v>
      </c>
      <c r="O26" s="8">
        <f>(_xlfn.XLOOKUP($A26,Centrum[Индекс],Centrum[Date on board / Дата погрузки на судно],"",0,1))*1</f>
        <v>44979</v>
      </c>
      <c r="P26" s="8">
        <f>(_xlfn.XLOOKUP($A26,Centrum[Индекс],Centrum[Date of arrival to Sary-Agach/ Дата прибытия на Сары-Агач],"",0,1))*1</f>
        <v>45034</v>
      </c>
      <c r="Q26" s="14" t="str">
        <f>_xlfn.XLOOKUP($A26,Centrum[Индекс],Centrum[Container type/ 
Тип контейнера],"",0,1)</f>
        <v>40'HC</v>
      </c>
      <c r="R26" s="16">
        <f>_xlfn.XLOOKUP($A26,Centrum[Индекс],Centrum[Transportation cost per supplier/ 
Cтоимость перевозки по поставщикам],0,0,1)</f>
        <v>10850</v>
      </c>
      <c r="S26" s="16">
        <f>Шаблон_Формулы!$T26-Шаблон_Формулы!$R26</f>
        <v>0</v>
      </c>
      <c r="T26" s="16">
        <f>_xlfn.XLOOKUP($A26,Centrum[Индекс],Centrum[Transportation total amount / Общая стоимость перевозки],0,0,1)</f>
        <v>10850</v>
      </c>
      <c r="U26" s="12" cm="1">
        <f t="array" ref="U2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26" s="16">
        <f>_xlfn.XLOOKUP(Шаблон_Формулы[[#This Row],[21]],Курс_USD[Дата],Курс_USD[Курс],,0,1)</f>
        <v>11445.03</v>
      </c>
      <c r="W26" s="16">
        <f>Шаблон_Формулы!$T26*Шаблон_Формулы!$V26</f>
        <v>124178575.5</v>
      </c>
      <c r="Y26" s="16">
        <f>Шаблон_Формулы!$W26+Шаблон_Формулы!$X26</f>
        <v>124178575.5</v>
      </c>
      <c r="Z26" s="14" t="str">
        <f>_xlfn.XLOOKUP($A26,Centrum[Индекс],Centrum[Transport co invoice no/ 
Номер инвойса ТК],"",0,1)</f>
        <v>CNT-FS230001670</v>
      </c>
    </row>
    <row r="27" spans="1:26" s="11" customFormat="1" x14ac:dyDescent="0.3">
      <c r="A27" s="14">
        <v>23</v>
      </c>
      <c r="B27" s="11" t="str">
        <f>_xlfn.XLOOKUP($A27,Centrum[Индекс],Centrum[Carrier/ Перевозчик],"",0,1)</f>
        <v>CENTRUM AVIATION FZCO</v>
      </c>
      <c r="C27" s="11" t="str">
        <f>_xlfn.XLOOKUP($A27,Centrum[Индекс],Centrum[Country /  Страна],"",0,1)</f>
        <v>KOREA</v>
      </c>
      <c r="D27" s="11" t="str">
        <f>_xlfn.XLOOKUP($A27,Centrum[Индекс],Centrum[Container num./ 
№ контейнера],"",0,1)</f>
        <v>FESU5228050</v>
      </c>
      <c r="E27" s="11" t="str">
        <f>_xlfn.XLOOKUP($A27,Centrum[Индекс],Centrum[Supplier/
Поставщик],"",0,1)</f>
        <v>GM KOREA COMPANY</v>
      </c>
      <c r="F27" s="11" t="str">
        <f>_xlfn.XLOOKUP($A27,Centrum[Индекс],Centrum[Shippers invoice no/ 
Номер инвойса поставщика],"",1)</f>
        <v>TJAUZ37130A01</v>
      </c>
      <c r="G27" s="15">
        <f>_xlfn.XLOOKUP($A27,Centrum[Индекс],Centrum[Invoice value / Стоимость груза в к-ре по инвойсу],"",0,1)</f>
        <v>59273.72</v>
      </c>
      <c r="H27" s="14" t="s">
        <v>40</v>
      </c>
      <c r="I27" s="11">
        <f>_xlfn.XLOOKUP($A27,Centrum[Индекс],Centrum[CBM on the shipper/ 
CBM по поставщику],"",0,1)</f>
        <v>67.253</v>
      </c>
      <c r="J27" s="16">
        <f>_xlfn.XLOOKUP($A27,Centrum[Индекс],Centrum[Gross weight of cont// 
Гросс.вес по конт.],"",0,1)</f>
        <v>16672</v>
      </c>
      <c r="K27" s="17" t="str">
        <f>_xlfn.XLOOKUP($A27,Centrum[Индекс],Centrum[Route/ Маршрут (TSR/TCR)],"",0,1)</f>
        <v>TSR</v>
      </c>
      <c r="L27" s="11" t="str">
        <f>_xlfn.XLOOKUP($A27,Centrum[Индекс],Centrum[Условия поставки],"",0,1)</f>
        <v>INCHEON (FOB/P-D)</v>
      </c>
      <c r="M27" s="11" t="str">
        <f>_xlfn.XLOOKUP($A27,Centrum[Индекс],Centrum[№ HBL date / 
№/ дата коносамента],"",0,1)</f>
        <v>FSIMINAS229362</v>
      </c>
      <c r="N27" s="11" t="str">
        <f>_xlfn.XLOOKUP($A27,Centrum[Индекс],Centrum[№ MBL / 
№/ коносамента],"",0,1)</f>
        <v>FSCOPUVV386626</v>
      </c>
      <c r="O27" s="8">
        <f>(_xlfn.XLOOKUP($A27,Centrum[Индекс],Centrum[Date on board / Дата погрузки на судно],"",0,1))*1</f>
        <v>44979</v>
      </c>
      <c r="P27" s="8">
        <f>(_xlfn.XLOOKUP($A27,Centrum[Индекс],Centrum[Date of arrival to Sary-Agach/ Дата прибытия на Сары-Агач],"",0,1))*1</f>
        <v>45034</v>
      </c>
      <c r="Q27" s="14" t="str">
        <f>_xlfn.XLOOKUP($A27,Centrum[Индекс],Centrum[Container type/ 
Тип контейнера],"",0,1)</f>
        <v>40'HC</v>
      </c>
      <c r="R27" s="16">
        <f>_xlfn.XLOOKUP($A27,Centrum[Индекс],Centrum[Transportation cost per supplier/ 
Cтоимость перевозки по поставщикам],0,0,1)</f>
        <v>10850</v>
      </c>
      <c r="S27" s="16">
        <f>Шаблон_Формулы!$T27-Шаблон_Формулы!$R27</f>
        <v>0</v>
      </c>
      <c r="T27" s="16">
        <f>_xlfn.XLOOKUP($A27,Centrum[Индекс],Centrum[Transportation total amount / Общая стоимость перевозки],0,0,1)</f>
        <v>10850</v>
      </c>
      <c r="U27" s="12" cm="1">
        <f t="array" ref="U2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27" s="16">
        <f>_xlfn.XLOOKUP(Шаблон_Формулы[[#This Row],[21]],Курс_USD[Дата],Курс_USD[Курс],,0,1)</f>
        <v>11445.03</v>
      </c>
      <c r="W27" s="16">
        <f>Шаблон_Формулы!$T27*Шаблон_Формулы!$V27</f>
        <v>124178575.5</v>
      </c>
      <c r="Y27" s="16">
        <f>Шаблон_Формулы!$W27+Шаблон_Формулы!$X27</f>
        <v>124178575.5</v>
      </c>
      <c r="Z27" s="14" t="str">
        <f>_xlfn.XLOOKUP($A27,Centrum[Индекс],Centrum[Transport co invoice no/ 
Номер инвойса ТК],"",0,1)</f>
        <v>CNT-FS230001670</v>
      </c>
    </row>
    <row r="28" spans="1:26" s="11" customFormat="1" x14ac:dyDescent="0.3">
      <c r="A28" s="14">
        <v>24</v>
      </c>
      <c r="B28" s="11" t="str">
        <f>_xlfn.XLOOKUP($A28,Centrum[Индекс],Centrum[Carrier/ Перевозчик],"",0,1)</f>
        <v>CENTRUM AVIATION FZCO</v>
      </c>
      <c r="C28" s="11" t="str">
        <f>_xlfn.XLOOKUP($A28,Centrum[Индекс],Centrum[Country /  Страна],"",0,1)</f>
        <v>KOREA</v>
      </c>
      <c r="D28" s="11" t="str">
        <f>_xlfn.XLOOKUP($A28,Centrum[Индекс],Centrum[Container num./ 
№ контейнера],"",0,1)</f>
        <v>FESU5233924</v>
      </c>
      <c r="E28" s="11" t="str">
        <f>_xlfn.XLOOKUP($A28,Centrum[Индекс],Centrum[Supplier/
Поставщик],"",0,1)</f>
        <v>GM KOREA COMPANY</v>
      </c>
      <c r="F28" s="11" t="str">
        <f>_xlfn.XLOOKUP($A28,Centrum[Индекс],Centrum[Shippers invoice no/ 
Номер инвойса поставщика],"",1)</f>
        <v>TJAUZ37129A01</v>
      </c>
      <c r="G28" s="15">
        <f>_xlfn.XLOOKUP($A28,Centrum[Индекс],Centrum[Invoice value / Стоимость груза в к-ре по инвойсу],"",0,1)</f>
        <v>20059.12</v>
      </c>
      <c r="H28" s="14" t="s">
        <v>40</v>
      </c>
      <c r="I28" s="11">
        <f>_xlfn.XLOOKUP($A28,Centrum[Индекс],Centrum[CBM on the shipper/ 
CBM по поставщику],"",0,1)</f>
        <v>67.637</v>
      </c>
      <c r="J28" s="16">
        <f>_xlfn.XLOOKUP($A28,Centrum[Индекс],Centrum[Gross weight of cont// 
Гросс.вес по конт.],"",0,1)</f>
        <v>7142</v>
      </c>
      <c r="K28" s="17" t="str">
        <f>_xlfn.XLOOKUP($A28,Centrum[Индекс],Centrum[Route/ Маршрут (TSR/TCR)],"",0,1)</f>
        <v>TSR</v>
      </c>
      <c r="L28" s="11" t="str">
        <f>_xlfn.XLOOKUP($A28,Centrum[Индекс],Centrum[Условия поставки],"",0,1)</f>
        <v>KUNSAN (FOB/P-D)</v>
      </c>
      <c r="M28" s="11" t="str">
        <f>_xlfn.XLOOKUP($A28,Centrum[Индекс],Centrum[№ HBL date / 
№/ дата коносамента],"",0,1)</f>
        <v>FSIMPUAS229365</v>
      </c>
      <c r="N28" s="11" t="str">
        <f>_xlfn.XLOOKUP($A28,Centrum[Индекс],Centrum[№ MBL / 
№/ коносамента],"",0,1)</f>
        <v>FSCOPUVV386630</v>
      </c>
      <c r="O28" s="8">
        <f>(_xlfn.XLOOKUP($A28,Centrum[Индекс],Centrum[Date on board / Дата погрузки на судно],"",0,1))*1</f>
        <v>44979</v>
      </c>
      <c r="P28" s="8">
        <f>(_xlfn.XLOOKUP($A28,Centrum[Индекс],Centrum[Date of arrival to Sary-Agach/ Дата прибытия на Сары-Агач],"",0,1))*1</f>
        <v>45034</v>
      </c>
      <c r="Q28" s="14" t="str">
        <f>_xlfn.XLOOKUP($A28,Centrum[Индекс],Centrum[Container type/ 
Тип контейнера],"",0,1)</f>
        <v>40'HC</v>
      </c>
      <c r="R28" s="16">
        <f>_xlfn.XLOOKUP($A28,Centrum[Индекс],Centrum[Transportation cost per supplier/ 
Cтоимость перевозки по поставщикам],0,0,1)</f>
        <v>11600</v>
      </c>
      <c r="S28" s="16">
        <f>Шаблон_Формулы!$T28-Шаблон_Формулы!$R28</f>
        <v>0</v>
      </c>
      <c r="T28" s="16">
        <f>_xlfn.XLOOKUP($A28,Centrum[Индекс],Centrum[Transportation total amount / Общая стоимость перевозки],0,0,1)</f>
        <v>11600</v>
      </c>
      <c r="U28" s="12" cm="1">
        <f t="array" ref="U2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28" s="16">
        <f>_xlfn.XLOOKUP(Шаблон_Формулы[[#This Row],[21]],Курс_USD[Дата],Курс_USD[Курс],,0,1)</f>
        <v>11445.03</v>
      </c>
      <c r="W28" s="16">
        <f>Шаблон_Формулы!$T28*Шаблон_Формулы!$V28</f>
        <v>132762348.00000001</v>
      </c>
      <c r="Y28" s="16">
        <f>Шаблон_Формулы!$W28+Шаблон_Формулы!$X28</f>
        <v>132762348.00000001</v>
      </c>
      <c r="Z28" s="14" t="str">
        <f>_xlfn.XLOOKUP($A28,Centrum[Индекс],Centrum[Transport co invoice no/ 
Номер инвойса ТК],"",0,1)</f>
        <v>CNT-FS230001670</v>
      </c>
    </row>
    <row r="29" spans="1:26" s="11" customFormat="1" x14ac:dyDescent="0.3">
      <c r="A29" s="14">
        <v>25</v>
      </c>
      <c r="B29" s="11" t="str">
        <f>_xlfn.XLOOKUP($A29,Centrum[Индекс],Centrum[Carrier/ Перевозчик],"",0,1)</f>
        <v>CENTRUM AVIATION FZCO</v>
      </c>
      <c r="C29" s="11" t="str">
        <f>_xlfn.XLOOKUP($A29,Centrum[Индекс],Centrum[Country /  Страна],"",0,1)</f>
        <v>KOREA</v>
      </c>
      <c r="D29" s="11" t="str">
        <f>_xlfn.XLOOKUP($A29,Centrum[Индекс],Centrum[Container num./ 
№ контейнера],"",0,1)</f>
        <v>FESU5259404</v>
      </c>
      <c r="E29" s="11" t="str">
        <f>_xlfn.XLOOKUP($A29,Centrum[Индекс],Centrum[Supplier/
Поставщик],"",0,1)</f>
        <v>GM KOREA COMPANY</v>
      </c>
      <c r="F29" s="11" t="str">
        <f>_xlfn.XLOOKUP($A29,Centrum[Индекс],Centrum[Shippers invoice no/ 
Номер инвойса поставщика],"",1)</f>
        <v>TJAUZ37129A01</v>
      </c>
      <c r="G29" s="15">
        <f>_xlfn.XLOOKUP($A29,Centrum[Индекс],Centrum[Invoice value / Стоимость груза в к-ре по инвойсу],"",0,1)</f>
        <v>19490.98</v>
      </c>
      <c r="H29" s="14" t="s">
        <v>40</v>
      </c>
      <c r="I29" s="11">
        <f>_xlfn.XLOOKUP($A29,Centrum[Индекс],Centrum[CBM on the shipper/ 
CBM по поставщику],"",0,1)</f>
        <v>67.488</v>
      </c>
      <c r="J29" s="16">
        <f>_xlfn.XLOOKUP($A29,Centrum[Индекс],Centrum[Gross weight of cont// 
Гросс.вес по конт.],"",0,1)</f>
        <v>6163</v>
      </c>
      <c r="K29" s="17" t="str">
        <f>_xlfn.XLOOKUP($A29,Centrum[Индекс],Centrum[Route/ Маршрут (TSR/TCR)],"",0,1)</f>
        <v>TSR</v>
      </c>
      <c r="L29" s="11" t="str">
        <f>_xlfn.XLOOKUP($A29,Centrum[Индекс],Centrum[Условия поставки],"",0,1)</f>
        <v>KUNSAN (FOB/P-D)</v>
      </c>
      <c r="M29" s="11" t="str">
        <f>_xlfn.XLOOKUP($A29,Centrum[Индекс],Centrum[№ HBL date / 
№/ дата коносамента],"",0,1)</f>
        <v>FSIMPUAS229365</v>
      </c>
      <c r="N29" s="11" t="str">
        <f>_xlfn.XLOOKUP($A29,Centrum[Индекс],Centrum[№ MBL / 
№/ коносамента],"",0,1)</f>
        <v>FSCOPUVV386630</v>
      </c>
      <c r="O29" s="8">
        <f>(_xlfn.XLOOKUP($A29,Centrum[Индекс],Centrum[Date on board / Дата погрузки на судно],"",0,1))*1</f>
        <v>44979</v>
      </c>
      <c r="P29" s="8">
        <f>(_xlfn.XLOOKUP($A29,Centrum[Индекс],Centrum[Date of arrival to Sary-Agach/ Дата прибытия на Сары-Агач],"",0,1))*1</f>
        <v>45034</v>
      </c>
      <c r="Q29" s="14" t="str">
        <f>_xlfn.XLOOKUP($A29,Centrum[Индекс],Centrum[Container type/ 
Тип контейнера],"",0,1)</f>
        <v>40'HC</v>
      </c>
      <c r="R29" s="16">
        <f>_xlfn.XLOOKUP($A29,Centrum[Индекс],Centrum[Transportation cost per supplier/ 
Cтоимость перевозки по поставщикам],0,0,1)</f>
        <v>11600</v>
      </c>
      <c r="S29" s="16">
        <f>Шаблон_Формулы!$T29-Шаблон_Формулы!$R29</f>
        <v>0</v>
      </c>
      <c r="T29" s="16">
        <f>_xlfn.XLOOKUP($A29,Centrum[Индекс],Centrum[Transportation total amount / Общая стоимость перевозки],0,0,1)</f>
        <v>11600</v>
      </c>
      <c r="U29" s="12" cm="1">
        <f t="array" ref="U2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29" s="16">
        <f>_xlfn.XLOOKUP(Шаблон_Формулы[[#This Row],[21]],Курс_USD[Дата],Курс_USD[Курс],,0,1)</f>
        <v>11445.03</v>
      </c>
      <c r="W29" s="16">
        <f>Шаблон_Формулы!$T29*Шаблон_Формулы!$V29</f>
        <v>132762348.00000001</v>
      </c>
      <c r="Y29" s="16">
        <f>Шаблон_Формулы!$W29+Шаблон_Формулы!$X29</f>
        <v>132762348.00000001</v>
      </c>
      <c r="Z29" s="14" t="str">
        <f>_xlfn.XLOOKUP($A29,Centrum[Индекс],Centrum[Transport co invoice no/ 
Номер инвойса ТК],"",0,1)</f>
        <v>CNT-FS230001670</v>
      </c>
    </row>
    <row r="30" spans="1:26" s="11" customFormat="1" x14ac:dyDescent="0.3">
      <c r="A30" s="14">
        <v>26</v>
      </c>
      <c r="B30" s="11" t="str">
        <f>_xlfn.XLOOKUP($A30,Centrum[Индекс],Centrum[Carrier/ Перевозчик],"",0,1)</f>
        <v>CENTRUM AVIATION FZCO</v>
      </c>
      <c r="C30" s="11" t="str">
        <f>_xlfn.XLOOKUP($A30,Centrum[Индекс],Centrum[Country /  Страна],"",0,1)</f>
        <v>KOREA</v>
      </c>
      <c r="D30" s="11" t="str">
        <f>_xlfn.XLOOKUP($A30,Centrum[Индекс],Centrum[Container num./ 
№ контейнера],"",0,1)</f>
        <v>FESU5266743</v>
      </c>
      <c r="E30" s="11" t="str">
        <f>_xlfn.XLOOKUP($A30,Centrum[Индекс],Centrum[Supplier/
Поставщик],"",0,1)</f>
        <v>GM KOREA COMPANY</v>
      </c>
      <c r="F30" s="11" t="str">
        <f>_xlfn.XLOOKUP($A30,Centrum[Индекс],Centrum[Shippers invoice no/ 
Номер инвойса поставщика],"",1)</f>
        <v>TJAUZ37116A01</v>
      </c>
      <c r="G30" s="15">
        <f>_xlfn.XLOOKUP($A30,Centrum[Индекс],Centrum[Invoice value / Стоимость груза в к-ре по инвойсу],"",0,1)</f>
        <v>24850.28</v>
      </c>
      <c r="H30" s="14" t="s">
        <v>40</v>
      </c>
      <c r="I30" s="11">
        <f>_xlfn.XLOOKUP($A30,Centrum[Индекс],Centrum[CBM on the shipper/ 
CBM по поставщику],"",0,1)</f>
        <v>67.83</v>
      </c>
      <c r="J30" s="16">
        <f>_xlfn.XLOOKUP($A30,Centrum[Индекс],Centrum[Gross weight of cont// 
Гросс.вес по конт.],"",0,1)</f>
        <v>7854</v>
      </c>
      <c r="K30" s="17" t="str">
        <f>_xlfn.XLOOKUP($A30,Centrum[Индекс],Centrum[Route/ Маршрут (TSR/TCR)],"",0,1)</f>
        <v>TSR</v>
      </c>
      <c r="L30" s="11" t="str">
        <f>_xlfn.XLOOKUP($A30,Centrum[Индекс],Centrum[Условия поставки],"",0,1)</f>
        <v>KUNSAN (FOB/P-D)</v>
      </c>
      <c r="M30" s="11" t="str">
        <f>_xlfn.XLOOKUP($A30,Centrum[Индекс],Centrum[№ HBL date / 
№/ дата коносамента],"",0,1)</f>
        <v>FSIMPUAS229341</v>
      </c>
      <c r="N30" s="11" t="str">
        <f>_xlfn.XLOOKUP($A30,Centrum[Индекс],Centrum[№ MBL / 
№/ коносамента],"",0,1)</f>
        <v>FSCOPUVV386541</v>
      </c>
      <c r="O30" s="8">
        <f>(_xlfn.XLOOKUP($A30,Centrum[Индекс],Centrum[Date on board / Дата погрузки на судно],"",0,1))*1</f>
        <v>44971</v>
      </c>
      <c r="P30" s="8">
        <f>(_xlfn.XLOOKUP($A30,Centrum[Индекс],Centrum[Date of arrival to Sary-Agach/ Дата прибытия на Сары-Агач],"",0,1))*1</f>
        <v>45034</v>
      </c>
      <c r="Q30" s="14" t="str">
        <f>_xlfn.XLOOKUP($A30,Centrum[Индекс],Centrum[Container type/ 
Тип контейнера],"",0,1)</f>
        <v>40'HC</v>
      </c>
      <c r="R30" s="16">
        <f>_xlfn.XLOOKUP($A30,Centrum[Индекс],Centrum[Transportation cost per supplier/ 
Cтоимость перевозки по поставщикам],0,0,1)</f>
        <v>11600</v>
      </c>
      <c r="S30" s="16">
        <f>Шаблон_Формулы!$T30-Шаблон_Формулы!$R30</f>
        <v>0</v>
      </c>
      <c r="T30" s="16">
        <f>_xlfn.XLOOKUP($A30,Centrum[Индекс],Centrum[Transportation total amount / Общая стоимость перевозки],0,0,1)</f>
        <v>11600</v>
      </c>
      <c r="U30" s="12" cm="1">
        <f t="array" ref="U3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30" s="16">
        <f>_xlfn.XLOOKUP(Шаблон_Формулы[[#This Row],[21]],Курс_USD[Дата],Курс_USD[Курс],,0,1)</f>
        <v>11445.03</v>
      </c>
      <c r="W30" s="16">
        <f>Шаблон_Формулы!$T30*Шаблон_Формулы!$V30</f>
        <v>132762348.00000001</v>
      </c>
      <c r="Y30" s="16">
        <f>Шаблон_Формулы!$W30+Шаблон_Формулы!$X30</f>
        <v>132762348.00000001</v>
      </c>
      <c r="Z30" s="14" t="str">
        <f>_xlfn.XLOOKUP($A30,Centrum[Индекс],Centrum[Transport co invoice no/ 
Номер инвойса ТК],"",0,1)</f>
        <v>CNT-FS230001670</v>
      </c>
    </row>
    <row r="31" spans="1:26" s="11" customFormat="1" x14ac:dyDescent="0.3">
      <c r="A31" s="14">
        <v>27</v>
      </c>
      <c r="B31" s="11" t="str">
        <f>_xlfn.XLOOKUP($A31,Centrum[Индекс],Centrum[Carrier/ Перевозчик],"",0,1)</f>
        <v>CENTRUM AVIATION FZCO</v>
      </c>
      <c r="C31" s="11" t="str">
        <f>_xlfn.XLOOKUP($A31,Centrum[Индекс],Centrum[Country /  Страна],"",0,1)</f>
        <v>KOREA</v>
      </c>
      <c r="D31" s="11" t="str">
        <f>_xlfn.XLOOKUP($A31,Centrum[Индекс],Centrum[Container num./ 
№ контейнера],"",0,1)</f>
        <v>FESU5267101</v>
      </c>
      <c r="E31" s="11" t="str">
        <f>_xlfn.XLOOKUP($A31,Centrum[Индекс],Centrum[Supplier/
Поставщик],"",0,1)</f>
        <v>GM KOREA COMPANY</v>
      </c>
      <c r="F31" s="11" t="str">
        <f>_xlfn.XLOOKUP($A31,Centrum[Индекс],Centrum[Shippers invoice no/ 
Номер инвойса поставщика],"",1)</f>
        <v>TJAUZ37116A01</v>
      </c>
      <c r="G31" s="15">
        <f>_xlfn.XLOOKUP($A31,Centrum[Индекс],Centrum[Invoice value / Стоимость груза в к-ре по инвойсу],"",0,1)</f>
        <v>25218.44</v>
      </c>
      <c r="H31" s="14" t="s">
        <v>40</v>
      </c>
      <c r="I31" s="11">
        <f>_xlfn.XLOOKUP($A31,Centrum[Индекс],Centrum[CBM on the shipper/ 
CBM по поставщику],"",0,1)</f>
        <v>67.83</v>
      </c>
      <c r="J31" s="16">
        <f>_xlfn.XLOOKUP($A31,Centrum[Индекс],Centrum[Gross weight of cont// 
Гросс.вес по конт.],"",0,1)</f>
        <v>7994</v>
      </c>
      <c r="K31" s="17" t="str">
        <f>_xlfn.XLOOKUP($A31,Centrum[Индекс],Centrum[Route/ Маршрут (TSR/TCR)],"",0,1)</f>
        <v>TSR</v>
      </c>
      <c r="L31" s="11" t="str">
        <f>_xlfn.XLOOKUP($A31,Centrum[Индекс],Centrum[Условия поставки],"",0,1)</f>
        <v>KUNSAN (FOB/P-D)</v>
      </c>
      <c r="M31" s="11" t="str">
        <f>_xlfn.XLOOKUP($A31,Centrum[Индекс],Centrum[№ HBL date / 
№/ дата коносамента],"",0,1)</f>
        <v>FSIMPUAS229341</v>
      </c>
      <c r="N31" s="11" t="str">
        <f>_xlfn.XLOOKUP($A31,Centrum[Индекс],Centrum[№ MBL / 
№/ коносамента],"",0,1)</f>
        <v>FSCOPUVV386541</v>
      </c>
      <c r="O31" s="8">
        <f>(_xlfn.XLOOKUP($A31,Centrum[Индекс],Centrum[Date on board / Дата погрузки на судно],"",0,1))*1</f>
        <v>44971</v>
      </c>
      <c r="P31" s="8">
        <f>(_xlfn.XLOOKUP($A31,Centrum[Индекс],Centrum[Date of arrival to Sary-Agach/ Дата прибытия на Сары-Агач],"",0,1))*1</f>
        <v>45034</v>
      </c>
      <c r="Q31" s="14" t="str">
        <f>_xlfn.XLOOKUP($A31,Centrum[Индекс],Centrum[Container type/ 
Тип контейнера],"",0,1)</f>
        <v>40'HC</v>
      </c>
      <c r="R31" s="16">
        <f>_xlfn.XLOOKUP($A31,Centrum[Индекс],Centrum[Transportation cost per supplier/ 
Cтоимость перевозки по поставщикам],0,0,1)</f>
        <v>11600</v>
      </c>
      <c r="S31" s="16">
        <f>Шаблон_Формулы!$T31-Шаблон_Формулы!$R31</f>
        <v>0</v>
      </c>
      <c r="T31" s="16">
        <f>_xlfn.XLOOKUP($A31,Centrum[Индекс],Centrum[Transportation total amount / Общая стоимость перевозки],0,0,1)</f>
        <v>11600</v>
      </c>
      <c r="U31" s="12" cm="1">
        <f t="array" ref="U3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31" s="16">
        <f>_xlfn.XLOOKUP(Шаблон_Формулы[[#This Row],[21]],Курс_USD[Дата],Курс_USD[Курс],,0,1)</f>
        <v>11445.03</v>
      </c>
      <c r="W31" s="16">
        <f>Шаблон_Формулы!$T31*Шаблон_Формулы!$V31</f>
        <v>132762348.00000001</v>
      </c>
      <c r="Y31" s="16">
        <f>Шаблон_Формулы!$W31+Шаблон_Формулы!$X31</f>
        <v>132762348.00000001</v>
      </c>
      <c r="Z31" s="14" t="str">
        <f>_xlfn.XLOOKUP($A31,Centrum[Индекс],Centrum[Transport co invoice no/ 
Номер инвойса ТК],"",0,1)</f>
        <v>CNT-FS230001670</v>
      </c>
    </row>
    <row r="32" spans="1:26" s="11" customFormat="1" x14ac:dyDescent="0.3">
      <c r="A32" s="14">
        <v>28</v>
      </c>
      <c r="B32" s="11" t="str">
        <f>_xlfn.XLOOKUP($A32,Centrum[Индекс],Centrum[Carrier/ Перевозчик],"",0,1)</f>
        <v>CENTRUM AVIATION FZCO</v>
      </c>
      <c r="C32" s="11" t="str">
        <f>_xlfn.XLOOKUP($A32,Centrum[Индекс],Centrum[Country /  Страна],"",0,1)</f>
        <v>KOREA</v>
      </c>
      <c r="D32" s="11" t="str">
        <f>_xlfn.XLOOKUP($A32,Centrum[Индекс],Centrum[Container num./ 
№ контейнера],"",0,1)</f>
        <v>FESU5270759</v>
      </c>
      <c r="E32" s="11" t="str">
        <f>_xlfn.XLOOKUP($A32,Centrum[Индекс],Centrum[Supplier/
Поставщик],"",0,1)</f>
        <v>GM KOREA COMPANY</v>
      </c>
      <c r="F32" s="11" t="str">
        <f>_xlfn.XLOOKUP($A32,Centrum[Индекс],Centrum[Shippers invoice no/ 
Номер инвойса поставщика],"",1)</f>
        <v>TJAUZ37133A01</v>
      </c>
      <c r="G32" s="15">
        <f>_xlfn.XLOOKUP($A32,Centrum[Индекс],Centrum[Invoice value / Стоимость груза в к-ре по инвойсу],"",0,1)</f>
        <v>98565.43</v>
      </c>
      <c r="H32" s="14" t="s">
        <v>40</v>
      </c>
      <c r="I32" s="11">
        <f>_xlfn.XLOOKUP($A32,Centrum[Индекс],Centrum[CBM on the shipper/ 
CBM по поставщику],"",0,1)</f>
        <v>67.488</v>
      </c>
      <c r="J32" s="16">
        <f>_xlfn.XLOOKUP($A32,Centrum[Индекс],Centrum[Gross weight of cont// 
Гросс.вес по конт.],"",0,1)</f>
        <v>8952</v>
      </c>
      <c r="K32" s="17" t="str">
        <f>_xlfn.XLOOKUP($A32,Centrum[Индекс],Centrum[Route/ Маршрут (TSR/TCR)],"",0,1)</f>
        <v>TSR</v>
      </c>
      <c r="L32" s="11" t="str">
        <f>_xlfn.XLOOKUP($A32,Centrum[Индекс],Centrum[Условия поставки],"",0,1)</f>
        <v>INCHEON (FOB/P-D)</v>
      </c>
      <c r="M32" s="11" t="str">
        <f>_xlfn.XLOOKUP($A32,Centrum[Индекс],Centrum[№ HBL date / 
№/ дата коносамента],"",0,1)</f>
        <v>FSIMINAS229363</v>
      </c>
      <c r="N32" s="11" t="str">
        <f>_xlfn.XLOOKUP($A32,Centrum[Индекс],Centrum[№ MBL / 
№/ коносамента],"",0,1)</f>
        <v>FSCOPUVV386627</v>
      </c>
      <c r="O32" s="8">
        <f>(_xlfn.XLOOKUP($A32,Centrum[Индекс],Centrum[Date on board / Дата погрузки на судно],"",0,1))*1</f>
        <v>44979</v>
      </c>
      <c r="P32" s="8">
        <f>(_xlfn.XLOOKUP($A32,Centrum[Индекс],Centrum[Date of arrival to Sary-Agach/ Дата прибытия на Сары-Агач],"",0,1))*1</f>
        <v>45034</v>
      </c>
      <c r="Q32" s="14" t="str">
        <f>_xlfn.XLOOKUP($A32,Centrum[Индекс],Centrum[Container type/ 
Тип контейнера],"",0,1)</f>
        <v>40'HC</v>
      </c>
      <c r="R32" s="16">
        <f>_xlfn.XLOOKUP($A32,Centrum[Индекс],Centrum[Transportation cost per supplier/ 
Cтоимость перевозки по поставщикам],0,0,1)</f>
        <v>10850</v>
      </c>
      <c r="S32" s="16">
        <f>Шаблон_Формулы!$T32-Шаблон_Формулы!$R32</f>
        <v>0</v>
      </c>
      <c r="T32" s="16">
        <f>_xlfn.XLOOKUP($A32,Centrum[Индекс],Centrum[Transportation total amount / Общая стоимость перевозки],0,0,1)</f>
        <v>10850</v>
      </c>
      <c r="U32" s="12" cm="1">
        <f t="array" ref="U3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32" s="16">
        <f>_xlfn.XLOOKUP(Шаблон_Формулы[[#This Row],[21]],Курс_USD[Дата],Курс_USD[Курс],,0,1)</f>
        <v>11445.03</v>
      </c>
      <c r="W32" s="16">
        <f>Шаблон_Формулы!$T32*Шаблон_Формулы!$V32</f>
        <v>124178575.5</v>
      </c>
      <c r="Y32" s="16">
        <f>Шаблон_Формулы!$W32+Шаблон_Формулы!$X32</f>
        <v>124178575.5</v>
      </c>
      <c r="Z32" s="14" t="str">
        <f>_xlfn.XLOOKUP($A32,Centrum[Индекс],Centrum[Transport co invoice no/ 
Номер инвойса ТК],"",0,1)</f>
        <v>CNT-FS230001670</v>
      </c>
    </row>
    <row r="33" spans="1:26" s="11" customFormat="1" x14ac:dyDescent="0.3">
      <c r="A33" s="14">
        <v>29</v>
      </c>
      <c r="B33" s="11" t="str">
        <f>_xlfn.XLOOKUP($A33,Centrum[Индекс],Centrum[Carrier/ Перевозчик],"",0,1)</f>
        <v>CENTRUM AVIATION FZCO</v>
      </c>
      <c r="C33" s="11" t="str">
        <f>_xlfn.XLOOKUP($A33,Centrum[Индекс],Centrum[Country /  Страна],"",0,1)</f>
        <v>KOREA</v>
      </c>
      <c r="D33" s="11" t="str">
        <f>_xlfn.XLOOKUP($A33,Centrum[Индекс],Centrum[Container num./ 
№ контейнера],"",0,1)</f>
        <v>FESU5278174</v>
      </c>
      <c r="E33" s="11" t="str">
        <f>_xlfn.XLOOKUP($A33,Centrum[Индекс],Centrum[Supplier/
Поставщик],"",0,1)</f>
        <v>GM KOREA COMPANY</v>
      </c>
      <c r="F33" s="11" t="str">
        <f>_xlfn.XLOOKUP($A33,Centrum[Индекс],Centrum[Shippers invoice no/ 
Номер инвойса поставщика],"",1)</f>
        <v>TJAUZ37132C01; UZ2302171S</v>
      </c>
      <c r="G33" s="15">
        <f>_xlfn.XLOOKUP($A33,Centrum[Индекс],Centrum[Invoice value / Стоимость груза в к-ре по инвойсу],"",0,1)</f>
        <v>130614</v>
      </c>
      <c r="H33" s="14" t="s">
        <v>40</v>
      </c>
      <c r="I33" s="11">
        <f>_xlfn.XLOOKUP($A33,Centrum[Индекс],Centrum[CBM on the shipper/ 
CBM по поставщику],"",0,1)</f>
        <v>44.722999999999999</v>
      </c>
      <c r="J33" s="16">
        <f>_xlfn.XLOOKUP($A33,Centrum[Индекс],Centrum[Gross weight of cont// 
Гросс.вес по конт.],"",0,1)</f>
        <v>20542</v>
      </c>
      <c r="K33" s="17" t="str">
        <f>_xlfn.XLOOKUP($A33,Centrum[Индекс],Centrum[Route/ Маршрут (TSR/TCR)],"",0,1)</f>
        <v>TSR</v>
      </c>
      <c r="L33" s="11" t="str">
        <f>_xlfn.XLOOKUP($A33,Centrum[Индекс],Centrum[Условия поставки],"",0,1)</f>
        <v>BUSAN (FOB/P-D)</v>
      </c>
      <c r="M33" s="11" t="str">
        <f>_xlfn.XLOOKUP($A33,Centrum[Индекс],Centrum[№ HBL date / 
№/ дата коносамента],"",0,1)</f>
        <v>FSIMPUAS229366; FSIMPUAS229367</v>
      </c>
      <c r="N33" s="11" t="str">
        <f>_xlfn.XLOOKUP($A33,Centrum[Индекс],Centrum[№ MBL / 
№/ коносамента],"",0,1)</f>
        <v>FSCOPUVV386631; FSCOPUVV386632</v>
      </c>
      <c r="O33" s="8">
        <f>(_xlfn.XLOOKUP($A33,Centrum[Индекс],Centrum[Date on board / Дата погрузки на судно],"",0,1))*1</f>
        <v>44979</v>
      </c>
      <c r="P33" s="8">
        <f>(_xlfn.XLOOKUP($A33,Centrum[Индекс],Centrum[Date of arrival to Sary-Agach/ Дата прибытия на Сары-Агач],"",0,1))*1</f>
        <v>45034</v>
      </c>
      <c r="Q33" s="14" t="str">
        <f>_xlfn.XLOOKUP($A33,Centrum[Индекс],Centrum[Container type/ 
Тип контейнера],"",0,1)</f>
        <v>40'HC</v>
      </c>
      <c r="R33" s="16">
        <f>_xlfn.XLOOKUP($A33,Centrum[Индекс],Centrum[Transportation cost per supplier/ 
Cтоимость перевозки по поставщикам],0,0,1)</f>
        <v>10550</v>
      </c>
      <c r="S33" s="16">
        <f>Шаблон_Формулы!$T33-Шаблон_Формулы!$R33</f>
        <v>-108.51000000000022</v>
      </c>
      <c r="T33" s="16">
        <f>_xlfn.XLOOKUP($A33,Centrum[Индекс],Centrum[Transportation total amount / Общая стоимость перевозки],0,0,1)</f>
        <v>10441.49</v>
      </c>
      <c r="U33" s="12" cm="1">
        <f t="array" ref="U3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33" s="16">
        <f>_xlfn.XLOOKUP(Шаблон_Формулы[[#This Row],[21]],Курс_USD[Дата],Курс_USD[Курс],,0,1)</f>
        <v>11445.03</v>
      </c>
      <c r="W33" s="16">
        <f>Шаблон_Формулы!$T33*Шаблон_Формулы!$V33</f>
        <v>119503166.29470001</v>
      </c>
      <c r="Y33" s="16">
        <f>Шаблон_Формулы!$W33+Шаблон_Формулы!$X33</f>
        <v>119503166.29470001</v>
      </c>
      <c r="Z33" s="14" t="str">
        <f>_xlfn.XLOOKUP($A33,Centrum[Индекс],Centrum[Transport co invoice no/ 
Номер инвойса ТК],"",0,1)</f>
        <v>CNT-FS230001670</v>
      </c>
    </row>
    <row r="34" spans="1:26" s="11" customFormat="1" x14ac:dyDescent="0.3">
      <c r="A34" s="14">
        <v>30</v>
      </c>
      <c r="B34" s="11" t="str">
        <f>_xlfn.XLOOKUP($A34,Centrum[Индекс],Centrum[Carrier/ Перевозчик],"",0,1)</f>
        <v>CENTRUM AVIATION FZCO</v>
      </c>
      <c r="C34" s="11" t="str">
        <f>_xlfn.XLOOKUP($A34,Centrum[Индекс],Centrum[Country /  Страна],"",0,1)</f>
        <v>KOREA</v>
      </c>
      <c r="D34" s="11" t="str">
        <f>_xlfn.XLOOKUP($A34,Centrum[Индекс],Centrum[Container num./ 
№ контейнера],"",0,1)</f>
        <v>FESU5281500</v>
      </c>
      <c r="E34" s="11" t="str">
        <f>_xlfn.XLOOKUP($A34,Centrum[Индекс],Centrum[Supplier/
Поставщик],"",0,1)</f>
        <v>GM KOREA COMPANY</v>
      </c>
      <c r="F34" s="11" t="str">
        <f>_xlfn.XLOOKUP($A34,Centrum[Индекс],Centrum[Shippers invoice no/ 
Номер инвойса поставщика],"",1)</f>
        <v>TJAUZ37129A01</v>
      </c>
      <c r="G34" s="15">
        <f>_xlfn.XLOOKUP($A34,Centrum[Индекс],Centrum[Invoice value / Стоимость груза в к-ре по инвойсу],"",0,1)</f>
        <v>20184.2</v>
      </c>
      <c r="H34" s="14" t="s">
        <v>40</v>
      </c>
      <c r="I34" s="11">
        <f>_xlfn.XLOOKUP($A34,Centrum[Индекс],Centrum[CBM on the shipper/ 
CBM по поставщику],"",0,1)</f>
        <v>67.488</v>
      </c>
      <c r="J34" s="16">
        <f>_xlfn.XLOOKUP($A34,Centrum[Индекс],Centrum[Gross weight of cont// 
Гросс.вес по конт.],"",0,1)</f>
        <v>6979</v>
      </c>
      <c r="K34" s="17" t="str">
        <f>_xlfn.XLOOKUP($A34,Centrum[Индекс],Centrum[Route/ Маршрут (TSR/TCR)],"",0,1)</f>
        <v>TSR</v>
      </c>
      <c r="L34" s="11" t="str">
        <f>_xlfn.XLOOKUP($A34,Centrum[Индекс],Centrum[Условия поставки],"",0,1)</f>
        <v>KUNSAN (FOB/P-D)</v>
      </c>
      <c r="M34" s="11" t="str">
        <f>_xlfn.XLOOKUP($A34,Centrum[Индекс],Centrum[№ HBL date / 
№/ дата коносамента],"",0,1)</f>
        <v>FSIMPUAS229365</v>
      </c>
      <c r="N34" s="11" t="str">
        <f>_xlfn.XLOOKUP($A34,Centrum[Индекс],Centrum[№ MBL / 
№/ коносамента],"",0,1)</f>
        <v>FSCOPUVV386630</v>
      </c>
      <c r="O34" s="8">
        <f>(_xlfn.XLOOKUP($A34,Centrum[Индекс],Centrum[Date on board / Дата погрузки на судно],"",0,1))*1</f>
        <v>44979</v>
      </c>
      <c r="P34" s="8">
        <f>(_xlfn.XLOOKUP($A34,Centrum[Индекс],Centrum[Date of arrival to Sary-Agach/ Дата прибытия на Сары-Агач],"",0,1))*1</f>
        <v>45034</v>
      </c>
      <c r="Q34" s="14" t="str">
        <f>_xlfn.XLOOKUP($A34,Centrum[Индекс],Centrum[Container type/ 
Тип контейнера],"",0,1)</f>
        <v>40'HC</v>
      </c>
      <c r="R34" s="16">
        <f>_xlfn.XLOOKUP($A34,Centrum[Индекс],Centrum[Transportation cost per supplier/ 
Cтоимость перевозки по поставщикам],0,0,1)</f>
        <v>11600</v>
      </c>
      <c r="S34" s="16">
        <f>Шаблон_Формулы!$T34-Шаблон_Формулы!$R34</f>
        <v>0</v>
      </c>
      <c r="T34" s="16">
        <f>_xlfn.XLOOKUP($A34,Centrum[Индекс],Centrum[Transportation total amount / Общая стоимость перевозки],0,0,1)</f>
        <v>11600</v>
      </c>
      <c r="U34" s="12" cm="1">
        <f t="array" ref="U3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34" s="16">
        <f>_xlfn.XLOOKUP(Шаблон_Формулы[[#This Row],[21]],Курс_USD[Дата],Курс_USD[Курс],,0,1)</f>
        <v>11445.03</v>
      </c>
      <c r="W34" s="16">
        <f>Шаблон_Формулы!$T34*Шаблон_Формулы!$V34</f>
        <v>132762348.00000001</v>
      </c>
      <c r="Y34" s="16">
        <f>Шаблон_Формулы!$W34+Шаблон_Формулы!$X34</f>
        <v>132762348.00000001</v>
      </c>
      <c r="Z34" s="14" t="str">
        <f>_xlfn.XLOOKUP($A34,Centrum[Индекс],Centrum[Transport co invoice no/ 
Номер инвойса ТК],"",0,1)</f>
        <v>CNT-FS230001670</v>
      </c>
    </row>
    <row r="35" spans="1:26" s="11" customFormat="1" x14ac:dyDescent="0.3">
      <c r="A35" s="14">
        <v>31</v>
      </c>
      <c r="B35" s="11" t="str">
        <f>_xlfn.XLOOKUP($A35,Centrum[Индекс],Centrum[Carrier/ Перевозчик],"",0,1)</f>
        <v>CENTRUM AVIATION FZCO</v>
      </c>
      <c r="C35" s="11" t="str">
        <f>_xlfn.XLOOKUP($A35,Centrum[Индекс],Centrum[Country /  Страна],"",0,1)</f>
        <v>KOREA</v>
      </c>
      <c r="D35" s="11" t="str">
        <f>_xlfn.XLOOKUP($A35,Centrum[Индекс],Centrum[Container num./ 
№ контейнера],"",0,1)</f>
        <v>FESU5287237</v>
      </c>
      <c r="E35" s="11" t="str">
        <f>_xlfn.XLOOKUP($A35,Centrum[Индекс],Centrum[Supplier/
Поставщик],"",0,1)</f>
        <v>GM KOREA COMPANY</v>
      </c>
      <c r="F35" s="11" t="str">
        <f>_xlfn.XLOOKUP($A35,Centrum[Индекс],Centrum[Shippers invoice no/ 
Номер инвойса поставщика],"",1)</f>
        <v>TJAUZ37132C01</v>
      </c>
      <c r="G35" s="15">
        <f>_xlfn.XLOOKUP($A35,Centrum[Индекс],Centrum[Invoice value / Стоимость груза в к-ре по инвойсу],"",0,1)</f>
        <v>89139.78</v>
      </c>
      <c r="H35" s="14" t="s">
        <v>40</v>
      </c>
      <c r="I35" s="11">
        <f>_xlfn.XLOOKUP($A35,Centrum[Индекс],Centrum[CBM on the shipper/ 
CBM по поставщику],"",0,1)</f>
        <v>65.197000000000003</v>
      </c>
      <c r="J35" s="16">
        <f>_xlfn.XLOOKUP($A35,Centrum[Индекс],Centrum[Gross weight of cont// 
Гросс.вес по конт.],"",0,1)</f>
        <v>10553</v>
      </c>
      <c r="K35" s="17" t="str">
        <f>_xlfn.XLOOKUP($A35,Centrum[Индекс],Centrum[Route/ Маршрут (TSR/TCR)],"",0,1)</f>
        <v>TSR</v>
      </c>
      <c r="L35" s="11" t="str">
        <f>_xlfn.XLOOKUP($A35,Centrum[Индекс],Centrum[Условия поставки],"",0,1)</f>
        <v>BUSAN (FOB/P-D)</v>
      </c>
      <c r="M35" s="11" t="str">
        <f>_xlfn.XLOOKUP($A35,Centrum[Индекс],Centrum[№ HBL date / 
№/ дата коносамента],"",0,1)</f>
        <v>FSIMPUAS229366</v>
      </c>
      <c r="N35" s="11" t="str">
        <f>_xlfn.XLOOKUP($A35,Centrum[Индекс],Centrum[№ MBL / 
№/ коносамента],"",0,1)</f>
        <v>FSCOPUVV386631</v>
      </c>
      <c r="O35" s="8">
        <f>(_xlfn.XLOOKUP($A35,Centrum[Индекс],Centrum[Date on board / Дата погрузки на судно],"",0,1))*1</f>
        <v>44979</v>
      </c>
      <c r="P35" s="8">
        <f>(_xlfn.XLOOKUP($A35,Centrum[Индекс],Centrum[Date of arrival to Sary-Agach/ Дата прибытия на Сары-Агач],"",0,1))*1</f>
        <v>45034</v>
      </c>
      <c r="Q35" s="14" t="str">
        <f>_xlfn.XLOOKUP($A35,Centrum[Индекс],Centrum[Container type/ 
Тип контейнера],"",0,1)</f>
        <v>40'HC</v>
      </c>
      <c r="R35" s="16">
        <f>_xlfn.XLOOKUP($A35,Centrum[Индекс],Centrum[Transportation cost per supplier/ 
Cтоимость перевозки по поставщикам],0,0,1)</f>
        <v>10550</v>
      </c>
      <c r="S35" s="16">
        <f>Шаблон_Формулы!$T35-Шаблон_Формулы!$R35</f>
        <v>0</v>
      </c>
      <c r="T35" s="16">
        <f>_xlfn.XLOOKUP($A35,Centrum[Индекс],Centrum[Transportation total amount / Общая стоимость перевозки],0,0,1)</f>
        <v>10550</v>
      </c>
      <c r="U35" s="12" cm="1">
        <f t="array" ref="U3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35" s="16">
        <f>_xlfn.XLOOKUP(Шаблон_Формулы[[#This Row],[21]],Курс_USD[Дата],Курс_USD[Курс],,0,1)</f>
        <v>11445.03</v>
      </c>
      <c r="W35" s="16">
        <f>Шаблон_Формулы!$T35*Шаблон_Формулы!$V35</f>
        <v>120745066.5</v>
      </c>
      <c r="Y35" s="16">
        <f>Шаблон_Формулы!$W35+Шаблон_Формулы!$X35</f>
        <v>120745066.5</v>
      </c>
      <c r="Z35" s="14" t="str">
        <f>_xlfn.XLOOKUP($A35,Centrum[Индекс],Centrum[Transport co invoice no/ 
Номер инвойса ТК],"",0,1)</f>
        <v>CNT-FS230001670</v>
      </c>
    </row>
    <row r="36" spans="1:26" s="11" customFormat="1" x14ac:dyDescent="0.3">
      <c r="A36" s="14">
        <v>32</v>
      </c>
      <c r="B36" s="11" t="str">
        <f>_xlfn.XLOOKUP($A36,Centrum[Индекс],Centrum[Carrier/ Перевозчик],"",0,1)</f>
        <v>CENTRUM AVIATION FZCO</v>
      </c>
      <c r="C36" s="11" t="str">
        <f>_xlfn.XLOOKUP($A36,Centrum[Индекс],Centrum[Country /  Страна],"",0,1)</f>
        <v>KOREA</v>
      </c>
      <c r="D36" s="11" t="str">
        <f>_xlfn.XLOOKUP($A36,Centrum[Индекс],Centrum[Container num./ 
№ контейнера],"",0,1)</f>
        <v>FESU5299217</v>
      </c>
      <c r="E36" s="11" t="str">
        <f>_xlfn.XLOOKUP($A36,Centrum[Индекс],Centrum[Supplier/
Поставщик],"",0,1)</f>
        <v>GM KOREA COMPANY</v>
      </c>
      <c r="F36" s="11" t="str">
        <f>_xlfn.XLOOKUP($A36,Centrum[Индекс],Centrum[Shippers invoice no/ 
Номер инвойса поставщика],"",1)</f>
        <v>TJAUZ37130A01</v>
      </c>
      <c r="G36" s="15">
        <f>_xlfn.XLOOKUP($A36,Centrum[Индекс],Centrum[Invoice value / Стоимость груза в к-ре по инвойсу],"",0,1)</f>
        <v>234349.26</v>
      </c>
      <c r="H36" s="14" t="s">
        <v>40</v>
      </c>
      <c r="I36" s="11">
        <f>_xlfn.XLOOKUP($A36,Centrum[Индекс],Centrum[CBM on the shipper/ 
CBM по поставщику],"",0,1)</f>
        <v>68.234999999999999</v>
      </c>
      <c r="J36" s="16">
        <f>_xlfn.XLOOKUP($A36,Centrum[Индекс],Centrum[Gross weight of cont// 
Гросс.вес по конт.],"",0,1)</f>
        <v>18727</v>
      </c>
      <c r="K36" s="17" t="str">
        <f>_xlfn.XLOOKUP($A36,Centrum[Индекс],Centrum[Route/ Маршрут (TSR/TCR)],"",0,1)</f>
        <v>TSR</v>
      </c>
      <c r="L36" s="11" t="str">
        <f>_xlfn.XLOOKUP($A36,Centrum[Индекс],Centrum[Условия поставки],"",0,1)</f>
        <v>INCHEON (FOB/P-D)</v>
      </c>
      <c r="M36" s="11" t="str">
        <f>_xlfn.XLOOKUP($A36,Centrum[Индекс],Centrum[№ HBL date / 
№/ дата коносамента],"",0,1)</f>
        <v>FSIMINAS229362</v>
      </c>
      <c r="N36" s="11" t="str">
        <f>_xlfn.XLOOKUP($A36,Centrum[Индекс],Centrum[№ MBL / 
№/ коносамента],"",0,1)</f>
        <v>FSCOPUVV386626</v>
      </c>
      <c r="O36" s="8">
        <f>(_xlfn.XLOOKUP($A36,Centrum[Индекс],Centrum[Date on board / Дата погрузки на судно],"",0,1))*1</f>
        <v>44979</v>
      </c>
      <c r="P36" s="8">
        <f>(_xlfn.XLOOKUP($A36,Centrum[Индекс],Centrum[Date of arrival to Sary-Agach/ Дата прибытия на Сары-Агач],"",0,1))*1</f>
        <v>45034</v>
      </c>
      <c r="Q36" s="14" t="str">
        <f>_xlfn.XLOOKUP($A36,Centrum[Индекс],Centrum[Container type/ 
Тип контейнера],"",0,1)</f>
        <v>40'HC</v>
      </c>
      <c r="R36" s="16">
        <f>_xlfn.XLOOKUP($A36,Centrum[Индекс],Centrum[Transportation cost per supplier/ 
Cтоимость перевозки по поставщикам],0,0,1)</f>
        <v>10850</v>
      </c>
      <c r="S36" s="16">
        <f>Шаблон_Формулы!$T36-Шаблон_Формулы!$R36</f>
        <v>0</v>
      </c>
      <c r="T36" s="16">
        <f>_xlfn.XLOOKUP($A36,Centrum[Индекс],Centrum[Transportation total amount / Общая стоимость перевозки],0,0,1)</f>
        <v>10850</v>
      </c>
      <c r="U36" s="12" cm="1">
        <f t="array" ref="U3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36" s="16">
        <f>_xlfn.XLOOKUP(Шаблон_Формулы[[#This Row],[21]],Курс_USD[Дата],Курс_USD[Курс],,0,1)</f>
        <v>11445.03</v>
      </c>
      <c r="W36" s="16">
        <f>Шаблон_Формулы!$T36*Шаблон_Формулы!$V36</f>
        <v>124178575.5</v>
      </c>
      <c r="Y36" s="16">
        <f>Шаблон_Формулы!$W36+Шаблон_Формулы!$X36</f>
        <v>124178575.5</v>
      </c>
      <c r="Z36" s="14" t="str">
        <f>_xlfn.XLOOKUP($A36,Centrum[Индекс],Centrum[Transport co invoice no/ 
Номер инвойса ТК],"",0,1)</f>
        <v>CNT-FS230001670</v>
      </c>
    </row>
    <row r="37" spans="1:26" s="11" customFormat="1" x14ac:dyDescent="0.3">
      <c r="A37" s="14">
        <v>33</v>
      </c>
      <c r="B37" s="11" t="str">
        <f>_xlfn.XLOOKUP($A37,Centrum[Индекс],Centrum[Carrier/ Перевозчик],"",0,1)</f>
        <v>CENTRUM AVIATION FZCO</v>
      </c>
      <c r="C37" s="11" t="str">
        <f>_xlfn.XLOOKUP($A37,Centrum[Индекс],Centrum[Country /  Страна],"",0,1)</f>
        <v>KOREA</v>
      </c>
      <c r="D37" s="11" t="str">
        <f>_xlfn.XLOOKUP($A37,Centrum[Индекс],Centrum[Container num./ 
№ контейнера],"",0,1)</f>
        <v>FESU5310830</v>
      </c>
      <c r="E37" s="11" t="str">
        <f>_xlfn.XLOOKUP($A37,Centrum[Индекс],Centrum[Supplier/
Поставщик],"",0,1)</f>
        <v>GM KOREA COMPANY</v>
      </c>
      <c r="F37" s="11" t="str">
        <f>_xlfn.XLOOKUP($A37,Centrum[Индекс],Centrum[Shippers invoice no/ 
Номер инвойса поставщика],"",1)</f>
        <v>TJAUZ37130A01</v>
      </c>
      <c r="G37" s="15">
        <f>_xlfn.XLOOKUP($A37,Centrum[Индекс],Centrum[Invoice value / Стоимость груза в к-ре по инвойсу],"",0,1)</f>
        <v>72398.86</v>
      </c>
      <c r="H37" s="14" t="s">
        <v>40</v>
      </c>
      <c r="I37" s="11">
        <f>_xlfn.XLOOKUP($A37,Centrum[Индекс],Centrum[CBM on the shipper/ 
CBM по поставщику],"",0,1)</f>
        <v>67.353999999999999</v>
      </c>
      <c r="J37" s="16">
        <f>_xlfn.XLOOKUP($A37,Centrum[Индекс],Centrum[Gross weight of cont// 
Гросс.вес по конт.],"",0,1)</f>
        <v>15164</v>
      </c>
      <c r="K37" s="17" t="str">
        <f>_xlfn.XLOOKUP($A37,Centrum[Индекс],Centrum[Route/ Маршрут (TSR/TCR)],"",0,1)</f>
        <v>TSR</v>
      </c>
      <c r="L37" s="11" t="str">
        <f>_xlfn.XLOOKUP($A37,Centrum[Индекс],Centrum[Условия поставки],"",0,1)</f>
        <v>INCHEON (FOB/P-D)</v>
      </c>
      <c r="M37" s="11" t="str">
        <f>_xlfn.XLOOKUP($A37,Centrum[Индекс],Centrum[№ HBL date / 
№/ дата коносамента],"",0,1)</f>
        <v>FSIMINAS229362</v>
      </c>
      <c r="N37" s="11" t="str">
        <f>_xlfn.XLOOKUP($A37,Centrum[Индекс],Centrum[№ MBL / 
№/ коносамента],"",0,1)</f>
        <v>FSCOPUVV386626</v>
      </c>
      <c r="O37" s="8">
        <f>(_xlfn.XLOOKUP($A37,Centrum[Индекс],Centrum[Date on board / Дата погрузки на судно],"",0,1))*1</f>
        <v>44979</v>
      </c>
      <c r="P37" s="8">
        <f>(_xlfn.XLOOKUP($A37,Centrum[Индекс],Centrum[Date of arrival to Sary-Agach/ Дата прибытия на Сары-Агач],"",0,1))*1</f>
        <v>45034</v>
      </c>
      <c r="Q37" s="14" t="str">
        <f>_xlfn.XLOOKUP($A37,Centrum[Индекс],Centrum[Container type/ 
Тип контейнера],"",0,1)</f>
        <v>40'HC</v>
      </c>
      <c r="R37" s="16">
        <f>_xlfn.XLOOKUP($A37,Centrum[Индекс],Centrum[Transportation cost per supplier/ 
Cтоимость перевозки по поставщикам],0,0,1)</f>
        <v>10850</v>
      </c>
      <c r="S37" s="16">
        <f>Шаблон_Формулы!$T37-Шаблон_Формулы!$R37</f>
        <v>0</v>
      </c>
      <c r="T37" s="16">
        <f>_xlfn.XLOOKUP($A37,Centrum[Индекс],Centrum[Transportation total amount / Общая стоимость перевозки],0,0,1)</f>
        <v>10850</v>
      </c>
      <c r="U37" s="12" cm="1">
        <f t="array" ref="U3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37" s="16">
        <f>_xlfn.XLOOKUP(Шаблон_Формулы[[#This Row],[21]],Курс_USD[Дата],Курс_USD[Курс],,0,1)</f>
        <v>11445.03</v>
      </c>
      <c r="W37" s="16">
        <f>Шаблон_Формулы!$T37*Шаблон_Формулы!$V37</f>
        <v>124178575.5</v>
      </c>
      <c r="Y37" s="16">
        <f>Шаблон_Формулы!$W37+Шаблон_Формулы!$X37</f>
        <v>124178575.5</v>
      </c>
      <c r="Z37" s="14" t="str">
        <f>_xlfn.XLOOKUP($A37,Centrum[Индекс],Centrum[Transport co invoice no/ 
Номер инвойса ТК],"",0,1)</f>
        <v>CNT-FS230001670</v>
      </c>
    </row>
    <row r="38" spans="1:26" s="11" customFormat="1" x14ac:dyDescent="0.3">
      <c r="A38" s="14">
        <v>34</v>
      </c>
      <c r="B38" s="11" t="str">
        <f>_xlfn.XLOOKUP($A38,Centrum[Индекс],Centrum[Carrier/ Перевозчик],"",0,1)</f>
        <v>CENTRUM AVIATION FZCO</v>
      </c>
      <c r="C38" s="11" t="str">
        <f>_xlfn.XLOOKUP($A38,Centrum[Индекс],Centrum[Country /  Страна],"",0,1)</f>
        <v>KOREA</v>
      </c>
      <c r="D38" s="11" t="str">
        <f>_xlfn.XLOOKUP($A38,Centrum[Индекс],Centrum[Container num./ 
№ контейнера],"",0,1)</f>
        <v>FESU5318180</v>
      </c>
      <c r="E38" s="11" t="str">
        <f>_xlfn.XLOOKUP($A38,Centrum[Индекс],Centrum[Supplier/
Поставщик],"",0,1)</f>
        <v>GM KOREA COMPANY</v>
      </c>
      <c r="F38" s="11" t="str">
        <f>_xlfn.XLOOKUP($A38,Centrum[Индекс],Centrum[Shippers invoice no/ 
Номер инвойса поставщика],"",1)</f>
        <v>TJAUZ37118C01,  UZ2302132S</v>
      </c>
      <c r="G38" s="15">
        <f>_xlfn.XLOOKUP($A38,Centrum[Индекс],Centrum[Invoice value / Стоимость груза в к-ре по инвойсу],"",0,1)</f>
        <v>56812.639999999999</v>
      </c>
      <c r="H38" s="14" t="s">
        <v>40</v>
      </c>
      <c r="I38" s="11">
        <f>_xlfn.XLOOKUP($A38,Centrum[Индекс],Centrum[CBM on the shipper/ 
CBM по поставщику],"",0,1)</f>
        <v>66.25</v>
      </c>
      <c r="J38" s="16">
        <f>_xlfn.XLOOKUP($A38,Centrum[Индекс],Centrum[Gross weight of cont// 
Гросс.вес по конт.],"",0,1)</f>
        <v>5370</v>
      </c>
      <c r="K38" s="17" t="str">
        <f>_xlfn.XLOOKUP($A38,Centrum[Индекс],Centrum[Route/ Маршрут (TSR/TCR)],"",0,1)</f>
        <v>TSR</v>
      </c>
      <c r="L38" s="11" t="str">
        <f>_xlfn.XLOOKUP($A38,Centrum[Индекс],Centrum[Условия поставки],"",0,1)</f>
        <v>BUSAN (FOB/P-D)</v>
      </c>
      <c r="M38" s="11" t="str">
        <f>_xlfn.XLOOKUP($A38,Centrum[Индекс],Centrum[№ HBL date / 
№/ дата коносамента],"",0,1)</f>
        <v>FSIMPUAS229339; FSIMPUAS229340</v>
      </c>
      <c r="N38" s="11" t="str">
        <f>_xlfn.XLOOKUP($A38,Centrum[Индекс],Centrum[№ MBL / 
№/ коносамента],"",0,1)</f>
        <v>FSCOPUVV386539; FSCOPUVV386540</v>
      </c>
      <c r="O38" s="8">
        <f>(_xlfn.XLOOKUP($A38,Centrum[Индекс],Centrum[Date on board / Дата погрузки на судно],"",0,1))*1</f>
        <v>44971</v>
      </c>
      <c r="P38" s="8">
        <f>(_xlfn.XLOOKUP($A38,Centrum[Индекс],Centrum[Date of arrival to Sary-Agach/ Дата прибытия на Сары-Агач],"",0,1))*1</f>
        <v>45034</v>
      </c>
      <c r="Q38" s="14" t="str">
        <f>_xlfn.XLOOKUP($A38,Centrum[Индекс],Centrum[Container type/ 
Тип контейнера],"",0,1)</f>
        <v>40'HC</v>
      </c>
      <c r="R38" s="16">
        <f>_xlfn.XLOOKUP($A38,Centrum[Индекс],Centrum[Transportation cost per supplier/ 
Cтоимость перевозки по поставщикам],0,0,1)</f>
        <v>10550</v>
      </c>
      <c r="S38" s="16">
        <f>Шаблон_Формулы!$T38-Шаблон_Формулы!$R38</f>
        <v>-73.25</v>
      </c>
      <c r="T38" s="16">
        <f>_xlfn.XLOOKUP($A38,Centrum[Индекс],Centrum[Transportation total amount / Общая стоимость перевозки],0,0,1)</f>
        <v>10476.75</v>
      </c>
      <c r="U38" s="12" cm="1">
        <f t="array" ref="U3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38" s="16">
        <f>_xlfn.XLOOKUP(Шаблон_Формулы[[#This Row],[21]],Курс_USD[Дата],Курс_USD[Курс],,0,1)</f>
        <v>11445.03</v>
      </c>
      <c r="W38" s="16">
        <f>Шаблон_Формулы!$T38*Шаблон_Формулы!$V38</f>
        <v>119906718.05250001</v>
      </c>
      <c r="Y38" s="16">
        <f>Шаблон_Формулы!$W38+Шаблон_Формулы!$X38</f>
        <v>119906718.05250001</v>
      </c>
      <c r="Z38" s="14" t="str">
        <f>_xlfn.XLOOKUP($A38,Centrum[Индекс],Centrum[Transport co invoice no/ 
Номер инвойса ТК],"",0,1)</f>
        <v>CNT-FS230001670</v>
      </c>
    </row>
    <row r="39" spans="1:26" s="11" customFormat="1" x14ac:dyDescent="0.3">
      <c r="A39" s="14">
        <v>35</v>
      </c>
      <c r="B39" s="11" t="str">
        <f>_xlfn.XLOOKUP($A39,Centrum[Индекс],Centrum[Carrier/ Перевозчик],"",0,1)</f>
        <v>CENTRUM AVIATION FZCO</v>
      </c>
      <c r="C39" s="11" t="str">
        <f>_xlfn.XLOOKUP($A39,Centrum[Индекс],Centrum[Country /  Страна],"",0,1)</f>
        <v>KOREA</v>
      </c>
      <c r="D39" s="11" t="str">
        <f>_xlfn.XLOOKUP($A39,Centrum[Индекс],Centrum[Container num./ 
№ контейнера],"",0,1)</f>
        <v>FESU5326987</v>
      </c>
      <c r="E39" s="11" t="str">
        <f>_xlfn.XLOOKUP($A39,Centrum[Индекс],Centrum[Supplier/
Поставщик],"",0,1)</f>
        <v>GM KOREA COMPANY</v>
      </c>
      <c r="F39" s="11" t="str">
        <f>_xlfn.XLOOKUP($A39,Centrum[Индекс],Centrum[Shippers invoice no/ 
Номер инвойса поставщика],"",1)</f>
        <v>TJAUZ37125C01</v>
      </c>
      <c r="G39" s="15">
        <f>_xlfn.XLOOKUP($A39,Centrum[Индекс],Centrum[Invoice value / Стоимость груза в к-ре по инвойсу],"",0,1)</f>
        <v>136795.68</v>
      </c>
      <c r="H39" s="14" t="s">
        <v>40</v>
      </c>
      <c r="I39" s="11">
        <f>_xlfn.XLOOKUP($A39,Centrum[Индекс],Centrum[CBM on the shipper/ 
CBM по поставщику],"",0,1)</f>
        <v>66.070999999999998</v>
      </c>
      <c r="J39" s="16">
        <f>_xlfn.XLOOKUP($A39,Centrum[Индекс],Centrum[Gross weight of cont// 
Гросс.вес по конт.],"",0,1)</f>
        <v>10103</v>
      </c>
      <c r="K39" s="17" t="str">
        <f>_xlfn.XLOOKUP($A39,Centrum[Индекс],Centrum[Route/ Маршрут (TSR/TCR)],"",0,1)</f>
        <v>TSR</v>
      </c>
      <c r="L39" s="11" t="str">
        <f>_xlfn.XLOOKUP($A39,Centrum[Индекс],Centrum[Условия поставки],"",0,1)</f>
        <v>BUSAN (FOB/P-D)</v>
      </c>
      <c r="M39" s="11" t="str">
        <f>_xlfn.XLOOKUP($A39,Centrum[Индекс],Centrum[№ HBL date / 
№/ дата коносамента],"",0,1)</f>
        <v>FSIMPUAS229347</v>
      </c>
      <c r="N39" s="11" t="str">
        <f>_xlfn.XLOOKUP($A39,Centrum[Индекс],Centrum[№ MBL / 
№/ коносамента],"",0,1)</f>
        <v>FSCOPUVV386629</v>
      </c>
      <c r="O39" s="8">
        <f>(_xlfn.XLOOKUP($A39,Centrum[Индекс],Centrum[Date on board / Дата погрузки на судно],"",0,1))*1</f>
        <v>44973</v>
      </c>
      <c r="P39" s="8">
        <f>(_xlfn.XLOOKUP($A39,Centrum[Индекс],Centrum[Date of arrival to Sary-Agach/ Дата прибытия на Сары-Агач],"",0,1))*1</f>
        <v>45034</v>
      </c>
      <c r="Q39" s="14" t="str">
        <f>_xlfn.XLOOKUP($A39,Centrum[Индекс],Centrum[Container type/ 
Тип контейнера],"",0,1)</f>
        <v>40'HC</v>
      </c>
      <c r="R39" s="16">
        <f>_xlfn.XLOOKUP($A39,Centrum[Индекс],Centrum[Transportation cost per supplier/ 
Cтоимость перевозки по поставщикам],0,0,1)</f>
        <v>11400</v>
      </c>
      <c r="S39" s="16">
        <f>Шаблон_Формулы!$T39-Шаблон_Формулы!$R39</f>
        <v>0</v>
      </c>
      <c r="T39" s="16">
        <f>_xlfn.XLOOKUP($A39,Centrum[Индекс],Centrum[Transportation total amount / Общая стоимость перевозки],0,0,1)</f>
        <v>11400</v>
      </c>
      <c r="U39" s="12" cm="1">
        <f t="array" ref="U3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39" s="16">
        <f>_xlfn.XLOOKUP(Шаблон_Формулы[[#This Row],[21]],Курс_USD[Дата],Курс_USD[Курс],,0,1)</f>
        <v>11445.03</v>
      </c>
      <c r="W39" s="16">
        <f>Шаблон_Формулы!$T39*Шаблон_Формулы!$V39</f>
        <v>130473342.00000001</v>
      </c>
      <c r="Y39" s="16">
        <f>Шаблон_Формулы!$W39+Шаблон_Формулы!$X39</f>
        <v>130473342.00000001</v>
      </c>
      <c r="Z39" s="14" t="str">
        <f>_xlfn.XLOOKUP($A39,Centrum[Индекс],Centrum[Transport co invoice no/ 
Номер инвойса ТК],"",0,1)</f>
        <v>CNT-FS230001670</v>
      </c>
    </row>
    <row r="40" spans="1:26" s="11" customFormat="1" x14ac:dyDescent="0.3">
      <c r="A40" s="14">
        <v>36</v>
      </c>
      <c r="B40" s="11" t="str">
        <f>_xlfn.XLOOKUP($A40,Centrum[Индекс],Centrum[Carrier/ Перевозчик],"",0,1)</f>
        <v>CENTRUM AVIATION FZCO</v>
      </c>
      <c r="C40" s="11" t="str">
        <f>_xlfn.XLOOKUP($A40,Centrum[Индекс],Centrum[Country /  Страна],"",0,1)</f>
        <v>KOREA</v>
      </c>
      <c r="D40" s="11" t="str">
        <f>_xlfn.XLOOKUP($A40,Centrum[Индекс],Centrum[Container num./ 
№ контейнера],"",0,1)</f>
        <v>FESU5328450</v>
      </c>
      <c r="E40" s="11" t="str">
        <f>_xlfn.XLOOKUP($A40,Centrum[Индекс],Centrum[Supplier/
Поставщик],"",0,1)</f>
        <v>GM KOREA COMPANY</v>
      </c>
      <c r="F40" s="11" t="str">
        <f>_xlfn.XLOOKUP($A40,Centrum[Индекс],Centrum[Shippers invoice no/ 
Номер инвойса поставщика],"",1)</f>
        <v>TJAUZ37129A01</v>
      </c>
      <c r="G40" s="15">
        <f>_xlfn.XLOOKUP($A40,Centrum[Индекс],Centrum[Invoice value / Стоимость груза в к-ре по инвойсу],"",0,1)</f>
        <v>28381.68</v>
      </c>
      <c r="H40" s="14" t="s">
        <v>40</v>
      </c>
      <c r="I40" s="11">
        <f>_xlfn.XLOOKUP($A40,Centrum[Индекс],Centrum[CBM on the shipper/ 
CBM по поставщику],"",0,1)</f>
        <v>67.488</v>
      </c>
      <c r="J40" s="16">
        <f>_xlfn.XLOOKUP($A40,Centrum[Индекс],Centrum[Gross weight of cont// 
Гросс.вес по конт.],"",0,1)</f>
        <v>8891</v>
      </c>
      <c r="K40" s="17" t="str">
        <f>_xlfn.XLOOKUP($A40,Centrum[Индекс],Centrum[Route/ Маршрут (TSR/TCR)],"",0,1)</f>
        <v>TSR</v>
      </c>
      <c r="L40" s="11" t="str">
        <f>_xlfn.XLOOKUP($A40,Centrum[Индекс],Centrum[Условия поставки],"",0,1)</f>
        <v>KUNSAN (FOB/P-D)</v>
      </c>
      <c r="M40" s="11" t="str">
        <f>_xlfn.XLOOKUP($A40,Centrum[Индекс],Centrum[№ HBL date / 
№/ дата коносамента],"",0,1)</f>
        <v>FSIMPUAS229365</v>
      </c>
      <c r="N40" s="11" t="str">
        <f>_xlfn.XLOOKUP($A40,Centrum[Индекс],Centrum[№ MBL / 
№/ коносамента],"",0,1)</f>
        <v>FSCOPUVV386630</v>
      </c>
      <c r="O40" s="8">
        <f>(_xlfn.XLOOKUP($A40,Centrum[Индекс],Centrum[Date on board / Дата погрузки на судно],"",0,1))*1</f>
        <v>44979</v>
      </c>
      <c r="P40" s="8">
        <f>(_xlfn.XLOOKUP($A40,Centrum[Индекс],Centrum[Date of arrival to Sary-Agach/ Дата прибытия на Сары-Агач],"",0,1))*1</f>
        <v>45034</v>
      </c>
      <c r="Q40" s="14" t="str">
        <f>_xlfn.XLOOKUP($A40,Centrum[Индекс],Centrum[Container type/ 
Тип контейнера],"",0,1)</f>
        <v>40'HC</v>
      </c>
      <c r="R40" s="16">
        <f>_xlfn.XLOOKUP($A40,Centrum[Индекс],Centrum[Transportation cost per supplier/ 
Cтоимость перевозки по поставщикам],0,0,1)</f>
        <v>11600</v>
      </c>
      <c r="S40" s="16">
        <f>Шаблон_Формулы!$T40-Шаблон_Формулы!$R40</f>
        <v>0</v>
      </c>
      <c r="T40" s="16">
        <f>_xlfn.XLOOKUP($A40,Centrum[Индекс],Centrum[Transportation total amount / Общая стоимость перевозки],0,0,1)</f>
        <v>11600</v>
      </c>
      <c r="U40" s="12" cm="1">
        <f t="array" ref="U4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40" s="16">
        <f>_xlfn.XLOOKUP(Шаблон_Формулы[[#This Row],[21]],Курс_USD[Дата],Курс_USD[Курс],,0,1)</f>
        <v>11445.03</v>
      </c>
      <c r="W40" s="16">
        <f>Шаблон_Формулы!$T40*Шаблон_Формулы!$V40</f>
        <v>132762348.00000001</v>
      </c>
      <c r="Y40" s="16">
        <f>Шаблон_Формулы!$W40+Шаблон_Формулы!$X40</f>
        <v>132762348.00000001</v>
      </c>
      <c r="Z40" s="14" t="str">
        <f>_xlfn.XLOOKUP($A40,Centrum[Индекс],Centrum[Transport co invoice no/ 
Номер инвойса ТК],"",0,1)</f>
        <v>CNT-FS230001670</v>
      </c>
    </row>
    <row r="41" spans="1:26" s="11" customFormat="1" x14ac:dyDescent="0.3">
      <c r="A41" s="14">
        <v>37</v>
      </c>
      <c r="B41" s="11" t="str">
        <f>_xlfn.XLOOKUP($A41,Centrum[Индекс],Centrum[Carrier/ Перевозчик],"",0,1)</f>
        <v>CENTRUM AVIATION FZCO</v>
      </c>
      <c r="C41" s="11" t="str">
        <f>_xlfn.XLOOKUP($A41,Centrum[Индекс],Centrum[Country /  Страна],"",0,1)</f>
        <v>KOREA</v>
      </c>
      <c r="D41" s="11" t="str">
        <f>_xlfn.XLOOKUP($A41,Centrum[Индекс],Centrum[Container num./ 
№ контейнера],"",0,1)</f>
        <v>FESU5328568</v>
      </c>
      <c r="E41" s="11" t="str">
        <f>_xlfn.XLOOKUP($A41,Centrum[Индекс],Centrum[Supplier/
Поставщик],"",0,1)</f>
        <v>GM KOREA COMPANY</v>
      </c>
      <c r="F41" s="11" t="str">
        <f>_xlfn.XLOOKUP($A41,Centrum[Индекс],Centrum[Shippers invoice no/ 
Номер инвойса поставщика],"",1)</f>
        <v>TJAUZ37132C01</v>
      </c>
      <c r="G41" s="15">
        <f>_xlfn.XLOOKUP($A41,Centrum[Индекс],Centrum[Invoice value / Стоимость груза в к-ре по инвойсу],"",0,1)</f>
        <v>25517.279999999999</v>
      </c>
      <c r="H41" s="14" t="s">
        <v>40</v>
      </c>
      <c r="I41" s="11">
        <f>_xlfn.XLOOKUP($A41,Centrum[Индекс],Centrum[CBM on the shipper/ 
CBM по поставщику],"",0,1)</f>
        <v>66.816999999999993</v>
      </c>
      <c r="J41" s="16">
        <f>_xlfn.XLOOKUP($A41,Centrum[Индекс],Centrum[Gross weight of cont// 
Гросс.вес по конт.],"",0,1)</f>
        <v>5939</v>
      </c>
      <c r="K41" s="17" t="str">
        <f>_xlfn.XLOOKUP($A41,Centrum[Индекс],Centrum[Route/ Маршрут (TSR/TCR)],"",0,1)</f>
        <v>TSR</v>
      </c>
      <c r="L41" s="11" t="str">
        <f>_xlfn.XLOOKUP($A41,Centrum[Индекс],Centrum[Условия поставки],"",0,1)</f>
        <v>BUSAN (FOB/P-D)</v>
      </c>
      <c r="M41" s="11" t="str">
        <f>_xlfn.XLOOKUP($A41,Centrum[Индекс],Centrum[№ HBL date / 
№/ дата коносамента],"",0,1)</f>
        <v>FSIMPUAS229366</v>
      </c>
      <c r="N41" s="11" t="str">
        <f>_xlfn.XLOOKUP($A41,Centrum[Индекс],Centrum[№ MBL / 
№/ коносамента],"",0,1)</f>
        <v>FSCOPUVV386631</v>
      </c>
      <c r="O41" s="8">
        <f>(_xlfn.XLOOKUP($A41,Centrum[Индекс],Centrum[Date on board / Дата погрузки на судно],"",0,1))*1</f>
        <v>44979</v>
      </c>
      <c r="P41" s="8">
        <f>(_xlfn.XLOOKUP($A41,Centrum[Индекс],Centrum[Date of arrival to Sary-Agach/ Дата прибытия на Сары-Агач],"",0,1))*1</f>
        <v>45034</v>
      </c>
      <c r="Q41" s="14" t="str">
        <f>_xlfn.XLOOKUP($A41,Centrum[Индекс],Centrum[Container type/ 
Тип контейнера],"",0,1)</f>
        <v>40'HC</v>
      </c>
      <c r="R41" s="16">
        <f>_xlfn.XLOOKUP($A41,Centrum[Индекс],Centrum[Transportation cost per supplier/ 
Cтоимость перевозки по поставщикам],0,0,1)</f>
        <v>10550</v>
      </c>
      <c r="S41" s="16">
        <f>Шаблон_Формулы!$T41-Шаблон_Формулы!$R41</f>
        <v>0</v>
      </c>
      <c r="T41" s="16">
        <f>_xlfn.XLOOKUP($A41,Centrum[Индекс],Centrum[Transportation total amount / Общая стоимость перевозки],0,0,1)</f>
        <v>10550</v>
      </c>
      <c r="U41" s="12" cm="1">
        <f t="array" ref="U4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41" s="16">
        <f>_xlfn.XLOOKUP(Шаблон_Формулы[[#This Row],[21]],Курс_USD[Дата],Курс_USD[Курс],,0,1)</f>
        <v>11445.03</v>
      </c>
      <c r="W41" s="16">
        <f>Шаблон_Формулы!$T41*Шаблон_Формулы!$V41</f>
        <v>120745066.5</v>
      </c>
      <c r="Y41" s="16">
        <f>Шаблон_Формулы!$W41+Шаблон_Формулы!$X41</f>
        <v>120745066.5</v>
      </c>
      <c r="Z41" s="14" t="str">
        <f>_xlfn.XLOOKUP($A41,Centrum[Индекс],Centrum[Transport co invoice no/ 
Номер инвойса ТК],"",0,1)</f>
        <v>CNT-FS230001670</v>
      </c>
    </row>
    <row r="42" spans="1:26" s="11" customFormat="1" x14ac:dyDescent="0.3">
      <c r="A42" s="14">
        <v>38</v>
      </c>
      <c r="B42" s="11" t="str">
        <f>_xlfn.XLOOKUP($A42,Centrum[Индекс],Centrum[Carrier/ Перевозчик],"",0,1)</f>
        <v>CENTRUM AVIATION FZCO</v>
      </c>
      <c r="C42" s="11" t="str">
        <f>_xlfn.XLOOKUP($A42,Centrum[Индекс],Centrum[Country /  Страна],"",0,1)</f>
        <v>KOREA</v>
      </c>
      <c r="D42" s="11" t="str">
        <f>_xlfn.XLOOKUP($A42,Centrum[Индекс],Centrum[Container num./ 
№ контейнера],"",0,1)</f>
        <v>FESU5335696</v>
      </c>
      <c r="E42" s="11" t="str">
        <f>_xlfn.XLOOKUP($A42,Centrum[Индекс],Centrum[Supplier/
Поставщик],"",0,1)</f>
        <v>GM KOREA COMPANY</v>
      </c>
      <c r="F42" s="11" t="str">
        <f>_xlfn.XLOOKUP($A42,Centrum[Индекс],Centrum[Shippers invoice no/ 
Номер инвойса поставщика],"",1)</f>
        <v>TJAUZ37130A01</v>
      </c>
      <c r="G42" s="15">
        <f>_xlfn.XLOOKUP($A42,Centrum[Индекс],Centrum[Invoice value / Стоимость груза в к-ре по инвойсу],"",0,1)</f>
        <v>225508.32</v>
      </c>
      <c r="H42" s="14" t="s">
        <v>40</v>
      </c>
      <c r="I42" s="11">
        <f>_xlfn.XLOOKUP($A42,Centrum[Индекс],Centrum[CBM on the shipper/ 
CBM по поставщику],"",0,1)</f>
        <v>68.234999999999999</v>
      </c>
      <c r="J42" s="16">
        <f>_xlfn.XLOOKUP($A42,Centrum[Индекс],Centrum[Gross weight of cont// 
Гросс.вес по конт.],"",0,1)</f>
        <v>19025</v>
      </c>
      <c r="K42" s="17" t="str">
        <f>_xlfn.XLOOKUP($A42,Centrum[Индекс],Centrum[Route/ Маршрут (TSR/TCR)],"",0,1)</f>
        <v>TSR</v>
      </c>
      <c r="L42" s="11" t="str">
        <f>_xlfn.XLOOKUP($A42,Centrum[Индекс],Centrum[Условия поставки],"",0,1)</f>
        <v>INCHEON (FOB/P-D)</v>
      </c>
      <c r="M42" s="11" t="str">
        <f>_xlfn.XLOOKUP($A42,Centrum[Индекс],Centrum[№ HBL date / 
№/ дата коносамента],"",0,1)</f>
        <v>FSIMINAS229362</v>
      </c>
      <c r="N42" s="11" t="str">
        <f>_xlfn.XLOOKUP($A42,Centrum[Индекс],Centrum[№ MBL / 
№/ коносамента],"",0,1)</f>
        <v>FSCOPUVV386626</v>
      </c>
      <c r="O42" s="8">
        <f>(_xlfn.XLOOKUP($A42,Centrum[Индекс],Centrum[Date on board / Дата погрузки на судно],"",0,1))*1</f>
        <v>44979</v>
      </c>
      <c r="P42" s="8">
        <f>(_xlfn.XLOOKUP($A42,Centrum[Индекс],Centrum[Date of arrival to Sary-Agach/ Дата прибытия на Сары-Агач],"",0,1))*1</f>
        <v>45034</v>
      </c>
      <c r="Q42" s="14" t="str">
        <f>_xlfn.XLOOKUP($A42,Centrum[Индекс],Centrum[Container type/ 
Тип контейнера],"",0,1)</f>
        <v>40'HC</v>
      </c>
      <c r="R42" s="16">
        <f>_xlfn.XLOOKUP($A42,Centrum[Индекс],Centrum[Transportation cost per supplier/ 
Cтоимость перевозки по поставщикам],0,0,1)</f>
        <v>10850</v>
      </c>
      <c r="S42" s="16">
        <f>Шаблон_Формулы!$T42-Шаблон_Формулы!$R42</f>
        <v>0</v>
      </c>
      <c r="T42" s="16">
        <f>_xlfn.XLOOKUP($A42,Centrum[Индекс],Centrum[Transportation total amount / Общая стоимость перевозки],0,0,1)</f>
        <v>10850</v>
      </c>
      <c r="U42" s="12" cm="1">
        <f t="array" ref="U4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42" s="16">
        <f>_xlfn.XLOOKUP(Шаблон_Формулы[[#This Row],[21]],Курс_USD[Дата],Курс_USD[Курс],,0,1)</f>
        <v>11445.03</v>
      </c>
      <c r="W42" s="16">
        <f>Шаблон_Формулы!$T42*Шаблон_Формулы!$V42</f>
        <v>124178575.5</v>
      </c>
      <c r="Y42" s="16">
        <f>Шаблон_Формулы!$W42+Шаблон_Формулы!$X42</f>
        <v>124178575.5</v>
      </c>
      <c r="Z42" s="14" t="str">
        <f>_xlfn.XLOOKUP($A42,Centrum[Индекс],Centrum[Transport co invoice no/ 
Номер инвойса ТК],"",0,1)</f>
        <v>CNT-FS230001670</v>
      </c>
    </row>
    <row r="43" spans="1:26" s="11" customFormat="1" x14ac:dyDescent="0.3">
      <c r="A43" s="14">
        <v>39</v>
      </c>
      <c r="B43" s="11" t="str">
        <f>_xlfn.XLOOKUP($A43,Centrum[Индекс],Centrum[Carrier/ Перевозчик],"",0,1)</f>
        <v>CENTRUM AVIATION FZCO</v>
      </c>
      <c r="C43" s="11" t="str">
        <f>_xlfn.XLOOKUP($A43,Centrum[Индекс],Centrum[Country /  Страна],"",0,1)</f>
        <v>KOREA</v>
      </c>
      <c r="D43" s="11" t="str">
        <f>_xlfn.XLOOKUP($A43,Centrum[Индекс],Centrum[Container num./ 
№ контейнера],"",0,1)</f>
        <v>FESU5335968</v>
      </c>
      <c r="E43" s="11" t="str">
        <f>_xlfn.XLOOKUP($A43,Centrum[Индекс],Centrum[Supplier/
Поставщик],"",0,1)</f>
        <v>GM KOREA COMPANY</v>
      </c>
      <c r="F43" s="11" t="str">
        <f>_xlfn.XLOOKUP($A43,Centrum[Индекс],Centrum[Shippers invoice no/ 
Номер инвойса поставщика],"",1)</f>
        <v>TJAUZ37133A01</v>
      </c>
      <c r="G43" s="15">
        <f>_xlfn.XLOOKUP($A43,Centrum[Индекс],Centrum[Invoice value / Стоимость груза в к-ре по инвойсу],"",0,1)</f>
        <v>244404</v>
      </c>
      <c r="H43" s="14" t="s">
        <v>40</v>
      </c>
      <c r="I43" s="11">
        <f>_xlfn.XLOOKUP($A43,Centrum[Индекс],Centrum[CBM on the shipper/ 
CBM по поставщику],"",0,1)</f>
        <v>65.813999999999993</v>
      </c>
      <c r="J43" s="16">
        <f>_xlfn.XLOOKUP($A43,Centrum[Индекс],Centrum[Gross weight of cont// 
Гросс.вес по конт.],"",0,1)</f>
        <v>18122</v>
      </c>
      <c r="K43" s="17" t="str">
        <f>_xlfn.XLOOKUP($A43,Centrum[Индекс],Centrum[Route/ Маршрут (TSR/TCR)],"",0,1)</f>
        <v>TSR</v>
      </c>
      <c r="L43" s="11" t="str">
        <f>_xlfn.XLOOKUP($A43,Centrum[Индекс],Centrum[Условия поставки],"",0,1)</f>
        <v>INCHEON (FOB/P-D)</v>
      </c>
      <c r="M43" s="11" t="str">
        <f>_xlfn.XLOOKUP($A43,Centrum[Индекс],Centrum[№ HBL date / 
№/ дата коносамента],"",0,1)</f>
        <v>FSIMINAS229363</v>
      </c>
      <c r="N43" s="11" t="str">
        <f>_xlfn.XLOOKUP($A43,Centrum[Индекс],Centrum[№ MBL / 
№/ коносамента],"",0,1)</f>
        <v>FSCOPUVV386627</v>
      </c>
      <c r="O43" s="8">
        <f>(_xlfn.XLOOKUP($A43,Centrum[Индекс],Centrum[Date on board / Дата погрузки на судно],"",0,1))*1</f>
        <v>44979</v>
      </c>
      <c r="P43" s="8">
        <f>(_xlfn.XLOOKUP($A43,Centrum[Индекс],Centrum[Date of arrival to Sary-Agach/ Дата прибытия на Сары-Агач],"",0,1))*1</f>
        <v>45034</v>
      </c>
      <c r="Q43" s="14" t="str">
        <f>_xlfn.XLOOKUP($A43,Centrum[Индекс],Centrum[Container type/ 
Тип контейнера],"",0,1)</f>
        <v>40'HC</v>
      </c>
      <c r="R43" s="16">
        <f>_xlfn.XLOOKUP($A43,Centrum[Индекс],Centrum[Transportation cost per supplier/ 
Cтоимость перевозки по поставщикам],0,0,1)</f>
        <v>10850</v>
      </c>
      <c r="S43" s="16">
        <f>Шаблон_Формулы!$T43-Шаблон_Формулы!$R43</f>
        <v>0</v>
      </c>
      <c r="T43" s="16">
        <f>_xlfn.XLOOKUP($A43,Centrum[Индекс],Centrum[Transportation total amount / Общая стоимость перевозки],0,0,1)</f>
        <v>10850</v>
      </c>
      <c r="U43" s="12" cm="1">
        <f t="array" ref="U4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43" s="16">
        <f>_xlfn.XLOOKUP(Шаблон_Формулы[[#This Row],[21]],Курс_USD[Дата],Курс_USD[Курс],,0,1)</f>
        <v>11445.03</v>
      </c>
      <c r="W43" s="16">
        <f>Шаблон_Формулы!$T43*Шаблон_Формулы!$V43</f>
        <v>124178575.5</v>
      </c>
      <c r="Y43" s="16">
        <f>Шаблон_Формулы!$W43+Шаблон_Формулы!$X43</f>
        <v>124178575.5</v>
      </c>
      <c r="Z43" s="14" t="str">
        <f>_xlfn.XLOOKUP($A43,Centrum[Индекс],Centrum[Transport co invoice no/ 
Номер инвойса ТК],"",0,1)</f>
        <v>CNT-FS230001670</v>
      </c>
    </row>
    <row r="44" spans="1:26" s="11" customFormat="1" x14ac:dyDescent="0.3">
      <c r="A44" s="14">
        <v>40</v>
      </c>
      <c r="B44" s="11" t="str">
        <f>_xlfn.XLOOKUP($A44,Centrum[Индекс],Centrum[Carrier/ Перевозчик],"",0,1)</f>
        <v>CENTRUM AVIATION FZCO</v>
      </c>
      <c r="C44" s="11" t="str">
        <f>_xlfn.XLOOKUP($A44,Centrum[Индекс],Centrum[Country /  Страна],"",0,1)</f>
        <v>KOREA</v>
      </c>
      <c r="D44" s="11" t="str">
        <f>_xlfn.XLOOKUP($A44,Centrum[Индекс],Centrum[Container num./ 
№ контейнера],"",0,1)</f>
        <v>SEGU4061092</v>
      </c>
      <c r="E44" s="11" t="str">
        <f>_xlfn.XLOOKUP($A44,Centrum[Индекс],Centrum[Supplier/
Поставщик],"",0,1)</f>
        <v>GM KOREA COMPANY</v>
      </c>
      <c r="F44" s="11" t="str">
        <f>_xlfn.XLOOKUP($A44,Centrum[Индекс],Centrum[Shippers invoice no/ 
Номер инвойса поставщика],"",1)</f>
        <v>TJAUZ37133A01</v>
      </c>
      <c r="G44" s="15">
        <f>_xlfn.XLOOKUP($A44,Centrum[Индекс],Centrum[Invoice value / Стоимость груза в к-ре по инвойсу],"",0,1)</f>
        <v>96163.11</v>
      </c>
      <c r="H44" s="14" t="s">
        <v>40</v>
      </c>
      <c r="I44" s="11">
        <f>_xlfn.XLOOKUP($A44,Centrum[Индекс],Centrum[CBM on the shipper/ 
CBM по поставщику],"",0,1)</f>
        <v>67.488</v>
      </c>
      <c r="J44" s="16">
        <f>_xlfn.XLOOKUP($A44,Centrum[Индекс],Centrum[Gross weight of cont// 
Гросс.вес по конт.],"",0,1)</f>
        <v>14174</v>
      </c>
      <c r="K44" s="17" t="str">
        <f>_xlfn.XLOOKUP($A44,Centrum[Индекс],Centrum[Route/ Маршрут (TSR/TCR)],"",0,1)</f>
        <v>TSR</v>
      </c>
      <c r="L44" s="11" t="str">
        <f>_xlfn.XLOOKUP($A44,Centrum[Индекс],Centrum[Условия поставки],"",0,1)</f>
        <v>INCHEON (FOB/P-D)</v>
      </c>
      <c r="M44" s="11" t="str">
        <f>_xlfn.XLOOKUP($A44,Centrum[Индекс],Centrum[№ HBL date / 
№/ дата коносамента],"",0,1)</f>
        <v>FSIMINAS229363</v>
      </c>
      <c r="N44" s="11" t="str">
        <f>_xlfn.XLOOKUP($A44,Centrum[Индекс],Centrum[№ MBL / 
№/ коносамента],"",0,1)</f>
        <v>FSCOPUVV386627</v>
      </c>
      <c r="O44" s="8">
        <f>(_xlfn.XLOOKUP($A44,Centrum[Индекс],Centrum[Date on board / Дата погрузки на судно],"",0,1))*1</f>
        <v>44979</v>
      </c>
      <c r="P44" s="8">
        <f>(_xlfn.XLOOKUP($A44,Centrum[Индекс],Centrum[Date of arrival to Sary-Agach/ Дата прибытия на Сары-Агач],"",0,1))*1</f>
        <v>45034</v>
      </c>
      <c r="Q44" s="14" t="str">
        <f>_xlfn.XLOOKUP($A44,Centrum[Индекс],Centrum[Container type/ 
Тип контейнера],"",0,1)</f>
        <v>40'HC</v>
      </c>
      <c r="R44" s="16">
        <f>_xlfn.XLOOKUP($A44,Centrum[Индекс],Centrum[Transportation cost per supplier/ 
Cтоимость перевозки по поставщикам],0,0,1)</f>
        <v>10850</v>
      </c>
      <c r="S44" s="16">
        <f>Шаблон_Формулы!$T44-Шаблон_Формулы!$R44</f>
        <v>0</v>
      </c>
      <c r="T44" s="16">
        <f>_xlfn.XLOOKUP($A44,Centrum[Индекс],Centrum[Transportation total amount / Общая стоимость перевозки],0,0,1)</f>
        <v>10850</v>
      </c>
      <c r="U44" s="12" cm="1">
        <f t="array" ref="U4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44" s="16">
        <f>_xlfn.XLOOKUP(Шаблон_Формулы[[#This Row],[21]],Курс_USD[Дата],Курс_USD[Курс],,0,1)</f>
        <v>11445.03</v>
      </c>
      <c r="W44" s="16">
        <f>Шаблон_Формулы!$T44*Шаблон_Формулы!$V44</f>
        <v>124178575.5</v>
      </c>
      <c r="Y44" s="16">
        <f>Шаблон_Формулы!$W44+Шаблон_Формулы!$X44</f>
        <v>124178575.5</v>
      </c>
      <c r="Z44" s="14" t="str">
        <f>_xlfn.XLOOKUP($A44,Centrum[Индекс],Centrum[Transport co invoice no/ 
Номер инвойса ТК],"",0,1)</f>
        <v>CNT-FS230001670</v>
      </c>
    </row>
    <row r="45" spans="1:26" s="11" customFormat="1" x14ac:dyDescent="0.3">
      <c r="A45" s="14">
        <v>41</v>
      </c>
      <c r="B45" s="11" t="str">
        <f>_xlfn.XLOOKUP($A45,Centrum[Индекс],Centrum[Carrier/ Перевозчик],"",0,1)</f>
        <v>CENTRUM AVIATION FZCO</v>
      </c>
      <c r="C45" s="11" t="str">
        <f>_xlfn.XLOOKUP($A45,Centrum[Индекс],Centrum[Country /  Страна],"",0,1)</f>
        <v>KOREA</v>
      </c>
      <c r="D45" s="11" t="str">
        <f>_xlfn.XLOOKUP($A45,Centrum[Индекс],Centrum[Container num./ 
№ контейнера],"",0,1)</f>
        <v>TCLU6218030</v>
      </c>
      <c r="E45" s="11" t="str">
        <f>_xlfn.XLOOKUP($A45,Centrum[Индекс],Centrum[Supplier/
Поставщик],"",0,1)</f>
        <v>GM KOREA COMPANY</v>
      </c>
      <c r="F45" s="11" t="str">
        <f>_xlfn.XLOOKUP($A45,Centrum[Индекс],Centrum[Shippers invoice no/ 
Номер инвойса поставщика],"",1)</f>
        <v>TJAUZ37133A01</v>
      </c>
      <c r="G45" s="15">
        <f>_xlfn.XLOOKUP($A45,Centrum[Индекс],Centrum[Invoice value / Стоимость груза в к-ре по инвойсу],"",0,1)</f>
        <v>238368</v>
      </c>
      <c r="H45" s="14" t="s">
        <v>40</v>
      </c>
      <c r="I45" s="11">
        <f>_xlfn.XLOOKUP($A45,Centrum[Индекс],Centrum[CBM on the shipper/ 
CBM по поставщику],"",0,1)</f>
        <v>66.963999999999999</v>
      </c>
      <c r="J45" s="16">
        <f>_xlfn.XLOOKUP($A45,Centrum[Индекс],Centrum[Gross weight of cont// 
Гросс.вес по конт.],"",0,1)</f>
        <v>19137</v>
      </c>
      <c r="K45" s="17" t="str">
        <f>_xlfn.XLOOKUP($A45,Centrum[Индекс],Centrum[Route/ Маршрут (TSR/TCR)],"",0,1)</f>
        <v>TSR</v>
      </c>
      <c r="L45" s="11" t="str">
        <f>_xlfn.XLOOKUP($A45,Centrum[Индекс],Centrum[Условия поставки],"",0,1)</f>
        <v>INCHEON (FOB/P-D)</v>
      </c>
      <c r="M45" s="11" t="str">
        <f>_xlfn.XLOOKUP($A45,Centrum[Индекс],Centrum[№ HBL date / 
№/ дата коносамента],"",0,1)</f>
        <v>FSIMINAS229363</v>
      </c>
      <c r="N45" s="11" t="str">
        <f>_xlfn.XLOOKUP($A45,Centrum[Индекс],Centrum[№ MBL / 
№/ коносамента],"",0,1)</f>
        <v>FSCOPUVV386627</v>
      </c>
      <c r="O45" s="8">
        <f>(_xlfn.XLOOKUP($A45,Centrum[Индекс],Centrum[Date on board / Дата погрузки на судно],"",0,1))*1</f>
        <v>44979</v>
      </c>
      <c r="P45" s="8">
        <f>(_xlfn.XLOOKUP($A45,Centrum[Индекс],Centrum[Date of arrival to Sary-Agach/ Дата прибытия на Сары-Агач],"",0,1))*1</f>
        <v>45034</v>
      </c>
      <c r="Q45" s="14" t="str">
        <f>_xlfn.XLOOKUP($A45,Centrum[Индекс],Centrum[Container type/ 
Тип контейнера],"",0,1)</f>
        <v>40'HC</v>
      </c>
      <c r="R45" s="16">
        <f>_xlfn.XLOOKUP($A45,Centrum[Индекс],Centrum[Transportation cost per supplier/ 
Cтоимость перевозки по поставщикам],0,0,1)</f>
        <v>10850</v>
      </c>
      <c r="S45" s="16">
        <f>Шаблон_Формулы!$T45-Шаблон_Формулы!$R45</f>
        <v>0</v>
      </c>
      <c r="T45" s="16">
        <f>_xlfn.XLOOKUP($A45,Centrum[Индекс],Centrum[Transportation total amount / Общая стоимость перевозки],0,0,1)</f>
        <v>10850</v>
      </c>
      <c r="U45" s="12" cm="1">
        <f t="array" ref="U4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45" s="16">
        <f>_xlfn.XLOOKUP(Шаблон_Формулы[[#This Row],[21]],Курс_USD[Дата],Курс_USD[Курс],,0,1)</f>
        <v>11445.03</v>
      </c>
      <c r="W45" s="16">
        <f>Шаблон_Формулы!$T45*Шаблон_Формулы!$V45</f>
        <v>124178575.5</v>
      </c>
      <c r="Y45" s="16">
        <f>Шаблон_Формулы!$W45+Шаблон_Формулы!$X45</f>
        <v>124178575.5</v>
      </c>
      <c r="Z45" s="14" t="str">
        <f>_xlfn.XLOOKUP($A45,Centrum[Индекс],Centrum[Transport co invoice no/ 
Номер инвойса ТК],"",0,1)</f>
        <v>CNT-FS230001670</v>
      </c>
    </row>
    <row r="46" spans="1:26" s="11" customFormat="1" x14ac:dyDescent="0.3">
      <c r="A46" s="14">
        <v>42</v>
      </c>
      <c r="B46" s="11" t="str">
        <f>_xlfn.XLOOKUP($A46,Centrum[Индекс],Centrum[Carrier/ Перевозчик],"",0,1)</f>
        <v>CENTRUM AVIATION FZCO</v>
      </c>
      <c r="C46" s="11" t="str">
        <f>_xlfn.XLOOKUP($A46,Centrum[Индекс],Centrum[Country /  Страна],"",0,1)</f>
        <v>KOREA</v>
      </c>
      <c r="D46" s="11" t="str">
        <f>_xlfn.XLOOKUP($A46,Centrum[Индекс],Centrum[Container num./ 
№ контейнера],"",0,1)</f>
        <v>TCLU8947508</v>
      </c>
      <c r="E46" s="11" t="str">
        <f>_xlfn.XLOOKUP($A46,Centrum[Индекс],Centrum[Supplier/
Поставщик],"",0,1)</f>
        <v>GM KOREA COMPANY</v>
      </c>
      <c r="F46" s="11" t="str">
        <f>_xlfn.XLOOKUP($A46,Centrum[Индекс],Centrum[Shippers invoice no/ 
Номер инвойса поставщика],"",1)</f>
        <v>TJAUZ37129A01</v>
      </c>
      <c r="G46" s="15">
        <f>_xlfn.XLOOKUP($A46,Centrum[Индекс],Centrum[Invoice value / Стоимость груза в к-ре по инвойсу],"",0,1)</f>
        <v>13020.36</v>
      </c>
      <c r="H46" s="14" t="s">
        <v>40</v>
      </c>
      <c r="I46" s="11">
        <f>_xlfn.XLOOKUP($A46,Centrum[Индекс],Centrum[CBM on the shipper/ 
CBM по поставщику],"",0,1)</f>
        <v>67.597999999999999</v>
      </c>
      <c r="J46" s="16">
        <f>_xlfn.XLOOKUP($A46,Centrum[Индекс],Centrum[Gross weight of cont// 
Гросс.вес по конт.],"",0,1)</f>
        <v>4780</v>
      </c>
      <c r="K46" s="17" t="str">
        <f>_xlfn.XLOOKUP($A46,Centrum[Индекс],Centrum[Route/ Маршрут (TSR/TCR)],"",0,1)</f>
        <v>TSR</v>
      </c>
      <c r="L46" s="11" t="str">
        <f>_xlfn.XLOOKUP($A46,Centrum[Индекс],Centrum[Условия поставки],"",0,1)</f>
        <v>KUNSAN (FOB/P-D)</v>
      </c>
      <c r="M46" s="11" t="str">
        <f>_xlfn.XLOOKUP($A46,Centrum[Индекс],Centrum[№ HBL date / 
№/ дата коносамента],"",0,1)</f>
        <v>FSIMPUAS229365</v>
      </c>
      <c r="N46" s="11" t="str">
        <f>_xlfn.XLOOKUP($A46,Centrum[Индекс],Centrum[№ MBL / 
№/ коносамента],"",0,1)</f>
        <v>FSCOPUVV386630</v>
      </c>
      <c r="O46" s="8">
        <f>(_xlfn.XLOOKUP($A46,Centrum[Индекс],Centrum[Date on board / Дата погрузки на судно],"",0,1))*1</f>
        <v>44979</v>
      </c>
      <c r="P46" s="8">
        <f>(_xlfn.XLOOKUP($A46,Centrum[Индекс],Centrum[Date of arrival to Sary-Agach/ Дата прибытия на Сары-Агач],"",0,1))*1</f>
        <v>45034</v>
      </c>
      <c r="Q46" s="14" t="str">
        <f>_xlfn.XLOOKUP($A46,Centrum[Индекс],Centrum[Container type/ 
Тип контейнера],"",0,1)</f>
        <v>40'HC</v>
      </c>
      <c r="R46" s="16">
        <f>_xlfn.XLOOKUP($A46,Centrum[Индекс],Centrum[Transportation cost per supplier/ 
Cтоимость перевозки по поставщикам],0,0,1)</f>
        <v>11600</v>
      </c>
      <c r="S46" s="16">
        <f>Шаблон_Формулы!$T46-Шаблон_Формулы!$R46</f>
        <v>0</v>
      </c>
      <c r="T46" s="16">
        <f>_xlfn.XLOOKUP($A46,Centrum[Индекс],Centrum[Transportation total amount / Общая стоимость перевозки],0,0,1)</f>
        <v>11600</v>
      </c>
      <c r="U46" s="12" cm="1">
        <f t="array" ref="U4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46" s="16">
        <f>_xlfn.XLOOKUP(Шаблон_Формулы[[#This Row],[21]],Курс_USD[Дата],Курс_USD[Курс],,0,1)</f>
        <v>11445.03</v>
      </c>
      <c r="W46" s="16">
        <f>Шаблон_Формулы!$T46*Шаблон_Формулы!$V46</f>
        <v>132762348.00000001</v>
      </c>
      <c r="Y46" s="16">
        <f>Шаблон_Формулы!$W46+Шаблон_Формулы!$X46</f>
        <v>132762348.00000001</v>
      </c>
      <c r="Z46" s="14" t="str">
        <f>_xlfn.XLOOKUP($A46,Centrum[Индекс],Centrum[Transport co invoice no/ 
Номер инвойса ТК],"",0,1)</f>
        <v>CNT-FS230001670</v>
      </c>
    </row>
    <row r="47" spans="1:26" s="11" customFormat="1" x14ac:dyDescent="0.3">
      <c r="A47" s="14">
        <v>43</v>
      </c>
      <c r="B47" s="11" t="str">
        <f>_xlfn.XLOOKUP($A47,Centrum[Индекс],Centrum[Carrier/ Перевозчик],"",0,1)</f>
        <v>CENTRUM AVIATION FZCO</v>
      </c>
      <c r="C47" s="11" t="str">
        <f>_xlfn.XLOOKUP($A47,Centrum[Индекс],Centrum[Country /  Страна],"",0,1)</f>
        <v>KOREA</v>
      </c>
      <c r="D47" s="11" t="str">
        <f>_xlfn.XLOOKUP($A47,Centrum[Индекс],Centrum[Container num./ 
№ контейнера],"",0,1)</f>
        <v>TCLU9963782</v>
      </c>
      <c r="E47" s="11" t="str">
        <f>_xlfn.XLOOKUP($A47,Centrum[Индекс],Centrum[Supplier/
Поставщик],"",0,1)</f>
        <v>GM KOREA COMPANY</v>
      </c>
      <c r="F47" s="11" t="str">
        <f>_xlfn.XLOOKUP($A47,Centrum[Индекс],Centrum[Shippers invoice no/ 
Номер инвойса поставщика],"",1)</f>
        <v>TJAUZ37129A01</v>
      </c>
      <c r="G47" s="15">
        <f>_xlfn.XLOOKUP($A47,Centrum[Индекс],Centrum[Invoice value / Стоимость груза в к-ре по инвойсу],"",0,1)</f>
        <v>26780.3</v>
      </c>
      <c r="H47" s="14" t="s">
        <v>40</v>
      </c>
      <c r="I47" s="11">
        <f>_xlfn.XLOOKUP($A47,Centrum[Индекс],Centrum[CBM on the shipper/ 
CBM по поставщику],"",0,1)</f>
        <v>67.421000000000006</v>
      </c>
      <c r="J47" s="16">
        <f>_xlfn.XLOOKUP($A47,Centrum[Индекс],Centrum[Gross weight of cont// 
Гросс.вес по конт.],"",0,1)</f>
        <v>8366</v>
      </c>
      <c r="K47" s="17" t="str">
        <f>_xlfn.XLOOKUP($A47,Centrum[Индекс],Centrum[Route/ Маршрут (TSR/TCR)],"",0,1)</f>
        <v>TSR</v>
      </c>
      <c r="L47" s="11" t="str">
        <f>_xlfn.XLOOKUP($A47,Centrum[Индекс],Centrum[Условия поставки],"",0,1)</f>
        <v>KUNSAN (FOB/P-D)</v>
      </c>
      <c r="M47" s="11" t="str">
        <f>_xlfn.XLOOKUP($A47,Centrum[Индекс],Centrum[№ HBL date / 
№/ дата коносамента],"",0,1)</f>
        <v>FSIMPUAS229365</v>
      </c>
      <c r="N47" s="11" t="str">
        <f>_xlfn.XLOOKUP($A47,Centrum[Индекс],Centrum[№ MBL / 
№/ коносамента],"",0,1)</f>
        <v>FSCOPUVV386630</v>
      </c>
      <c r="O47" s="8">
        <f>(_xlfn.XLOOKUP($A47,Centrum[Индекс],Centrum[Date on board / Дата погрузки на судно],"",0,1))*1</f>
        <v>44979</v>
      </c>
      <c r="P47" s="8">
        <f>(_xlfn.XLOOKUP($A47,Centrum[Индекс],Centrum[Date of arrival to Sary-Agach/ Дата прибытия на Сары-Агач],"",0,1))*1</f>
        <v>45034</v>
      </c>
      <c r="Q47" s="14" t="str">
        <f>_xlfn.XLOOKUP($A47,Centrum[Индекс],Centrum[Container type/ 
Тип контейнера],"",0,1)</f>
        <v>40'HC</v>
      </c>
      <c r="R47" s="16">
        <f>_xlfn.XLOOKUP($A47,Centrum[Индекс],Centrum[Transportation cost per supplier/ 
Cтоимость перевозки по поставщикам],0,0,1)</f>
        <v>11600</v>
      </c>
      <c r="S47" s="16">
        <f>Шаблон_Формулы!$T47-Шаблон_Формулы!$R47</f>
        <v>0</v>
      </c>
      <c r="T47" s="16">
        <f>_xlfn.XLOOKUP($A47,Centrum[Индекс],Centrum[Transportation total amount / Общая стоимость перевозки],0,0,1)</f>
        <v>11600</v>
      </c>
      <c r="U47" s="12" cm="1">
        <f t="array" ref="U4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47" s="16">
        <f>_xlfn.XLOOKUP(Шаблон_Формулы[[#This Row],[21]],Курс_USD[Дата],Курс_USD[Курс],,0,1)</f>
        <v>11445.03</v>
      </c>
      <c r="W47" s="16">
        <f>Шаблон_Формулы!$T47*Шаблон_Формулы!$V47</f>
        <v>132762348.00000001</v>
      </c>
      <c r="Y47" s="16">
        <f>Шаблон_Формулы!$W47+Шаблон_Формулы!$X47</f>
        <v>132762348.00000001</v>
      </c>
      <c r="Z47" s="14" t="str">
        <f>_xlfn.XLOOKUP($A47,Centrum[Индекс],Centrum[Transport co invoice no/ 
Номер инвойса ТК],"",0,1)</f>
        <v>CNT-FS230001670</v>
      </c>
    </row>
    <row r="48" spans="1:26" s="11" customFormat="1" x14ac:dyDescent="0.3">
      <c r="A48" s="14">
        <v>44</v>
      </c>
      <c r="B48" s="11" t="str">
        <f>_xlfn.XLOOKUP($A48,Centrum[Индекс],Centrum[Carrier/ Перевозчик],"",0,1)</f>
        <v>CENTRUM AVIATION FZCO</v>
      </c>
      <c r="C48" s="11" t="str">
        <f>_xlfn.XLOOKUP($A48,Centrum[Индекс],Centrum[Country /  Страна],"",0,1)</f>
        <v>KOREA</v>
      </c>
      <c r="D48" s="11" t="str">
        <f>_xlfn.XLOOKUP($A48,Centrum[Индекс],Centrum[Container num./ 
№ контейнера],"",0,1)</f>
        <v>TCNU7819562</v>
      </c>
      <c r="E48" s="11" t="str">
        <f>_xlfn.XLOOKUP($A48,Centrum[Индекс],Centrum[Supplier/
Поставщик],"",0,1)</f>
        <v>GM KOREA COMPANY</v>
      </c>
      <c r="F48" s="11" t="str">
        <f>_xlfn.XLOOKUP($A48,Centrum[Индекс],Centrum[Shippers invoice no/ 
Номер инвойса поставщика],"",1)</f>
        <v>TJAUZ37116A01</v>
      </c>
      <c r="G48" s="15">
        <f>_xlfn.XLOOKUP($A48,Centrum[Индекс],Centrum[Invoice value / Стоимость груза в к-ре по инвойсу],"",0,1)</f>
        <v>10053.120000000001</v>
      </c>
      <c r="H48" s="14" t="s">
        <v>40</v>
      </c>
      <c r="I48" s="11">
        <f>_xlfn.XLOOKUP($A48,Centrum[Индекс],Centrum[CBM on the shipper/ 
CBM по поставщику],"",0,1)</f>
        <v>67.558999999999997</v>
      </c>
      <c r="J48" s="16">
        <f>_xlfn.XLOOKUP($A48,Centrum[Индекс],Centrum[Gross weight of cont// 
Гросс.вес по конт.],"",0,1)</f>
        <v>3570</v>
      </c>
      <c r="K48" s="17" t="str">
        <f>_xlfn.XLOOKUP($A48,Centrum[Индекс],Centrum[Route/ Маршрут (TSR/TCR)],"",0,1)</f>
        <v>TSR</v>
      </c>
      <c r="L48" s="11" t="str">
        <f>_xlfn.XLOOKUP($A48,Centrum[Индекс],Centrum[Условия поставки],"",0,1)</f>
        <v>KUNSAN (FOB/P-D)</v>
      </c>
      <c r="M48" s="11" t="str">
        <f>_xlfn.XLOOKUP($A48,Centrum[Индекс],Centrum[№ HBL date / 
№/ дата коносамента],"",0,1)</f>
        <v>FSIMPUAS229341</v>
      </c>
      <c r="N48" s="11" t="str">
        <f>_xlfn.XLOOKUP($A48,Centrum[Индекс],Centrum[№ MBL / 
№/ коносамента],"",0,1)</f>
        <v>FSCOPUVV386541</v>
      </c>
      <c r="O48" s="8">
        <f>(_xlfn.XLOOKUP($A48,Centrum[Индекс],Centrum[Date on board / Дата погрузки на судно],"",0,1))*1</f>
        <v>44971</v>
      </c>
      <c r="P48" s="8">
        <f>(_xlfn.XLOOKUP($A48,Centrum[Индекс],Centrum[Date of arrival to Sary-Agach/ Дата прибытия на Сары-Агач],"",0,1))*1</f>
        <v>45034</v>
      </c>
      <c r="Q48" s="14" t="str">
        <f>_xlfn.XLOOKUP($A48,Centrum[Индекс],Centrum[Container type/ 
Тип контейнера],"",0,1)</f>
        <v>40'HC</v>
      </c>
      <c r="R48" s="16">
        <f>_xlfn.XLOOKUP($A48,Centrum[Индекс],Centrum[Transportation cost per supplier/ 
Cтоимость перевозки по поставщикам],0,0,1)</f>
        <v>11600</v>
      </c>
      <c r="S48" s="16">
        <f>Шаблон_Формулы!$T48-Шаблон_Формулы!$R48</f>
        <v>0</v>
      </c>
      <c r="T48" s="16">
        <f>_xlfn.XLOOKUP($A48,Centrum[Индекс],Centrum[Transportation total amount / Общая стоимость перевозки],0,0,1)</f>
        <v>11600</v>
      </c>
      <c r="U48" s="12" cm="1">
        <f t="array" ref="U4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48" s="16">
        <f>_xlfn.XLOOKUP(Шаблон_Формулы[[#This Row],[21]],Курс_USD[Дата],Курс_USD[Курс],,0,1)</f>
        <v>11445.03</v>
      </c>
      <c r="W48" s="16">
        <f>Шаблон_Формулы!$T48*Шаблон_Формулы!$V48</f>
        <v>132762348.00000001</v>
      </c>
      <c r="Y48" s="16">
        <f>Шаблон_Формулы!$W48+Шаблон_Формулы!$X48</f>
        <v>132762348.00000001</v>
      </c>
      <c r="Z48" s="14" t="str">
        <f>_xlfn.XLOOKUP($A48,Centrum[Индекс],Centrum[Transport co invoice no/ 
Номер инвойса ТК],"",0,1)</f>
        <v>CNT-FS230001670</v>
      </c>
    </row>
    <row r="49" spans="1:26" s="11" customFormat="1" x14ac:dyDescent="0.3">
      <c r="A49" s="14">
        <v>45</v>
      </c>
      <c r="B49" s="11" t="str">
        <f>_xlfn.XLOOKUP($A49,Centrum[Индекс],Centrum[Carrier/ Перевозчик],"",0,1)</f>
        <v>CENTRUM AVIATION FZCO</v>
      </c>
      <c r="C49" s="11" t="str">
        <f>_xlfn.XLOOKUP($A49,Centrum[Индекс],Centrum[Country /  Страна],"",0,1)</f>
        <v>KOREA</v>
      </c>
      <c r="D49" s="11" t="str">
        <f>_xlfn.XLOOKUP($A49,Centrum[Индекс],Centrum[Container num./ 
№ контейнера],"",0,1)</f>
        <v>TEMU7395382</v>
      </c>
      <c r="E49" s="11" t="str">
        <f>_xlfn.XLOOKUP($A49,Centrum[Индекс],Centrum[Supplier/
Поставщик],"",0,1)</f>
        <v>GM KOREA COMPANY</v>
      </c>
      <c r="F49" s="11" t="str">
        <f>_xlfn.XLOOKUP($A49,Centrum[Индекс],Centrum[Shippers invoice no/ 
Номер инвойса поставщика],"",1)</f>
        <v>TJAUZ37129A01</v>
      </c>
      <c r="G49" s="15">
        <f>_xlfn.XLOOKUP($A49,Centrum[Индекс],Centrum[Invoice value / Стоимость груза в к-ре по инвойсу],"",0,1)</f>
        <v>10977.12</v>
      </c>
      <c r="H49" s="14" t="s">
        <v>40</v>
      </c>
      <c r="I49" s="11">
        <f>_xlfn.XLOOKUP($A49,Centrum[Индекс],Centrum[CBM on the shipper/ 
CBM по поставщику],"",0,1)</f>
        <v>67.558999999999997</v>
      </c>
      <c r="J49" s="16">
        <f>_xlfn.XLOOKUP($A49,Centrum[Индекс],Centrum[Gross weight of cont// 
Гросс.вес по конт.],"",0,1)</f>
        <v>3777</v>
      </c>
      <c r="K49" s="17" t="str">
        <f>_xlfn.XLOOKUP($A49,Centrum[Индекс],Centrum[Route/ Маршрут (TSR/TCR)],"",0,1)</f>
        <v>TSR</v>
      </c>
      <c r="L49" s="11" t="str">
        <f>_xlfn.XLOOKUP($A49,Centrum[Индекс],Centrum[Условия поставки],"",0,1)</f>
        <v>KUNSAN (FOB/P-D)</v>
      </c>
      <c r="M49" s="11" t="str">
        <f>_xlfn.XLOOKUP($A49,Centrum[Индекс],Centrum[№ HBL date / 
№/ дата коносамента],"",0,1)</f>
        <v>FSIMPUAS229365</v>
      </c>
      <c r="N49" s="11" t="str">
        <f>_xlfn.XLOOKUP($A49,Centrum[Индекс],Centrum[№ MBL / 
№/ коносамента],"",0,1)</f>
        <v>FSCOPUVV386630</v>
      </c>
      <c r="O49" s="8">
        <f>(_xlfn.XLOOKUP($A49,Centrum[Индекс],Centrum[Date on board / Дата погрузки на судно],"",0,1))*1</f>
        <v>44979</v>
      </c>
      <c r="P49" s="8">
        <f>(_xlfn.XLOOKUP($A49,Centrum[Индекс],Centrum[Date of arrival to Sary-Agach/ Дата прибытия на Сары-Агач],"",0,1))*1</f>
        <v>45034</v>
      </c>
      <c r="Q49" s="14" t="str">
        <f>_xlfn.XLOOKUP($A49,Centrum[Индекс],Centrum[Container type/ 
Тип контейнера],"",0,1)</f>
        <v>40'HC</v>
      </c>
      <c r="R49" s="16">
        <f>_xlfn.XLOOKUP($A49,Centrum[Индекс],Centrum[Transportation cost per supplier/ 
Cтоимость перевозки по поставщикам],0,0,1)</f>
        <v>11600</v>
      </c>
      <c r="S49" s="16">
        <f>Шаблон_Формулы!$T49-Шаблон_Формулы!$R49</f>
        <v>0</v>
      </c>
      <c r="T49" s="16">
        <f>_xlfn.XLOOKUP($A49,Centrum[Индекс],Centrum[Transportation total amount / Общая стоимость перевозки],0,0,1)</f>
        <v>11600</v>
      </c>
      <c r="U49" s="12" cm="1">
        <f t="array" ref="U4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49" s="16">
        <f>_xlfn.XLOOKUP(Шаблон_Формулы[[#This Row],[21]],Курс_USD[Дата],Курс_USD[Курс],,0,1)</f>
        <v>11445.03</v>
      </c>
      <c r="W49" s="16">
        <f>Шаблон_Формулы!$T49*Шаблон_Формулы!$V49</f>
        <v>132762348.00000001</v>
      </c>
      <c r="Y49" s="16">
        <f>Шаблон_Формулы!$W49+Шаблон_Формулы!$X49</f>
        <v>132762348.00000001</v>
      </c>
      <c r="Z49" s="14" t="str">
        <f>_xlfn.XLOOKUP($A49,Centrum[Индекс],Centrum[Transport co invoice no/ 
Номер инвойса ТК],"",0,1)</f>
        <v>CNT-FS230001670</v>
      </c>
    </row>
    <row r="50" spans="1:26" s="11" customFormat="1" x14ac:dyDescent="0.3">
      <c r="A50" s="14">
        <v>46</v>
      </c>
      <c r="B50" s="11" t="str">
        <f>_xlfn.XLOOKUP($A50,Centrum[Индекс],Centrum[Carrier/ Перевозчик],"",0,1)</f>
        <v>CENTRUM AVIATION FZCO</v>
      </c>
      <c r="C50" s="11" t="str">
        <f>_xlfn.XLOOKUP($A50,Centrum[Индекс],Centrum[Country /  Страна],"",0,1)</f>
        <v>KOREA</v>
      </c>
      <c r="D50" s="11" t="str">
        <f>_xlfn.XLOOKUP($A50,Centrum[Индекс],Centrum[Container num./ 
№ контейнера],"",0,1)</f>
        <v>TGHU6138308</v>
      </c>
      <c r="E50" s="11" t="str">
        <f>_xlfn.XLOOKUP($A50,Centrum[Индекс],Centrum[Supplier/
Поставщик],"",0,1)</f>
        <v>GM KOREA COMPANY</v>
      </c>
      <c r="F50" s="11" t="str">
        <f>_xlfn.XLOOKUP($A50,Centrum[Индекс],Centrum[Shippers invoice no/ 
Номер инвойса поставщика],"",1)</f>
        <v>TJAUZ37132C01</v>
      </c>
      <c r="G50" s="15">
        <f>_xlfn.XLOOKUP($A50,Centrum[Индекс],Centrum[Invoice value / Стоимость груза в к-ре по инвойсу],"",0,1)</f>
        <v>47890.9</v>
      </c>
      <c r="H50" s="14" t="s">
        <v>40</v>
      </c>
      <c r="I50" s="11">
        <f>_xlfn.XLOOKUP($A50,Centrum[Индекс],Centrum[CBM on the shipper/ 
CBM по поставщику],"",0,1)</f>
        <v>64.552999999999997</v>
      </c>
      <c r="J50" s="16">
        <f>_xlfn.XLOOKUP($A50,Centrum[Индекс],Centrum[Gross weight of cont// 
Гросс.вес по конт.],"",0,1)</f>
        <v>9554</v>
      </c>
      <c r="K50" s="17" t="str">
        <f>_xlfn.XLOOKUP($A50,Centrum[Индекс],Centrum[Route/ Маршрут (TSR/TCR)],"",0,1)</f>
        <v>TSR</v>
      </c>
      <c r="L50" s="11" t="str">
        <f>_xlfn.XLOOKUP($A50,Centrum[Индекс],Centrum[Условия поставки],"",0,1)</f>
        <v>BUSAN (FOB/P-D)</v>
      </c>
      <c r="M50" s="11" t="str">
        <f>_xlfn.XLOOKUP($A50,Centrum[Индекс],Centrum[№ HBL date / 
№/ дата коносамента],"",0,1)</f>
        <v>FSIMPUAS229366</v>
      </c>
      <c r="N50" s="11" t="str">
        <f>_xlfn.XLOOKUP($A50,Centrum[Индекс],Centrum[№ MBL / 
№/ коносамента],"",0,1)</f>
        <v>FSCOPUVV386631</v>
      </c>
      <c r="O50" s="8">
        <f>(_xlfn.XLOOKUP($A50,Centrum[Индекс],Centrum[Date on board / Дата погрузки на судно],"",0,1))*1</f>
        <v>44979</v>
      </c>
      <c r="P50" s="8">
        <f>(_xlfn.XLOOKUP($A50,Centrum[Индекс],Centrum[Date of arrival to Sary-Agach/ Дата прибытия на Сары-Агач],"",0,1))*1</f>
        <v>45034</v>
      </c>
      <c r="Q50" s="14" t="str">
        <f>_xlfn.XLOOKUP($A50,Centrum[Индекс],Centrum[Container type/ 
Тип контейнера],"",0,1)</f>
        <v>40'HC</v>
      </c>
      <c r="R50" s="16">
        <f>_xlfn.XLOOKUP($A50,Centrum[Индекс],Centrum[Transportation cost per supplier/ 
Cтоимость перевозки по поставщикам],0,0,1)</f>
        <v>10550</v>
      </c>
      <c r="S50" s="16">
        <f>Шаблон_Формулы!$T50-Шаблон_Формулы!$R50</f>
        <v>0</v>
      </c>
      <c r="T50" s="16">
        <f>_xlfn.XLOOKUP($A50,Centrum[Индекс],Centrum[Transportation total amount / Общая стоимость перевозки],0,0,1)</f>
        <v>10550</v>
      </c>
      <c r="U50" s="12" cm="1">
        <f t="array" ref="U5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50" s="16">
        <f>_xlfn.XLOOKUP(Шаблон_Формулы[[#This Row],[21]],Курс_USD[Дата],Курс_USD[Курс],,0,1)</f>
        <v>11445.03</v>
      </c>
      <c r="W50" s="16">
        <f>Шаблон_Формулы!$T50*Шаблон_Формулы!$V50</f>
        <v>120745066.5</v>
      </c>
      <c r="Y50" s="16">
        <f>Шаблон_Формулы!$W50+Шаблон_Формулы!$X50</f>
        <v>120745066.5</v>
      </c>
      <c r="Z50" s="14" t="str">
        <f>_xlfn.XLOOKUP($A50,Centrum[Индекс],Centrum[Transport co invoice no/ 
Номер инвойса ТК],"",0,1)</f>
        <v>CNT-FS230001670</v>
      </c>
    </row>
    <row r="51" spans="1:26" s="11" customFormat="1" x14ac:dyDescent="0.3">
      <c r="A51" s="14">
        <v>47</v>
      </c>
      <c r="B51" s="11" t="str">
        <f>_xlfn.XLOOKUP($A51,Centrum[Индекс],Centrum[Carrier/ Перевозчик],"",0,1)</f>
        <v>CENTRUM AVIATION FZCO</v>
      </c>
      <c r="C51" s="11" t="str">
        <f>_xlfn.XLOOKUP($A51,Centrum[Индекс],Centrum[Country /  Страна],"",0,1)</f>
        <v>KOREA</v>
      </c>
      <c r="D51" s="11" t="str">
        <f>_xlfn.XLOOKUP($A51,Centrum[Индекс],Centrum[Container num./ 
№ контейнера],"",0,1)</f>
        <v>TGHU6438584</v>
      </c>
      <c r="E51" s="11" t="str">
        <f>_xlfn.XLOOKUP($A51,Centrum[Индекс],Centrum[Supplier/
Поставщик],"",0,1)</f>
        <v>GM KOREA COMPANY</v>
      </c>
      <c r="F51" s="11" t="str">
        <f>_xlfn.XLOOKUP($A51,Centrum[Индекс],Centrum[Shippers invoice no/ 
Номер инвойса поставщика],"",1)</f>
        <v>TJAUZ37133A01</v>
      </c>
      <c r="G51" s="15">
        <f>_xlfn.XLOOKUP($A51,Centrum[Индекс],Centrum[Invoice value / Стоимость груза в к-ре по инвойсу],"",0,1)</f>
        <v>66406.02</v>
      </c>
      <c r="H51" s="14" t="s">
        <v>40</v>
      </c>
      <c r="I51" s="11">
        <f>_xlfn.XLOOKUP($A51,Centrum[Индекс],Centrum[CBM on the shipper/ 
CBM по поставщику],"",0,1)</f>
        <v>64.239000000000004</v>
      </c>
      <c r="J51" s="16">
        <f>_xlfn.XLOOKUP($A51,Centrum[Индекс],Centrum[Gross weight of cont// 
Гросс.вес по конт.],"",0,1)</f>
        <v>6345</v>
      </c>
      <c r="K51" s="17" t="str">
        <f>_xlfn.XLOOKUP($A51,Centrum[Индекс],Centrum[Route/ Маршрут (TSR/TCR)],"",0,1)</f>
        <v>TSR</v>
      </c>
      <c r="L51" s="11" t="str">
        <f>_xlfn.XLOOKUP($A51,Centrum[Индекс],Centrum[Условия поставки],"",0,1)</f>
        <v>INCHEON (FOB/P-D)</v>
      </c>
      <c r="M51" s="11" t="str">
        <f>_xlfn.XLOOKUP($A51,Centrum[Индекс],Centrum[№ HBL date / 
№/ дата коносамента],"",0,1)</f>
        <v>FSIMINAS229363</v>
      </c>
      <c r="N51" s="11" t="str">
        <f>_xlfn.XLOOKUP($A51,Centrum[Индекс],Centrum[№ MBL / 
№/ коносамента],"",0,1)</f>
        <v>FSCOPUVV386627</v>
      </c>
      <c r="O51" s="8">
        <f>(_xlfn.XLOOKUP($A51,Centrum[Индекс],Centrum[Date on board / Дата погрузки на судно],"",0,1))*1</f>
        <v>44979</v>
      </c>
      <c r="P51" s="8">
        <f>(_xlfn.XLOOKUP($A51,Centrum[Индекс],Centrum[Date of arrival to Sary-Agach/ Дата прибытия на Сары-Агач],"",0,1))*1</f>
        <v>45034</v>
      </c>
      <c r="Q51" s="14" t="str">
        <f>_xlfn.XLOOKUP($A51,Centrum[Индекс],Centrum[Container type/ 
Тип контейнера],"",0,1)</f>
        <v>40'HC</v>
      </c>
      <c r="R51" s="16">
        <f>_xlfn.XLOOKUP($A51,Centrum[Индекс],Centrum[Transportation cost per supplier/ 
Cтоимость перевозки по поставщикам],0,0,1)</f>
        <v>10850</v>
      </c>
      <c r="S51" s="16">
        <f>Шаблон_Формулы!$T51-Шаблон_Формулы!$R51</f>
        <v>0</v>
      </c>
      <c r="T51" s="16">
        <f>_xlfn.XLOOKUP($A51,Centrum[Индекс],Centrum[Transportation total amount / Общая стоимость перевозки],0,0,1)</f>
        <v>10850</v>
      </c>
      <c r="U51" s="12" cm="1">
        <f t="array" ref="U5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51" s="16">
        <f>_xlfn.XLOOKUP(Шаблон_Формулы[[#This Row],[21]],Курс_USD[Дата],Курс_USD[Курс],,0,1)</f>
        <v>11445.03</v>
      </c>
      <c r="W51" s="16">
        <f>Шаблон_Формулы!$T51*Шаблон_Формулы!$V51</f>
        <v>124178575.5</v>
      </c>
      <c r="Y51" s="16">
        <f>Шаблон_Формулы!$W51+Шаблон_Формулы!$X51</f>
        <v>124178575.5</v>
      </c>
      <c r="Z51" s="14" t="str">
        <f>_xlfn.XLOOKUP($A51,Centrum[Индекс],Centrum[Transport co invoice no/ 
Номер инвойса ТК],"",0,1)</f>
        <v>CNT-FS230001670</v>
      </c>
    </row>
    <row r="52" spans="1:26" s="11" customFormat="1" x14ac:dyDescent="0.3">
      <c r="A52" s="14">
        <v>48</v>
      </c>
      <c r="B52" s="11" t="str">
        <f>_xlfn.XLOOKUP($A52,Centrum[Индекс],Centrum[Carrier/ Перевозчик],"",0,1)</f>
        <v>CENTRUM AVIATION FZCO</v>
      </c>
      <c r="C52" s="11" t="str">
        <f>_xlfn.XLOOKUP($A52,Centrum[Индекс],Centrum[Country /  Страна],"",0,1)</f>
        <v>KOREA</v>
      </c>
      <c r="D52" s="11" t="str">
        <f>_xlfn.XLOOKUP($A52,Centrum[Индекс],Centrum[Container num./ 
№ контейнера],"",0,1)</f>
        <v>TGHU6626452</v>
      </c>
      <c r="E52" s="11" t="str">
        <f>_xlfn.XLOOKUP($A52,Centrum[Индекс],Centrum[Supplier/
Поставщик],"",0,1)</f>
        <v>GM KOREA COMPANY</v>
      </c>
      <c r="F52" s="11" t="str">
        <f>_xlfn.XLOOKUP($A52,Centrum[Индекс],Centrum[Shippers invoice no/ 
Номер инвойса поставщика],"",1)</f>
        <v>TJAUZ37129A01</v>
      </c>
      <c r="G52" s="15">
        <f>_xlfn.XLOOKUP($A52,Centrum[Индекс],Centrum[Invoice value / Стоимость груза в к-ре по инвойсу],"",0,1)</f>
        <v>13796.36</v>
      </c>
      <c r="H52" s="14" t="s">
        <v>40</v>
      </c>
      <c r="I52" s="11">
        <f>_xlfn.XLOOKUP($A52,Centrum[Индекс],Centrum[CBM on the shipper/ 
CBM по поставщику],"",0,1)</f>
        <v>67.597999999999999</v>
      </c>
      <c r="J52" s="16">
        <f>_xlfn.XLOOKUP($A52,Centrum[Индекс],Centrum[Gross weight of cont// 
Гросс.вес по конт.],"",0,1)</f>
        <v>4933</v>
      </c>
      <c r="K52" s="17" t="str">
        <f>_xlfn.XLOOKUP($A52,Centrum[Индекс],Centrum[Route/ Маршрут (TSR/TCR)],"",0,1)</f>
        <v>TSR</v>
      </c>
      <c r="L52" s="11" t="str">
        <f>_xlfn.XLOOKUP($A52,Centrum[Индекс],Centrum[Условия поставки],"",0,1)</f>
        <v>KUNSAN (FOB/P-D)</v>
      </c>
      <c r="M52" s="11" t="str">
        <f>_xlfn.XLOOKUP($A52,Centrum[Индекс],Centrum[№ HBL date / 
№/ дата коносамента],"",0,1)</f>
        <v>FSIMPUAS229365</v>
      </c>
      <c r="N52" s="11" t="str">
        <f>_xlfn.XLOOKUP($A52,Centrum[Индекс],Centrum[№ MBL / 
№/ коносамента],"",0,1)</f>
        <v>FSCOPUVV386630</v>
      </c>
      <c r="O52" s="8">
        <f>(_xlfn.XLOOKUP($A52,Centrum[Индекс],Centrum[Date on board / Дата погрузки на судно],"",0,1))*1</f>
        <v>44979</v>
      </c>
      <c r="P52" s="8">
        <f>(_xlfn.XLOOKUP($A52,Centrum[Индекс],Centrum[Date of arrival to Sary-Agach/ Дата прибытия на Сары-Агач],"",0,1))*1</f>
        <v>45034</v>
      </c>
      <c r="Q52" s="14" t="str">
        <f>_xlfn.XLOOKUP($A52,Centrum[Индекс],Centrum[Container type/ 
Тип контейнера],"",0,1)</f>
        <v>40'HC</v>
      </c>
      <c r="R52" s="16">
        <f>_xlfn.XLOOKUP($A52,Centrum[Индекс],Centrum[Transportation cost per supplier/ 
Cтоимость перевозки по поставщикам],0,0,1)</f>
        <v>11600</v>
      </c>
      <c r="S52" s="16">
        <f>Шаблон_Формулы!$T52-Шаблон_Формулы!$R52</f>
        <v>0</v>
      </c>
      <c r="T52" s="16">
        <f>_xlfn.XLOOKUP($A52,Centrum[Индекс],Centrum[Transportation total amount / Общая стоимость перевозки],0,0,1)</f>
        <v>11600</v>
      </c>
      <c r="U52" s="12" cm="1">
        <f t="array" ref="U5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52" s="16">
        <f>_xlfn.XLOOKUP(Шаблон_Формулы[[#This Row],[21]],Курс_USD[Дата],Курс_USD[Курс],,0,1)</f>
        <v>11445.03</v>
      </c>
      <c r="W52" s="16">
        <f>Шаблон_Формулы!$T52*Шаблон_Формулы!$V52</f>
        <v>132762348.00000001</v>
      </c>
      <c r="Y52" s="16">
        <f>Шаблон_Формулы!$W52+Шаблон_Формулы!$X52</f>
        <v>132762348.00000001</v>
      </c>
      <c r="Z52" s="14" t="str">
        <f>_xlfn.XLOOKUP($A52,Centrum[Индекс],Centrum[Transport co invoice no/ 
Номер инвойса ТК],"",0,1)</f>
        <v>CNT-FS230001670</v>
      </c>
    </row>
    <row r="53" spans="1:26" s="11" customFormat="1" x14ac:dyDescent="0.3">
      <c r="A53" s="14">
        <v>49</v>
      </c>
      <c r="B53" s="11" t="str">
        <f>_xlfn.XLOOKUP($A53,Centrum[Индекс],Centrum[Carrier/ Перевозчик],"",0,1)</f>
        <v>CENTRUM AVIATION FZCO</v>
      </c>
      <c r="C53" s="11" t="str">
        <f>_xlfn.XLOOKUP($A53,Centrum[Индекс],Centrum[Country /  Страна],"",0,1)</f>
        <v>KOREA</v>
      </c>
      <c r="D53" s="11" t="str">
        <f>_xlfn.XLOOKUP($A53,Centrum[Индекс],Centrum[Container num./ 
№ контейнера],"",0,1)</f>
        <v>TGHU6903578</v>
      </c>
      <c r="E53" s="11" t="str">
        <f>_xlfn.XLOOKUP($A53,Centrum[Индекс],Centrum[Supplier/
Поставщик],"",0,1)</f>
        <v>GM KOREA COMPANY</v>
      </c>
      <c r="F53" s="11" t="str">
        <f>_xlfn.XLOOKUP($A53,Centrum[Индекс],Centrum[Shippers invoice no/ 
Номер инвойса поставщика],"",1)</f>
        <v>TJAUZ37129A01</v>
      </c>
      <c r="G53" s="15">
        <f>_xlfn.XLOOKUP($A53,Centrum[Индекс],Centrum[Invoice value / Стоимость груза в к-ре по инвойсу],"",0,1)</f>
        <v>16600.32</v>
      </c>
      <c r="H53" s="14" t="s">
        <v>40</v>
      </c>
      <c r="I53" s="11">
        <f>_xlfn.XLOOKUP($A53,Centrum[Индекс],Centrum[CBM on the shipper/ 
CBM по поставщику],"",0,1)</f>
        <v>67.637</v>
      </c>
      <c r="J53" s="16">
        <f>_xlfn.XLOOKUP($A53,Centrum[Индекс],Centrum[Gross weight of cont// 
Гросс.вес по конт.],"",0,1)</f>
        <v>5692</v>
      </c>
      <c r="K53" s="17" t="str">
        <f>_xlfn.XLOOKUP($A53,Centrum[Индекс],Centrum[Route/ Маршрут (TSR/TCR)],"",0,1)</f>
        <v>TSR</v>
      </c>
      <c r="L53" s="11" t="str">
        <f>_xlfn.XLOOKUP($A53,Centrum[Индекс],Centrum[Условия поставки],"",0,1)</f>
        <v>KUNSAN (FOB/P-D)</v>
      </c>
      <c r="M53" s="11" t="str">
        <f>_xlfn.XLOOKUP($A53,Centrum[Индекс],Centrum[№ HBL date / 
№/ дата коносамента],"",0,1)</f>
        <v>FSIMPUAS229365</v>
      </c>
      <c r="N53" s="11" t="str">
        <f>_xlfn.XLOOKUP($A53,Centrum[Индекс],Centrum[№ MBL / 
№/ коносамента],"",0,1)</f>
        <v>FSCOPUVV386630</v>
      </c>
      <c r="O53" s="8">
        <f>(_xlfn.XLOOKUP($A53,Centrum[Индекс],Centrum[Date on board / Дата погрузки на судно],"",0,1))*1</f>
        <v>44979</v>
      </c>
      <c r="P53" s="8">
        <f>(_xlfn.XLOOKUP($A53,Centrum[Индекс],Centrum[Date of arrival to Sary-Agach/ Дата прибытия на Сары-Агач],"",0,1))*1</f>
        <v>45034</v>
      </c>
      <c r="Q53" s="14" t="str">
        <f>_xlfn.XLOOKUP($A53,Centrum[Индекс],Centrum[Container type/ 
Тип контейнера],"",0,1)</f>
        <v>40'HC</v>
      </c>
      <c r="R53" s="16">
        <f>_xlfn.XLOOKUP($A53,Centrum[Индекс],Centrum[Transportation cost per supplier/ 
Cтоимость перевозки по поставщикам],0,0,1)</f>
        <v>11600</v>
      </c>
      <c r="S53" s="16">
        <f>Шаблон_Формулы!$T53-Шаблон_Формулы!$R53</f>
        <v>0</v>
      </c>
      <c r="T53" s="16">
        <f>_xlfn.XLOOKUP($A53,Centrum[Индекс],Centrum[Transportation total amount / Общая стоимость перевозки],0,0,1)</f>
        <v>11600</v>
      </c>
      <c r="U53" s="12" cm="1">
        <f t="array" ref="U5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53" s="16">
        <f>_xlfn.XLOOKUP(Шаблон_Формулы[[#This Row],[21]],Курс_USD[Дата],Курс_USD[Курс],,0,1)</f>
        <v>11445.03</v>
      </c>
      <c r="W53" s="16">
        <f>Шаблон_Формулы!$T53*Шаблон_Формулы!$V53</f>
        <v>132762348.00000001</v>
      </c>
      <c r="Y53" s="16">
        <f>Шаблон_Формулы!$W53+Шаблон_Формулы!$X53</f>
        <v>132762348.00000001</v>
      </c>
      <c r="Z53" s="14" t="str">
        <f>_xlfn.XLOOKUP($A53,Centrum[Индекс],Centrum[Transport co invoice no/ 
Номер инвойса ТК],"",0,1)</f>
        <v>CNT-FS230001670</v>
      </c>
    </row>
    <row r="54" spans="1:26" s="11" customFormat="1" x14ac:dyDescent="0.3">
      <c r="A54" s="14">
        <v>50</v>
      </c>
      <c r="B54" s="11" t="str">
        <f>_xlfn.XLOOKUP($A54,Centrum[Индекс],Centrum[Carrier/ Перевозчик],"",0,1)</f>
        <v>CENTRUM AVIATION FZCO</v>
      </c>
      <c r="C54" s="11" t="str">
        <f>_xlfn.XLOOKUP($A54,Centrum[Индекс],Centrum[Country /  Страна],"",0,1)</f>
        <v>KOREA</v>
      </c>
      <c r="D54" s="11" t="str">
        <f>_xlfn.XLOOKUP($A54,Centrum[Индекс],Centrum[Container num./ 
№ контейнера],"",0,1)</f>
        <v>TGHU9229090</v>
      </c>
      <c r="E54" s="11" t="str">
        <f>_xlfn.XLOOKUP($A54,Centrum[Индекс],Centrum[Supplier/
Поставщик],"",0,1)</f>
        <v>GM KOREA COMPANY</v>
      </c>
      <c r="F54" s="11" t="str">
        <f>_xlfn.XLOOKUP($A54,Centrum[Индекс],Centrum[Shippers invoice no/ 
Номер инвойса поставщика],"",1)</f>
        <v>TJAUZ37132C01</v>
      </c>
      <c r="G54" s="15">
        <f>_xlfn.XLOOKUP($A54,Centrum[Индекс],Centrum[Invoice value / Стоимость груза в к-ре по инвойсу],"",0,1)</f>
        <v>94297.44</v>
      </c>
      <c r="H54" s="14" t="s">
        <v>40</v>
      </c>
      <c r="I54" s="11">
        <f>_xlfn.XLOOKUP($A54,Centrum[Индекс],Centrum[CBM on the shipper/ 
CBM по поставщику],"",0,1)</f>
        <v>65.796999999999997</v>
      </c>
      <c r="J54" s="16">
        <f>_xlfn.XLOOKUP($A54,Centrum[Индекс],Centrum[Gross weight of cont// 
Гросс.вес по конт.],"",0,1)</f>
        <v>10932</v>
      </c>
      <c r="K54" s="17" t="str">
        <f>_xlfn.XLOOKUP($A54,Centrum[Индекс],Centrum[Route/ Маршрут (TSR/TCR)],"",0,1)</f>
        <v>TSR</v>
      </c>
      <c r="L54" s="11" t="str">
        <f>_xlfn.XLOOKUP($A54,Centrum[Индекс],Centrum[Условия поставки],"",0,1)</f>
        <v>BUSAN (FOB/P-D)</v>
      </c>
      <c r="M54" s="11" t="str">
        <f>_xlfn.XLOOKUP($A54,Centrum[Индекс],Centrum[№ HBL date / 
№/ дата коносамента],"",0,1)</f>
        <v>FSIMPUAS229366</v>
      </c>
      <c r="N54" s="11" t="str">
        <f>_xlfn.XLOOKUP($A54,Centrum[Индекс],Centrum[№ MBL / 
№/ коносамента],"",0,1)</f>
        <v>FSCOPUVV386631</v>
      </c>
      <c r="O54" s="8">
        <f>(_xlfn.XLOOKUP($A54,Centrum[Индекс],Centrum[Date on board / Дата погрузки на судно],"",0,1))*1</f>
        <v>44979</v>
      </c>
      <c r="P54" s="8">
        <f>(_xlfn.XLOOKUP($A54,Centrum[Индекс],Centrum[Date of arrival to Sary-Agach/ Дата прибытия на Сары-Агач],"",0,1))*1</f>
        <v>45034</v>
      </c>
      <c r="Q54" s="14" t="str">
        <f>_xlfn.XLOOKUP($A54,Centrum[Индекс],Centrum[Container type/ 
Тип контейнера],"",0,1)</f>
        <v>40'HC</v>
      </c>
      <c r="R54" s="16">
        <f>_xlfn.XLOOKUP($A54,Centrum[Индекс],Centrum[Transportation cost per supplier/ 
Cтоимость перевозки по поставщикам],0,0,1)</f>
        <v>10550</v>
      </c>
      <c r="S54" s="16">
        <f>Шаблон_Формулы!$T54-Шаблон_Формулы!$R54</f>
        <v>0</v>
      </c>
      <c r="T54" s="16">
        <f>_xlfn.XLOOKUP($A54,Centrum[Индекс],Centrum[Transportation total amount / Общая стоимость перевозки],0,0,1)</f>
        <v>10550</v>
      </c>
      <c r="U54" s="12" cm="1">
        <f t="array" ref="U5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54" s="16">
        <f>_xlfn.XLOOKUP(Шаблон_Формулы[[#This Row],[21]],Курс_USD[Дата],Курс_USD[Курс],,0,1)</f>
        <v>11445.03</v>
      </c>
      <c r="W54" s="16">
        <f>Шаблон_Формулы!$T54*Шаблон_Формулы!$V54</f>
        <v>120745066.5</v>
      </c>
      <c r="Y54" s="16">
        <f>Шаблон_Формулы!$W54+Шаблон_Формулы!$X54</f>
        <v>120745066.5</v>
      </c>
      <c r="Z54" s="14" t="str">
        <f>_xlfn.XLOOKUP($A54,Centrum[Индекс],Centrum[Transport co invoice no/ 
Номер инвойса ТК],"",0,1)</f>
        <v>CNT-FS230001670</v>
      </c>
    </row>
    <row r="55" spans="1:26" s="11" customFormat="1" x14ac:dyDescent="0.3">
      <c r="A55" s="14">
        <v>51</v>
      </c>
      <c r="B55" s="11" t="str">
        <f>_xlfn.XLOOKUP($A55,Centrum[Индекс],Centrum[Carrier/ Перевозчик],"",0,1)</f>
        <v/>
      </c>
      <c r="C55" s="11" t="str">
        <f>_xlfn.XLOOKUP($A55,Centrum[Индекс],Centrum[Country /  Страна],"",0,1)</f>
        <v/>
      </c>
      <c r="D55" s="11" t="str">
        <f>_xlfn.XLOOKUP($A55,Centrum[Индекс],Centrum[Container num./ 
№ контейнера],"",0,1)</f>
        <v/>
      </c>
      <c r="E55" s="11" t="str">
        <f>_xlfn.XLOOKUP($A55,Centrum[Индекс],Centrum[Supplier/
Поставщик],"",0,1)</f>
        <v/>
      </c>
      <c r="F55" s="11" t="str">
        <f>_xlfn.XLOOKUP($A55,Centrum[Индекс],Centrum[Shippers invoice no/ 
Номер инвойса поставщика],"",1)</f>
        <v/>
      </c>
      <c r="G55" s="15" t="str">
        <f>_xlfn.XLOOKUP($A55,Centrum[Индекс],Centrum[Invoice value / Стоимость груза в к-ре по инвойсу],"",0,1)</f>
        <v/>
      </c>
      <c r="H55" s="14" t="s">
        <v>40</v>
      </c>
      <c r="I55" s="11" t="str">
        <f>_xlfn.XLOOKUP($A55,Centrum[Индекс],Centrum[CBM on the shipper/ 
CBM по поставщику],"",0,1)</f>
        <v/>
      </c>
      <c r="J55" s="16" t="str">
        <f>_xlfn.XLOOKUP($A55,Centrum[Индекс],Centrum[Gross weight of cont// 
Гросс.вес по конт.],"",0,1)</f>
        <v/>
      </c>
      <c r="K55" s="17" t="str">
        <f>_xlfn.XLOOKUP($A55,Centrum[Индекс],Centrum[Route/ Маршрут (TSR/TCR)],"",0,1)</f>
        <v/>
      </c>
      <c r="L55" s="11" t="str">
        <f>_xlfn.XLOOKUP($A55,Centrum[Индекс],Centrum[Условия поставки],"",0,1)</f>
        <v/>
      </c>
      <c r="M55" s="11" t="str">
        <f>_xlfn.XLOOKUP($A55,Centrum[Индекс],Centrum[№ HBL date / 
№/ дата коносамента],"",0,1)</f>
        <v/>
      </c>
      <c r="N55" s="11" t="str">
        <f>_xlfn.XLOOKUP($A55,Centrum[Индекс],Centrum[№ MBL / 
№/ коносамента],"",0,1)</f>
        <v/>
      </c>
      <c r="O55" s="8" t="e">
        <f>(_xlfn.XLOOKUP($A55,Centrum[Индекс],Centrum[Date on board / Дата погрузки на судно],"",0,1))*1</f>
        <v>#VALUE!</v>
      </c>
      <c r="P55" s="8" t="e">
        <f>(_xlfn.XLOOKUP($A55,Centrum[Индекс],Centrum[Date of arrival to Sary-Agach/ Дата прибытия на Сары-Агач],"",0,1))*1</f>
        <v>#VALUE!</v>
      </c>
      <c r="Q55" s="14" t="str">
        <f>_xlfn.XLOOKUP($A55,Centrum[Индекс],Centrum[Container type/ 
Тип контейнера],"",0,1)</f>
        <v/>
      </c>
      <c r="R55" s="16">
        <f>_xlfn.XLOOKUP($A55,Centrum[Индекс],Centrum[Transportation cost per supplier/ 
Cтоимость перевозки по поставщикам],0,0,1)</f>
        <v>0</v>
      </c>
      <c r="S55" s="16">
        <f>Шаблон_Формулы!$T55-Шаблон_Формулы!$R55</f>
        <v>0</v>
      </c>
      <c r="T55" s="16">
        <f>_xlfn.XLOOKUP($A55,Centrum[Индекс],Centrum[Transportation total amount / Общая стоимость перевозки],0,0,1)</f>
        <v>0</v>
      </c>
      <c r="U55" s="12" cm="1">
        <f t="array" ref="U5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55" s="16">
        <f>_xlfn.XLOOKUP(Шаблон_Формулы[[#This Row],[21]],Курс_USD[Дата],Курс_USD[Курс],,0,1)</f>
        <v>11445.03</v>
      </c>
      <c r="W55" s="16">
        <f>Шаблон_Формулы!$T55*Шаблон_Формулы!$V55</f>
        <v>0</v>
      </c>
      <c r="Y55" s="16">
        <f>Шаблон_Формулы!$W55+Шаблон_Формулы!$X55</f>
        <v>0</v>
      </c>
      <c r="Z55" s="14" t="str">
        <f>_xlfn.XLOOKUP($A55,Centrum[Индекс],Centrum[Transport co invoice no/ 
Номер инвойса ТК],"",0,1)</f>
        <v/>
      </c>
    </row>
    <row r="56" spans="1:26" s="11" customFormat="1" x14ac:dyDescent="0.3">
      <c r="A56" s="14">
        <v>52</v>
      </c>
      <c r="B56" s="11" t="str">
        <f>_xlfn.XLOOKUP($A56,Centrum[Индекс],Centrum[Carrier/ Перевозчик],"",0,1)</f>
        <v/>
      </c>
      <c r="C56" s="11" t="str">
        <f>_xlfn.XLOOKUP($A56,Centrum[Индекс],Centrum[Country /  Страна],"",0,1)</f>
        <v/>
      </c>
      <c r="D56" s="11" t="str">
        <f>_xlfn.XLOOKUP($A56,Centrum[Индекс],Centrum[Container num./ 
№ контейнера],"",0,1)</f>
        <v/>
      </c>
      <c r="E56" s="11" t="str">
        <f>_xlfn.XLOOKUP($A56,Centrum[Индекс],Centrum[Supplier/
Поставщик],"",0,1)</f>
        <v/>
      </c>
      <c r="F56" s="11" t="str">
        <f>_xlfn.XLOOKUP($A56,Centrum[Индекс],Centrum[Shippers invoice no/ 
Номер инвойса поставщика],"",1)</f>
        <v/>
      </c>
      <c r="G56" s="15" t="str">
        <f>_xlfn.XLOOKUP($A56,Centrum[Индекс],Centrum[Invoice value / Стоимость груза в к-ре по инвойсу],"",0,1)</f>
        <v/>
      </c>
      <c r="H56" s="14" t="s">
        <v>40</v>
      </c>
      <c r="I56" s="11" t="str">
        <f>_xlfn.XLOOKUP($A56,Centrum[Индекс],Centrum[CBM on the shipper/ 
CBM по поставщику],"",0,1)</f>
        <v/>
      </c>
      <c r="J56" s="16" t="str">
        <f>_xlfn.XLOOKUP($A56,Centrum[Индекс],Centrum[Gross weight of cont// 
Гросс.вес по конт.],"",0,1)</f>
        <v/>
      </c>
      <c r="K56" s="17" t="str">
        <f>_xlfn.XLOOKUP($A56,Centrum[Индекс],Centrum[Route/ Маршрут (TSR/TCR)],"",0,1)</f>
        <v/>
      </c>
      <c r="L56" s="11" t="str">
        <f>_xlfn.XLOOKUP($A56,Centrum[Индекс],Centrum[Условия поставки],"",0,1)</f>
        <v/>
      </c>
      <c r="M56" s="11" t="str">
        <f>_xlfn.XLOOKUP($A56,Centrum[Индекс],Centrum[№ HBL date / 
№/ дата коносамента],"",0,1)</f>
        <v/>
      </c>
      <c r="N56" s="11" t="str">
        <f>_xlfn.XLOOKUP($A56,Centrum[Индекс],Centrum[№ MBL / 
№/ коносамента],"",0,1)</f>
        <v/>
      </c>
      <c r="O56" s="8" t="e">
        <f>(_xlfn.XLOOKUP($A56,Centrum[Индекс],Centrum[Date on board / Дата погрузки на судно],"",0,1))*1</f>
        <v>#VALUE!</v>
      </c>
      <c r="P56" s="8" t="e">
        <f>(_xlfn.XLOOKUP($A56,Centrum[Индекс],Centrum[Date of arrival to Sary-Agach/ Дата прибытия на Сары-Агач],"",0,1))*1</f>
        <v>#VALUE!</v>
      </c>
      <c r="Q56" s="14" t="str">
        <f>_xlfn.XLOOKUP($A56,Centrum[Индекс],Centrum[Container type/ 
Тип контейнера],"",0,1)</f>
        <v/>
      </c>
      <c r="R56" s="16">
        <f>_xlfn.XLOOKUP($A56,Centrum[Индекс],Centrum[Transportation cost per supplier/ 
Cтоимость перевозки по поставщикам],0,0,1)</f>
        <v>0</v>
      </c>
      <c r="S56" s="16">
        <f>Шаблон_Формулы!$T56-Шаблон_Формулы!$R56</f>
        <v>0</v>
      </c>
      <c r="T56" s="16">
        <f>_xlfn.XLOOKUP($A56,Centrum[Индекс],Centrum[Transportation total amount / Общая стоимость перевозки],0,0,1)</f>
        <v>0</v>
      </c>
      <c r="U56" s="12" cm="1">
        <f t="array" ref="U5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56" s="16">
        <f>_xlfn.XLOOKUP(Шаблон_Формулы[[#This Row],[21]],Курс_USD[Дата],Курс_USD[Курс],,0,1)</f>
        <v>11445.03</v>
      </c>
      <c r="W56" s="16">
        <f>Шаблон_Формулы!$T56*Шаблон_Формулы!$V56</f>
        <v>0</v>
      </c>
      <c r="Y56" s="16">
        <f>Шаблон_Формулы!$W56+Шаблон_Формулы!$X56</f>
        <v>0</v>
      </c>
      <c r="Z56" s="14" t="str">
        <f>_xlfn.XLOOKUP($A56,Centrum[Индекс],Centrum[Transport co invoice no/ 
Номер инвойса ТК],"",0,1)</f>
        <v/>
      </c>
    </row>
    <row r="57" spans="1:26" s="11" customFormat="1" x14ac:dyDescent="0.3">
      <c r="A57" s="14">
        <v>53</v>
      </c>
      <c r="B57" s="11" t="str">
        <f>_xlfn.XLOOKUP($A57,Centrum[Индекс],Centrum[Carrier/ Перевозчик],"",0,1)</f>
        <v/>
      </c>
      <c r="C57" s="11" t="str">
        <f>_xlfn.XLOOKUP($A57,Centrum[Индекс],Centrum[Country /  Страна],"",0,1)</f>
        <v/>
      </c>
      <c r="D57" s="11" t="str">
        <f>_xlfn.XLOOKUP($A57,Centrum[Индекс],Centrum[Container num./ 
№ контейнера],"",0,1)</f>
        <v/>
      </c>
      <c r="E57" s="11" t="str">
        <f>_xlfn.XLOOKUP($A57,Centrum[Индекс],Centrum[Supplier/
Поставщик],"",0,1)</f>
        <v/>
      </c>
      <c r="F57" s="11" t="str">
        <f>_xlfn.XLOOKUP($A57,Centrum[Индекс],Centrum[Shippers invoice no/ 
Номер инвойса поставщика],"",1)</f>
        <v/>
      </c>
      <c r="G57" s="15" t="str">
        <f>_xlfn.XLOOKUP($A57,Centrum[Индекс],Centrum[Invoice value / Стоимость груза в к-ре по инвойсу],"",0,1)</f>
        <v/>
      </c>
      <c r="H57" s="14" t="s">
        <v>40</v>
      </c>
      <c r="I57" s="11" t="str">
        <f>_xlfn.XLOOKUP($A57,Centrum[Индекс],Centrum[CBM on the shipper/ 
CBM по поставщику],"",0,1)</f>
        <v/>
      </c>
      <c r="J57" s="16" t="str">
        <f>_xlfn.XLOOKUP($A57,Centrum[Индекс],Centrum[Gross weight of cont// 
Гросс.вес по конт.],"",0,1)</f>
        <v/>
      </c>
      <c r="K57" s="17" t="str">
        <f>_xlfn.XLOOKUP($A57,Centrum[Индекс],Centrum[Route/ Маршрут (TSR/TCR)],"",0,1)</f>
        <v/>
      </c>
      <c r="L57" s="11" t="str">
        <f>_xlfn.XLOOKUP($A57,Centrum[Индекс],Centrum[Условия поставки],"",0,1)</f>
        <v/>
      </c>
      <c r="M57" s="11" t="str">
        <f>_xlfn.XLOOKUP($A57,Centrum[Индекс],Centrum[№ HBL date / 
№/ дата коносамента],"",0,1)</f>
        <v/>
      </c>
      <c r="N57" s="11" t="str">
        <f>_xlfn.XLOOKUP($A57,Centrum[Индекс],Centrum[№ MBL / 
№/ коносамента],"",0,1)</f>
        <v/>
      </c>
      <c r="O57" s="8" t="e">
        <f>(_xlfn.XLOOKUP($A57,Centrum[Индекс],Centrum[Date on board / Дата погрузки на судно],"",0,1))*1</f>
        <v>#VALUE!</v>
      </c>
      <c r="P57" s="8" t="e">
        <f>(_xlfn.XLOOKUP($A57,Centrum[Индекс],Centrum[Date of arrival to Sary-Agach/ Дата прибытия на Сары-Агач],"",0,1))*1</f>
        <v>#VALUE!</v>
      </c>
      <c r="Q57" s="14" t="str">
        <f>_xlfn.XLOOKUP($A57,Centrum[Индекс],Centrum[Container type/ 
Тип контейнера],"",0,1)</f>
        <v/>
      </c>
      <c r="R57" s="16">
        <f>_xlfn.XLOOKUP($A57,Centrum[Индекс],Centrum[Transportation cost per supplier/ 
Cтоимость перевозки по поставщикам],0,0,1)</f>
        <v>0</v>
      </c>
      <c r="S57" s="16">
        <f>Шаблон_Формулы!$T57-Шаблон_Формулы!$R57</f>
        <v>0</v>
      </c>
      <c r="T57" s="16">
        <f>_xlfn.XLOOKUP($A57,Centrum[Индекс],Centrum[Transportation total amount / Общая стоимость перевозки],0,0,1)</f>
        <v>0</v>
      </c>
      <c r="U57" s="12" cm="1">
        <f t="array" ref="U5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57" s="16">
        <f>_xlfn.XLOOKUP(Шаблон_Формулы[[#This Row],[21]],Курс_USD[Дата],Курс_USD[Курс],,0,1)</f>
        <v>11445.03</v>
      </c>
      <c r="W57" s="16">
        <f>Шаблон_Формулы!$T57*Шаблон_Формулы!$V57</f>
        <v>0</v>
      </c>
      <c r="Y57" s="16">
        <f>Шаблон_Формулы!$W57+Шаблон_Формулы!$X57</f>
        <v>0</v>
      </c>
      <c r="Z57" s="14" t="str">
        <f>_xlfn.XLOOKUP($A57,Centrum[Индекс],Centrum[Transport co invoice no/ 
Номер инвойса ТК],"",0,1)</f>
        <v/>
      </c>
    </row>
    <row r="58" spans="1:26" s="11" customFormat="1" x14ac:dyDescent="0.3">
      <c r="A58" s="14">
        <v>54</v>
      </c>
      <c r="B58" s="11" t="str">
        <f>_xlfn.XLOOKUP($A58,Centrum[Индекс],Centrum[Carrier/ Перевозчик],"",0,1)</f>
        <v/>
      </c>
      <c r="C58" s="11" t="str">
        <f>_xlfn.XLOOKUP($A58,Centrum[Индекс],Centrum[Country /  Страна],"",0,1)</f>
        <v/>
      </c>
      <c r="D58" s="11" t="str">
        <f>_xlfn.XLOOKUP($A58,Centrum[Индекс],Centrum[Container num./ 
№ контейнера],"",0,1)</f>
        <v/>
      </c>
      <c r="E58" s="11" t="str">
        <f>_xlfn.XLOOKUP($A58,Centrum[Индекс],Centrum[Supplier/
Поставщик],"",0,1)</f>
        <v/>
      </c>
      <c r="F58" s="11" t="str">
        <f>_xlfn.XLOOKUP($A58,Centrum[Индекс],Centrum[Shippers invoice no/ 
Номер инвойса поставщика],"",1)</f>
        <v/>
      </c>
      <c r="G58" s="15" t="str">
        <f>_xlfn.XLOOKUP($A58,Centrum[Индекс],Centrum[Invoice value / Стоимость груза в к-ре по инвойсу],"",0,1)</f>
        <v/>
      </c>
      <c r="H58" s="14" t="s">
        <v>40</v>
      </c>
      <c r="I58" s="11" t="str">
        <f>_xlfn.XLOOKUP($A58,Centrum[Индекс],Centrum[CBM on the shipper/ 
CBM по поставщику],"",0,1)</f>
        <v/>
      </c>
      <c r="J58" s="16" t="str">
        <f>_xlfn.XLOOKUP($A58,Centrum[Индекс],Centrum[Gross weight of cont// 
Гросс.вес по конт.],"",0,1)</f>
        <v/>
      </c>
      <c r="K58" s="17" t="str">
        <f>_xlfn.XLOOKUP($A58,Centrum[Индекс],Centrum[Route/ Маршрут (TSR/TCR)],"",0,1)</f>
        <v/>
      </c>
      <c r="L58" s="11" t="str">
        <f>_xlfn.XLOOKUP($A58,Centrum[Индекс],Centrum[Условия поставки],"",0,1)</f>
        <v/>
      </c>
      <c r="M58" s="11" t="str">
        <f>_xlfn.XLOOKUP($A58,Centrum[Индекс],Centrum[№ HBL date / 
№/ дата коносамента],"",0,1)</f>
        <v/>
      </c>
      <c r="N58" s="11" t="str">
        <f>_xlfn.XLOOKUP($A58,Centrum[Индекс],Centrum[№ MBL / 
№/ коносамента],"",0,1)</f>
        <v/>
      </c>
      <c r="O58" s="8" t="e">
        <f>(_xlfn.XLOOKUP($A58,Centrum[Индекс],Centrum[Date on board / Дата погрузки на судно],"",0,1))*1</f>
        <v>#VALUE!</v>
      </c>
      <c r="P58" s="8" t="e">
        <f>(_xlfn.XLOOKUP($A58,Centrum[Индекс],Centrum[Date of arrival to Sary-Agach/ Дата прибытия на Сары-Агач],"",0,1))*1</f>
        <v>#VALUE!</v>
      </c>
      <c r="Q58" s="14" t="str">
        <f>_xlfn.XLOOKUP($A58,Centrum[Индекс],Centrum[Container type/ 
Тип контейнера],"",0,1)</f>
        <v/>
      </c>
      <c r="R58" s="16">
        <f>_xlfn.XLOOKUP($A58,Centrum[Индекс],Centrum[Transportation cost per supplier/ 
Cтоимость перевозки по поставщикам],0,0,1)</f>
        <v>0</v>
      </c>
      <c r="S58" s="16">
        <f>Шаблон_Формулы!$T58-Шаблон_Формулы!$R58</f>
        <v>0</v>
      </c>
      <c r="T58" s="16">
        <f>_xlfn.XLOOKUP($A58,Centrum[Индекс],Centrum[Transportation total amount / Общая стоимость перевозки],0,0,1)</f>
        <v>0</v>
      </c>
      <c r="U58" s="12" cm="1">
        <f t="array" ref="U5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58" s="16">
        <f>_xlfn.XLOOKUP(Шаблон_Формулы[[#This Row],[21]],Курс_USD[Дата],Курс_USD[Курс],,0,1)</f>
        <v>11445.03</v>
      </c>
      <c r="W58" s="16">
        <f>Шаблон_Формулы!$T58*Шаблон_Формулы!$V58</f>
        <v>0</v>
      </c>
      <c r="Y58" s="16">
        <f>Шаблон_Формулы!$W58+Шаблон_Формулы!$X58</f>
        <v>0</v>
      </c>
      <c r="Z58" s="14" t="str">
        <f>_xlfn.XLOOKUP($A58,Centrum[Индекс],Centrum[Transport co invoice no/ 
Номер инвойса ТК],"",0,1)</f>
        <v/>
      </c>
    </row>
    <row r="59" spans="1:26" s="11" customFormat="1" x14ac:dyDescent="0.3">
      <c r="A59" s="14">
        <v>55</v>
      </c>
      <c r="B59" s="11" t="str">
        <f>_xlfn.XLOOKUP($A59,Centrum[Индекс],Centrum[Carrier/ Перевозчик],"",0,1)</f>
        <v/>
      </c>
      <c r="C59" s="11" t="str">
        <f>_xlfn.XLOOKUP($A59,Centrum[Индекс],Centrum[Country /  Страна],"",0,1)</f>
        <v/>
      </c>
      <c r="D59" s="11" t="str">
        <f>_xlfn.XLOOKUP($A59,Centrum[Индекс],Centrum[Container num./ 
№ контейнера],"",0,1)</f>
        <v/>
      </c>
      <c r="E59" s="11" t="str">
        <f>_xlfn.XLOOKUP($A59,Centrum[Индекс],Centrum[Supplier/
Поставщик],"",0,1)</f>
        <v/>
      </c>
      <c r="F59" s="11" t="str">
        <f>_xlfn.XLOOKUP($A59,Centrum[Индекс],Centrum[Shippers invoice no/ 
Номер инвойса поставщика],"",1)</f>
        <v/>
      </c>
      <c r="G59" s="15" t="str">
        <f>_xlfn.XLOOKUP($A59,Centrum[Индекс],Centrum[Invoice value / Стоимость груза в к-ре по инвойсу],"",0,1)</f>
        <v/>
      </c>
      <c r="H59" s="14" t="s">
        <v>40</v>
      </c>
      <c r="I59" s="11" t="str">
        <f>_xlfn.XLOOKUP($A59,Centrum[Индекс],Centrum[CBM on the shipper/ 
CBM по поставщику],"",0,1)</f>
        <v/>
      </c>
      <c r="J59" s="16" t="str">
        <f>_xlfn.XLOOKUP($A59,Centrum[Индекс],Centrum[Gross weight of cont// 
Гросс.вес по конт.],"",0,1)</f>
        <v/>
      </c>
      <c r="K59" s="17" t="str">
        <f>_xlfn.XLOOKUP($A59,Centrum[Индекс],Centrum[Route/ Маршрут (TSR/TCR)],"",0,1)</f>
        <v/>
      </c>
      <c r="L59" s="11" t="str">
        <f>_xlfn.XLOOKUP($A59,Centrum[Индекс],Centrum[Условия поставки],"",0,1)</f>
        <v/>
      </c>
      <c r="M59" s="11" t="str">
        <f>_xlfn.XLOOKUP($A59,Centrum[Индекс],Centrum[№ HBL date / 
№/ дата коносамента],"",0,1)</f>
        <v/>
      </c>
      <c r="N59" s="11" t="str">
        <f>_xlfn.XLOOKUP($A59,Centrum[Индекс],Centrum[№ MBL / 
№/ коносамента],"",0,1)</f>
        <v/>
      </c>
      <c r="O59" s="8" t="e">
        <f>(_xlfn.XLOOKUP($A59,Centrum[Индекс],Centrum[Date on board / Дата погрузки на судно],"",0,1))*1</f>
        <v>#VALUE!</v>
      </c>
      <c r="P59" s="8" t="e">
        <f>(_xlfn.XLOOKUP($A59,Centrum[Индекс],Centrum[Date of arrival to Sary-Agach/ Дата прибытия на Сары-Агач],"",0,1))*1</f>
        <v>#VALUE!</v>
      </c>
      <c r="Q59" s="14" t="str">
        <f>_xlfn.XLOOKUP($A59,Centrum[Индекс],Centrum[Container type/ 
Тип контейнера],"",0,1)</f>
        <v/>
      </c>
      <c r="R59" s="16">
        <f>_xlfn.XLOOKUP($A59,Centrum[Индекс],Centrum[Transportation cost per supplier/ 
Cтоимость перевозки по поставщикам],0,0,1)</f>
        <v>0</v>
      </c>
      <c r="S59" s="16">
        <f>Шаблон_Формулы!$T59-Шаблон_Формулы!$R59</f>
        <v>0</v>
      </c>
      <c r="T59" s="16">
        <f>_xlfn.XLOOKUP($A59,Centrum[Индекс],Centrum[Transportation total amount / Общая стоимость перевозки],0,0,1)</f>
        <v>0</v>
      </c>
      <c r="U59" s="12" cm="1">
        <f t="array" ref="U5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59" s="16">
        <f>_xlfn.XLOOKUP(Шаблон_Формулы[[#This Row],[21]],Курс_USD[Дата],Курс_USD[Курс],,0,1)</f>
        <v>11445.03</v>
      </c>
      <c r="W59" s="16">
        <f>Шаблон_Формулы!$T59*Шаблон_Формулы!$V59</f>
        <v>0</v>
      </c>
      <c r="Y59" s="16">
        <f>Шаблон_Формулы!$W59+Шаблон_Формулы!$X59</f>
        <v>0</v>
      </c>
      <c r="Z59" s="14" t="str">
        <f>_xlfn.XLOOKUP($A59,Centrum[Индекс],Centrum[Transport co invoice no/ 
Номер инвойса ТК],"",0,1)</f>
        <v/>
      </c>
    </row>
    <row r="60" spans="1:26" s="11" customFormat="1" x14ac:dyDescent="0.3">
      <c r="A60" s="14">
        <v>56</v>
      </c>
      <c r="B60" s="11" t="str">
        <f>_xlfn.XLOOKUP($A60,Centrum[Индекс],Centrum[Carrier/ Перевозчик],"",0,1)</f>
        <v/>
      </c>
      <c r="C60" s="11" t="str">
        <f>_xlfn.XLOOKUP($A60,Centrum[Индекс],Centrum[Country /  Страна],"",0,1)</f>
        <v/>
      </c>
      <c r="D60" s="11" t="str">
        <f>_xlfn.XLOOKUP($A60,Centrum[Индекс],Centrum[Container num./ 
№ контейнера],"",0,1)</f>
        <v/>
      </c>
      <c r="E60" s="11" t="str">
        <f>_xlfn.XLOOKUP($A60,Centrum[Индекс],Centrum[Supplier/
Поставщик],"",0,1)</f>
        <v/>
      </c>
      <c r="F60" s="11" t="str">
        <f>_xlfn.XLOOKUP($A60,Centrum[Индекс],Centrum[Shippers invoice no/ 
Номер инвойса поставщика],"",1)</f>
        <v/>
      </c>
      <c r="G60" s="15" t="str">
        <f>_xlfn.XLOOKUP($A60,Centrum[Индекс],Centrum[Invoice value / Стоимость груза в к-ре по инвойсу],"",0,1)</f>
        <v/>
      </c>
      <c r="H60" s="14" t="s">
        <v>40</v>
      </c>
      <c r="I60" s="11" t="str">
        <f>_xlfn.XLOOKUP($A60,Centrum[Индекс],Centrum[CBM on the shipper/ 
CBM по поставщику],"",0,1)</f>
        <v/>
      </c>
      <c r="J60" s="16" t="str">
        <f>_xlfn.XLOOKUP($A60,Centrum[Индекс],Centrum[Gross weight of cont// 
Гросс.вес по конт.],"",0,1)</f>
        <v/>
      </c>
      <c r="K60" s="17" t="str">
        <f>_xlfn.XLOOKUP($A60,Centrum[Индекс],Centrum[Route/ Маршрут (TSR/TCR)],"",0,1)</f>
        <v/>
      </c>
      <c r="L60" s="11" t="str">
        <f>_xlfn.XLOOKUP($A60,Centrum[Индекс],Centrum[Условия поставки],"",0,1)</f>
        <v/>
      </c>
      <c r="M60" s="11" t="str">
        <f>_xlfn.XLOOKUP($A60,Centrum[Индекс],Centrum[№ HBL date / 
№/ дата коносамента],"",0,1)</f>
        <v/>
      </c>
      <c r="N60" s="11" t="str">
        <f>_xlfn.XLOOKUP($A60,Centrum[Индекс],Centrum[№ MBL / 
№/ коносамента],"",0,1)</f>
        <v/>
      </c>
      <c r="O60" s="8" t="e">
        <f>(_xlfn.XLOOKUP($A60,Centrum[Индекс],Centrum[Date on board / Дата погрузки на судно],"",0,1))*1</f>
        <v>#VALUE!</v>
      </c>
      <c r="P60" s="8" t="e">
        <f>(_xlfn.XLOOKUP($A60,Centrum[Индекс],Centrum[Date of arrival to Sary-Agach/ Дата прибытия на Сары-Агач],"",0,1))*1</f>
        <v>#VALUE!</v>
      </c>
      <c r="Q60" s="14" t="str">
        <f>_xlfn.XLOOKUP($A60,Centrum[Индекс],Centrum[Container type/ 
Тип контейнера],"",0,1)</f>
        <v/>
      </c>
      <c r="R60" s="16">
        <f>_xlfn.XLOOKUP($A60,Centrum[Индекс],Centrum[Transportation cost per supplier/ 
Cтоимость перевозки по поставщикам],0,0,1)</f>
        <v>0</v>
      </c>
      <c r="S60" s="16">
        <f>Шаблон_Формулы!$T60-Шаблон_Формулы!$R60</f>
        <v>0</v>
      </c>
      <c r="T60" s="16">
        <f>_xlfn.XLOOKUP($A60,Centrum[Индекс],Centrum[Transportation total amount / Общая стоимость перевозки],0,0,1)</f>
        <v>0</v>
      </c>
      <c r="U60" s="12" cm="1">
        <f t="array" ref="U6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60" s="16">
        <f>_xlfn.XLOOKUP(Шаблон_Формулы[[#This Row],[21]],Курс_USD[Дата],Курс_USD[Курс],,0,1)</f>
        <v>11445.03</v>
      </c>
      <c r="W60" s="16">
        <f>Шаблон_Формулы!$T60*Шаблон_Формулы!$V60</f>
        <v>0</v>
      </c>
      <c r="Y60" s="16">
        <f>Шаблон_Формулы!$W60+Шаблон_Формулы!$X60</f>
        <v>0</v>
      </c>
      <c r="Z60" s="14" t="str">
        <f>_xlfn.XLOOKUP($A60,Centrum[Индекс],Centrum[Transport co invoice no/ 
Номер инвойса ТК],"",0,1)</f>
        <v/>
      </c>
    </row>
    <row r="61" spans="1:26" s="11" customFormat="1" x14ac:dyDescent="0.3">
      <c r="A61" s="14">
        <v>57</v>
      </c>
      <c r="B61" s="11" t="str">
        <f>_xlfn.XLOOKUP($A61,Centrum[Индекс],Centrum[Carrier/ Перевозчик],"",0,1)</f>
        <v/>
      </c>
      <c r="C61" s="11" t="str">
        <f>_xlfn.XLOOKUP($A61,Centrum[Индекс],Centrum[Country /  Страна],"",0,1)</f>
        <v/>
      </c>
      <c r="D61" s="11" t="str">
        <f>_xlfn.XLOOKUP($A61,Centrum[Индекс],Centrum[Container num./ 
№ контейнера],"",0,1)</f>
        <v/>
      </c>
      <c r="E61" s="11" t="str">
        <f>_xlfn.XLOOKUP($A61,Centrum[Индекс],Centrum[Supplier/
Поставщик],"",0,1)</f>
        <v/>
      </c>
      <c r="F61" s="11" t="str">
        <f>_xlfn.XLOOKUP($A61,Centrum[Индекс],Centrum[Shippers invoice no/ 
Номер инвойса поставщика],"",1)</f>
        <v/>
      </c>
      <c r="G61" s="15" t="str">
        <f>_xlfn.XLOOKUP($A61,Centrum[Индекс],Centrum[Invoice value / Стоимость груза в к-ре по инвойсу],"",0,1)</f>
        <v/>
      </c>
      <c r="H61" s="14" t="s">
        <v>40</v>
      </c>
      <c r="I61" s="11" t="str">
        <f>_xlfn.XLOOKUP($A61,Centrum[Индекс],Centrum[CBM on the shipper/ 
CBM по поставщику],"",0,1)</f>
        <v/>
      </c>
      <c r="J61" s="16" t="str">
        <f>_xlfn.XLOOKUP($A61,Centrum[Индекс],Centrum[Gross weight of cont// 
Гросс.вес по конт.],"",0,1)</f>
        <v/>
      </c>
      <c r="K61" s="17" t="str">
        <f>_xlfn.XLOOKUP($A61,Centrum[Индекс],Centrum[Route/ Маршрут (TSR/TCR)],"",0,1)</f>
        <v/>
      </c>
      <c r="L61" s="11" t="str">
        <f>_xlfn.XLOOKUP($A61,Centrum[Индекс],Centrum[Условия поставки],"",0,1)</f>
        <v/>
      </c>
      <c r="M61" s="11" t="str">
        <f>_xlfn.XLOOKUP($A61,Centrum[Индекс],Centrum[№ HBL date / 
№/ дата коносамента],"",0,1)</f>
        <v/>
      </c>
      <c r="N61" s="11" t="str">
        <f>_xlfn.XLOOKUP($A61,Centrum[Индекс],Centrum[№ MBL / 
№/ коносамента],"",0,1)</f>
        <v/>
      </c>
      <c r="O61" s="8" t="e">
        <f>(_xlfn.XLOOKUP($A61,Centrum[Индекс],Centrum[Date on board / Дата погрузки на судно],"",0,1))*1</f>
        <v>#VALUE!</v>
      </c>
      <c r="P61" s="8" t="e">
        <f>(_xlfn.XLOOKUP($A61,Centrum[Индекс],Centrum[Date of arrival to Sary-Agach/ Дата прибытия на Сары-Агач],"",0,1))*1</f>
        <v>#VALUE!</v>
      </c>
      <c r="Q61" s="14" t="str">
        <f>_xlfn.XLOOKUP($A61,Centrum[Индекс],Centrum[Container type/ 
Тип контейнера],"",0,1)</f>
        <v/>
      </c>
      <c r="R61" s="16">
        <f>_xlfn.XLOOKUP($A61,Centrum[Индекс],Centrum[Transportation cost per supplier/ 
Cтоимость перевозки по поставщикам],0,0,1)</f>
        <v>0</v>
      </c>
      <c r="S61" s="16">
        <f>Шаблон_Формулы!$T61-Шаблон_Формулы!$R61</f>
        <v>0</v>
      </c>
      <c r="T61" s="16">
        <f>_xlfn.XLOOKUP($A61,Centrum[Индекс],Centrum[Transportation total amount / Общая стоимость перевозки],0,0,1)</f>
        <v>0</v>
      </c>
      <c r="U61" s="12" cm="1">
        <f t="array" ref="U6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61" s="16">
        <f>_xlfn.XLOOKUP(Шаблон_Формулы[[#This Row],[21]],Курс_USD[Дата],Курс_USD[Курс],,0,1)</f>
        <v>11445.03</v>
      </c>
      <c r="W61" s="16">
        <f>Шаблон_Формулы!$T61*Шаблон_Формулы!$V61</f>
        <v>0</v>
      </c>
      <c r="Y61" s="16">
        <f>Шаблон_Формулы!$W61+Шаблон_Формулы!$X61</f>
        <v>0</v>
      </c>
      <c r="Z61" s="14" t="str">
        <f>_xlfn.XLOOKUP($A61,Centrum[Индекс],Centrum[Transport co invoice no/ 
Номер инвойса ТК],"",0,1)</f>
        <v/>
      </c>
    </row>
    <row r="62" spans="1:26" s="11" customFormat="1" x14ac:dyDescent="0.3">
      <c r="A62" s="14">
        <v>58</v>
      </c>
      <c r="B62" s="11" t="str">
        <f>_xlfn.XLOOKUP($A62,Centrum[Индекс],Centrum[Carrier/ Перевозчик],"",0,1)</f>
        <v/>
      </c>
      <c r="C62" s="11" t="str">
        <f>_xlfn.XLOOKUP($A62,Centrum[Индекс],Centrum[Country /  Страна],"",0,1)</f>
        <v/>
      </c>
      <c r="D62" s="11" t="str">
        <f>_xlfn.XLOOKUP($A62,Centrum[Индекс],Centrum[Container num./ 
№ контейнера],"",0,1)</f>
        <v/>
      </c>
      <c r="E62" s="11" t="str">
        <f>_xlfn.XLOOKUP($A62,Centrum[Индекс],Centrum[Supplier/
Поставщик],"",0,1)</f>
        <v/>
      </c>
      <c r="F62" s="11" t="str">
        <f>_xlfn.XLOOKUP($A62,Centrum[Индекс],Centrum[Shippers invoice no/ 
Номер инвойса поставщика],"",1)</f>
        <v/>
      </c>
      <c r="G62" s="15" t="str">
        <f>_xlfn.XLOOKUP($A62,Centrum[Индекс],Centrum[Invoice value / Стоимость груза в к-ре по инвойсу],"",0,1)</f>
        <v/>
      </c>
      <c r="H62" s="14" t="s">
        <v>40</v>
      </c>
      <c r="I62" s="11" t="str">
        <f>_xlfn.XLOOKUP($A62,Centrum[Индекс],Centrum[CBM on the shipper/ 
CBM по поставщику],"",0,1)</f>
        <v/>
      </c>
      <c r="J62" s="16" t="str">
        <f>_xlfn.XLOOKUP($A62,Centrum[Индекс],Centrum[Gross weight of cont// 
Гросс.вес по конт.],"",0,1)</f>
        <v/>
      </c>
      <c r="K62" s="17" t="str">
        <f>_xlfn.XLOOKUP($A62,Centrum[Индекс],Centrum[Route/ Маршрут (TSR/TCR)],"",0,1)</f>
        <v/>
      </c>
      <c r="L62" s="11" t="str">
        <f>_xlfn.XLOOKUP($A62,Centrum[Индекс],Centrum[Условия поставки],"",0,1)</f>
        <v/>
      </c>
      <c r="M62" s="11" t="str">
        <f>_xlfn.XLOOKUP($A62,Centrum[Индекс],Centrum[№ HBL date / 
№/ дата коносамента],"",0,1)</f>
        <v/>
      </c>
      <c r="N62" s="11" t="str">
        <f>_xlfn.XLOOKUP($A62,Centrum[Индекс],Centrum[№ MBL / 
№/ коносамента],"",0,1)</f>
        <v/>
      </c>
      <c r="O62" s="8" t="e">
        <f>(_xlfn.XLOOKUP($A62,Centrum[Индекс],Centrum[Date on board / Дата погрузки на судно],"",0,1))*1</f>
        <v>#VALUE!</v>
      </c>
      <c r="P62" s="8" t="e">
        <f>(_xlfn.XLOOKUP($A62,Centrum[Индекс],Centrum[Date of arrival to Sary-Agach/ Дата прибытия на Сары-Агач],"",0,1))*1</f>
        <v>#VALUE!</v>
      </c>
      <c r="Q62" s="14" t="str">
        <f>_xlfn.XLOOKUP($A62,Centrum[Индекс],Centrum[Container type/ 
Тип контейнера],"",0,1)</f>
        <v/>
      </c>
      <c r="R62" s="16">
        <f>_xlfn.XLOOKUP($A62,Centrum[Индекс],Centrum[Transportation cost per supplier/ 
Cтоимость перевозки по поставщикам],0,0,1)</f>
        <v>0</v>
      </c>
      <c r="S62" s="16">
        <f>Шаблон_Формулы!$T62-Шаблон_Формулы!$R62</f>
        <v>0</v>
      </c>
      <c r="T62" s="16">
        <f>_xlfn.XLOOKUP($A62,Centrum[Индекс],Centrum[Transportation total amount / Общая стоимость перевозки],0,0,1)</f>
        <v>0</v>
      </c>
      <c r="U62" s="12" cm="1">
        <f t="array" ref="U6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62" s="16">
        <f>_xlfn.XLOOKUP(Шаблон_Формулы[[#This Row],[21]],Курс_USD[Дата],Курс_USD[Курс],,0,1)</f>
        <v>11445.03</v>
      </c>
      <c r="W62" s="16">
        <f>Шаблон_Формулы!$T62*Шаблон_Формулы!$V62</f>
        <v>0</v>
      </c>
      <c r="Y62" s="16">
        <f>Шаблон_Формулы!$W62+Шаблон_Формулы!$X62</f>
        <v>0</v>
      </c>
      <c r="Z62" s="14" t="str">
        <f>_xlfn.XLOOKUP($A62,Centrum[Индекс],Centrum[Transport co invoice no/ 
Номер инвойса ТК],"",0,1)</f>
        <v/>
      </c>
    </row>
    <row r="63" spans="1:26" s="11" customFormat="1" x14ac:dyDescent="0.3">
      <c r="A63" s="14">
        <v>59</v>
      </c>
      <c r="B63" s="11" t="str">
        <f>_xlfn.XLOOKUP($A63,Centrum[Индекс],Centrum[Carrier/ Перевозчик],"",0,1)</f>
        <v/>
      </c>
      <c r="C63" s="11" t="str">
        <f>_xlfn.XLOOKUP($A63,Centrum[Индекс],Centrum[Country /  Страна],"",0,1)</f>
        <v/>
      </c>
      <c r="D63" s="11" t="str">
        <f>_xlfn.XLOOKUP($A63,Centrum[Индекс],Centrum[Container num./ 
№ контейнера],"",0,1)</f>
        <v/>
      </c>
      <c r="E63" s="11" t="str">
        <f>_xlfn.XLOOKUP($A63,Centrum[Индекс],Centrum[Supplier/
Поставщик],"",0,1)</f>
        <v/>
      </c>
      <c r="F63" s="11" t="str">
        <f>_xlfn.XLOOKUP($A63,Centrum[Индекс],Centrum[Shippers invoice no/ 
Номер инвойса поставщика],"",1)</f>
        <v/>
      </c>
      <c r="G63" s="15" t="str">
        <f>_xlfn.XLOOKUP($A63,Centrum[Индекс],Centrum[Invoice value / Стоимость груза в к-ре по инвойсу],"",0,1)</f>
        <v/>
      </c>
      <c r="H63" s="14" t="s">
        <v>40</v>
      </c>
      <c r="I63" s="11" t="str">
        <f>_xlfn.XLOOKUP($A63,Centrum[Индекс],Centrum[CBM on the shipper/ 
CBM по поставщику],"",0,1)</f>
        <v/>
      </c>
      <c r="J63" s="16" t="str">
        <f>_xlfn.XLOOKUP($A63,Centrum[Индекс],Centrum[Gross weight of cont// 
Гросс.вес по конт.],"",0,1)</f>
        <v/>
      </c>
      <c r="K63" s="17" t="str">
        <f>_xlfn.XLOOKUP($A63,Centrum[Индекс],Centrum[Route/ Маршрут (TSR/TCR)],"",0,1)</f>
        <v/>
      </c>
      <c r="L63" s="11" t="str">
        <f>_xlfn.XLOOKUP($A63,Centrum[Индекс],Centrum[Условия поставки],"",0,1)</f>
        <v/>
      </c>
      <c r="M63" s="11" t="str">
        <f>_xlfn.XLOOKUP($A63,Centrum[Индекс],Centrum[№ HBL date / 
№/ дата коносамента],"",0,1)</f>
        <v/>
      </c>
      <c r="N63" s="11" t="str">
        <f>_xlfn.XLOOKUP($A63,Centrum[Индекс],Centrum[№ MBL / 
№/ коносамента],"",0,1)</f>
        <v/>
      </c>
      <c r="O63" s="8" t="e">
        <f>(_xlfn.XLOOKUP($A63,Centrum[Индекс],Centrum[Date on board / Дата погрузки на судно],"",0,1))*1</f>
        <v>#VALUE!</v>
      </c>
      <c r="P63" s="8" t="e">
        <f>(_xlfn.XLOOKUP($A63,Centrum[Индекс],Centrum[Date of arrival to Sary-Agach/ Дата прибытия на Сары-Агач],"",0,1))*1</f>
        <v>#VALUE!</v>
      </c>
      <c r="Q63" s="14" t="str">
        <f>_xlfn.XLOOKUP($A63,Centrum[Индекс],Centrum[Container type/ 
Тип контейнера],"",0,1)</f>
        <v/>
      </c>
      <c r="R63" s="16">
        <f>_xlfn.XLOOKUP($A63,Centrum[Индекс],Centrum[Transportation cost per supplier/ 
Cтоимость перевозки по поставщикам],0,0,1)</f>
        <v>0</v>
      </c>
      <c r="S63" s="16">
        <f>Шаблон_Формулы!$T63-Шаблон_Формулы!$R63</f>
        <v>0</v>
      </c>
      <c r="T63" s="16">
        <f>_xlfn.XLOOKUP($A63,Centrum[Индекс],Centrum[Transportation total amount / Общая стоимость перевозки],0,0,1)</f>
        <v>0</v>
      </c>
      <c r="U63" s="12" cm="1">
        <f t="array" ref="U6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63" s="16">
        <f>_xlfn.XLOOKUP(Шаблон_Формулы[[#This Row],[21]],Курс_USD[Дата],Курс_USD[Курс],,0,1)</f>
        <v>11445.03</v>
      </c>
      <c r="W63" s="16">
        <f>Шаблон_Формулы!$T63*Шаблон_Формулы!$V63</f>
        <v>0</v>
      </c>
      <c r="Y63" s="16">
        <f>Шаблон_Формулы!$W63+Шаблон_Формулы!$X63</f>
        <v>0</v>
      </c>
      <c r="Z63" s="14" t="str">
        <f>_xlfn.XLOOKUP($A63,Centrum[Индекс],Centrum[Transport co invoice no/ 
Номер инвойса ТК],"",0,1)</f>
        <v/>
      </c>
    </row>
    <row r="64" spans="1:26" s="11" customFormat="1" x14ac:dyDescent="0.3">
      <c r="A64" s="14">
        <v>60</v>
      </c>
      <c r="B64" s="11" t="str">
        <f>_xlfn.XLOOKUP($A64,Centrum[Индекс],Centrum[Carrier/ Перевозчик],"",0,1)</f>
        <v/>
      </c>
      <c r="C64" s="11" t="str">
        <f>_xlfn.XLOOKUP($A64,Centrum[Индекс],Centrum[Country /  Страна],"",0,1)</f>
        <v/>
      </c>
      <c r="D64" s="11" t="str">
        <f>_xlfn.XLOOKUP($A64,Centrum[Индекс],Centrum[Container num./ 
№ контейнера],"",0,1)</f>
        <v/>
      </c>
      <c r="E64" s="11" t="str">
        <f>_xlfn.XLOOKUP($A64,Centrum[Индекс],Centrum[Supplier/
Поставщик],"",0,1)</f>
        <v/>
      </c>
      <c r="F64" s="11" t="str">
        <f>_xlfn.XLOOKUP($A64,Centrum[Индекс],Centrum[Shippers invoice no/ 
Номер инвойса поставщика],"",1)</f>
        <v/>
      </c>
      <c r="G64" s="15" t="str">
        <f>_xlfn.XLOOKUP($A64,Centrum[Индекс],Centrum[Invoice value / Стоимость груза в к-ре по инвойсу],"",0,1)</f>
        <v/>
      </c>
      <c r="H64" s="14" t="s">
        <v>40</v>
      </c>
      <c r="I64" s="11" t="str">
        <f>_xlfn.XLOOKUP($A64,Centrum[Индекс],Centrum[CBM on the shipper/ 
CBM по поставщику],"",0,1)</f>
        <v/>
      </c>
      <c r="J64" s="16" t="str">
        <f>_xlfn.XLOOKUP($A64,Centrum[Индекс],Centrum[Gross weight of cont// 
Гросс.вес по конт.],"",0,1)</f>
        <v/>
      </c>
      <c r="K64" s="17" t="str">
        <f>_xlfn.XLOOKUP($A64,Centrum[Индекс],Centrum[Route/ Маршрут (TSR/TCR)],"",0,1)</f>
        <v/>
      </c>
      <c r="L64" s="11" t="str">
        <f>_xlfn.XLOOKUP($A64,Centrum[Индекс],Centrum[Условия поставки],"",0,1)</f>
        <v/>
      </c>
      <c r="M64" s="11" t="str">
        <f>_xlfn.XLOOKUP($A64,Centrum[Индекс],Centrum[№ HBL date / 
№/ дата коносамента],"",0,1)</f>
        <v/>
      </c>
      <c r="N64" s="11" t="str">
        <f>_xlfn.XLOOKUP($A64,Centrum[Индекс],Centrum[№ MBL / 
№/ коносамента],"",0,1)</f>
        <v/>
      </c>
      <c r="O64" s="8" t="e">
        <f>(_xlfn.XLOOKUP($A64,Centrum[Индекс],Centrum[Date on board / Дата погрузки на судно],"",0,1))*1</f>
        <v>#VALUE!</v>
      </c>
      <c r="P64" s="8" t="e">
        <f>(_xlfn.XLOOKUP($A64,Centrum[Индекс],Centrum[Date of arrival to Sary-Agach/ Дата прибытия на Сары-Агач],"",0,1))*1</f>
        <v>#VALUE!</v>
      </c>
      <c r="Q64" s="14" t="str">
        <f>_xlfn.XLOOKUP($A64,Centrum[Индекс],Centrum[Container type/ 
Тип контейнера],"",0,1)</f>
        <v/>
      </c>
      <c r="R64" s="16">
        <f>_xlfn.XLOOKUP($A64,Centrum[Индекс],Centrum[Transportation cost per supplier/ 
Cтоимость перевозки по поставщикам],0,0,1)</f>
        <v>0</v>
      </c>
      <c r="S64" s="16">
        <f>Шаблон_Формулы!$T64-Шаблон_Формулы!$R64</f>
        <v>0</v>
      </c>
      <c r="T64" s="16">
        <f>_xlfn.XLOOKUP($A64,Centrum[Индекс],Centrum[Transportation total amount / Общая стоимость перевозки],0,0,1)</f>
        <v>0</v>
      </c>
      <c r="U64" s="12" cm="1">
        <f t="array" ref="U6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64" s="16">
        <f>_xlfn.XLOOKUP(Шаблон_Формулы[[#This Row],[21]],Курс_USD[Дата],Курс_USD[Курс],,0,1)</f>
        <v>11445.03</v>
      </c>
      <c r="W64" s="16">
        <f>Шаблон_Формулы!$T64*Шаблон_Формулы!$V64</f>
        <v>0</v>
      </c>
      <c r="Y64" s="16">
        <f>Шаблон_Формулы!$W64+Шаблон_Формулы!$X64</f>
        <v>0</v>
      </c>
      <c r="Z64" s="14" t="str">
        <f>_xlfn.XLOOKUP($A64,Centrum[Индекс],Centrum[Transport co invoice no/ 
Номер инвойса ТК],"",0,1)</f>
        <v/>
      </c>
    </row>
    <row r="65" spans="1:26" s="11" customFormat="1" x14ac:dyDescent="0.3">
      <c r="A65" s="14">
        <v>61</v>
      </c>
      <c r="B65" s="11" t="str">
        <f>_xlfn.XLOOKUP($A65,Centrum[Индекс],Centrum[Carrier/ Перевозчик],"",0,1)</f>
        <v/>
      </c>
      <c r="C65" s="11" t="str">
        <f>_xlfn.XLOOKUP($A65,Centrum[Индекс],Centrum[Country /  Страна],"",0,1)</f>
        <v/>
      </c>
      <c r="D65" s="11" t="str">
        <f>_xlfn.XLOOKUP($A65,Centrum[Индекс],Centrum[Container num./ 
№ контейнера],"",0,1)</f>
        <v/>
      </c>
      <c r="E65" s="11" t="str">
        <f>_xlfn.XLOOKUP($A65,Centrum[Индекс],Centrum[Supplier/
Поставщик],"",0,1)</f>
        <v/>
      </c>
      <c r="F65" s="11" t="str">
        <f>_xlfn.XLOOKUP($A65,Centrum[Индекс],Centrum[Shippers invoice no/ 
Номер инвойса поставщика],"",1)</f>
        <v/>
      </c>
      <c r="G65" s="15" t="str">
        <f>_xlfn.XLOOKUP($A65,Centrum[Индекс],Centrum[Invoice value / Стоимость груза в к-ре по инвойсу],"",0,1)</f>
        <v/>
      </c>
      <c r="H65" s="14" t="s">
        <v>40</v>
      </c>
      <c r="I65" s="11" t="str">
        <f>_xlfn.XLOOKUP($A65,Centrum[Индекс],Centrum[CBM on the shipper/ 
CBM по поставщику],"",0,1)</f>
        <v/>
      </c>
      <c r="J65" s="16" t="str">
        <f>_xlfn.XLOOKUP($A65,Centrum[Индекс],Centrum[Gross weight of cont// 
Гросс.вес по конт.],"",0,1)</f>
        <v/>
      </c>
      <c r="K65" s="17" t="str">
        <f>_xlfn.XLOOKUP($A65,Centrum[Индекс],Centrum[Route/ Маршрут (TSR/TCR)],"",0,1)</f>
        <v/>
      </c>
      <c r="L65" s="11" t="str">
        <f>_xlfn.XLOOKUP($A65,Centrum[Индекс],Centrum[Условия поставки],"",0,1)</f>
        <v/>
      </c>
      <c r="M65" s="11" t="str">
        <f>_xlfn.XLOOKUP($A65,Centrum[Индекс],Centrum[№ HBL date / 
№/ дата коносамента],"",0,1)</f>
        <v/>
      </c>
      <c r="N65" s="11" t="str">
        <f>_xlfn.XLOOKUP($A65,Centrum[Индекс],Centrum[№ MBL / 
№/ коносамента],"",0,1)</f>
        <v/>
      </c>
      <c r="O65" s="8" t="e">
        <f>(_xlfn.XLOOKUP($A65,Centrum[Индекс],Centrum[Date on board / Дата погрузки на судно],"",0,1))*1</f>
        <v>#VALUE!</v>
      </c>
      <c r="P65" s="8" t="e">
        <f>(_xlfn.XLOOKUP($A65,Centrum[Индекс],Centrum[Date of arrival to Sary-Agach/ Дата прибытия на Сары-Агач],"",0,1))*1</f>
        <v>#VALUE!</v>
      </c>
      <c r="Q65" s="14" t="str">
        <f>_xlfn.XLOOKUP($A65,Centrum[Индекс],Centrum[Container type/ 
Тип контейнера],"",0,1)</f>
        <v/>
      </c>
      <c r="R65" s="16">
        <f>_xlfn.XLOOKUP($A65,Centrum[Индекс],Centrum[Transportation cost per supplier/ 
Cтоимость перевозки по поставщикам],0,0,1)</f>
        <v>0</v>
      </c>
      <c r="S65" s="16">
        <f>Шаблон_Формулы!$T65-Шаблон_Формулы!$R65</f>
        <v>0</v>
      </c>
      <c r="T65" s="16">
        <f>_xlfn.XLOOKUP($A65,Centrum[Индекс],Centrum[Transportation total amount / Общая стоимость перевозки],0,0,1)</f>
        <v>0</v>
      </c>
      <c r="U65" s="12" cm="1">
        <f t="array" ref="U6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65" s="16">
        <f>_xlfn.XLOOKUP(Шаблон_Формулы[[#This Row],[21]],Курс_USD[Дата],Курс_USD[Курс],,0,1)</f>
        <v>11445.03</v>
      </c>
      <c r="W65" s="16">
        <f>Шаблон_Формулы!$T65*Шаблон_Формулы!$V65</f>
        <v>0</v>
      </c>
      <c r="Y65" s="16">
        <f>Шаблон_Формулы!$W65+Шаблон_Формулы!$X65</f>
        <v>0</v>
      </c>
      <c r="Z65" s="14" t="str">
        <f>_xlfn.XLOOKUP($A65,Centrum[Индекс],Centrum[Transport co invoice no/ 
Номер инвойса ТК],"",0,1)</f>
        <v/>
      </c>
    </row>
    <row r="66" spans="1:26" s="11" customFormat="1" x14ac:dyDescent="0.3">
      <c r="A66" s="14">
        <v>62</v>
      </c>
      <c r="B66" s="11" t="str">
        <f>_xlfn.XLOOKUP($A66,Centrum[Индекс],Centrum[Carrier/ Перевозчик],"",0,1)</f>
        <v/>
      </c>
      <c r="C66" s="11" t="str">
        <f>_xlfn.XLOOKUP($A66,Centrum[Индекс],Centrum[Country /  Страна],"",0,1)</f>
        <v/>
      </c>
      <c r="D66" s="11" t="str">
        <f>_xlfn.XLOOKUP($A66,Centrum[Индекс],Centrum[Container num./ 
№ контейнера],"",0,1)</f>
        <v/>
      </c>
      <c r="E66" s="11" t="str">
        <f>_xlfn.XLOOKUP($A66,Centrum[Индекс],Centrum[Supplier/
Поставщик],"",0,1)</f>
        <v/>
      </c>
      <c r="F66" s="11" t="str">
        <f>_xlfn.XLOOKUP($A66,Centrum[Индекс],Centrum[Shippers invoice no/ 
Номер инвойса поставщика],"",1)</f>
        <v/>
      </c>
      <c r="G66" s="15" t="str">
        <f>_xlfn.XLOOKUP($A66,Centrum[Индекс],Centrum[Invoice value / Стоимость груза в к-ре по инвойсу],"",0,1)</f>
        <v/>
      </c>
      <c r="H66" s="14" t="s">
        <v>40</v>
      </c>
      <c r="I66" s="11" t="str">
        <f>_xlfn.XLOOKUP($A66,Centrum[Индекс],Centrum[CBM on the shipper/ 
CBM по поставщику],"",0,1)</f>
        <v/>
      </c>
      <c r="J66" s="16" t="str">
        <f>_xlfn.XLOOKUP($A66,Centrum[Индекс],Centrum[Gross weight of cont// 
Гросс.вес по конт.],"",0,1)</f>
        <v/>
      </c>
      <c r="K66" s="17" t="str">
        <f>_xlfn.XLOOKUP($A66,Centrum[Индекс],Centrum[Route/ Маршрут (TSR/TCR)],"",0,1)</f>
        <v/>
      </c>
      <c r="L66" s="11" t="str">
        <f>_xlfn.XLOOKUP($A66,Centrum[Индекс],Centrum[Условия поставки],"",0,1)</f>
        <v/>
      </c>
      <c r="M66" s="11" t="str">
        <f>_xlfn.XLOOKUP($A66,Centrum[Индекс],Centrum[№ HBL date / 
№/ дата коносамента],"",0,1)</f>
        <v/>
      </c>
      <c r="N66" s="11" t="str">
        <f>_xlfn.XLOOKUP($A66,Centrum[Индекс],Centrum[№ MBL / 
№/ коносамента],"",0,1)</f>
        <v/>
      </c>
      <c r="O66" s="8" t="e">
        <f>(_xlfn.XLOOKUP($A66,Centrum[Индекс],Centrum[Date on board / Дата погрузки на судно],"",0,1))*1</f>
        <v>#VALUE!</v>
      </c>
      <c r="P66" s="8" t="e">
        <f>(_xlfn.XLOOKUP($A66,Centrum[Индекс],Centrum[Date of arrival to Sary-Agach/ Дата прибытия на Сары-Агач],"",0,1))*1</f>
        <v>#VALUE!</v>
      </c>
      <c r="Q66" s="14" t="str">
        <f>_xlfn.XLOOKUP($A66,Centrum[Индекс],Centrum[Container type/ 
Тип контейнера],"",0,1)</f>
        <v/>
      </c>
      <c r="R66" s="16">
        <f>_xlfn.XLOOKUP($A66,Centrum[Индекс],Centrum[Transportation cost per supplier/ 
Cтоимость перевозки по поставщикам],0,0,1)</f>
        <v>0</v>
      </c>
      <c r="S66" s="16">
        <f>Шаблон_Формулы!$T66-Шаблон_Формулы!$R66</f>
        <v>0</v>
      </c>
      <c r="T66" s="16">
        <f>_xlfn.XLOOKUP($A66,Centrum[Индекс],Centrum[Transportation total amount / Общая стоимость перевозки],0,0,1)</f>
        <v>0</v>
      </c>
      <c r="U66" s="12" cm="1">
        <f t="array" ref="U6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66" s="16">
        <f>_xlfn.XLOOKUP(Шаблон_Формулы[[#This Row],[21]],Курс_USD[Дата],Курс_USD[Курс],,0,1)</f>
        <v>11445.03</v>
      </c>
      <c r="W66" s="16">
        <f>Шаблон_Формулы!$T66*Шаблон_Формулы!$V66</f>
        <v>0</v>
      </c>
      <c r="Y66" s="16">
        <f>Шаблон_Формулы!$W66+Шаблон_Формулы!$X66</f>
        <v>0</v>
      </c>
      <c r="Z66" s="14" t="str">
        <f>_xlfn.XLOOKUP($A66,Centrum[Индекс],Centrum[Transport co invoice no/ 
Номер инвойса ТК],"",0,1)</f>
        <v/>
      </c>
    </row>
    <row r="67" spans="1:26" s="11" customFormat="1" x14ac:dyDescent="0.3">
      <c r="A67" s="14">
        <v>63</v>
      </c>
      <c r="B67" s="11" t="str">
        <f>_xlfn.XLOOKUP($A67,Centrum[Индекс],Centrum[Carrier/ Перевозчик],"",0,1)</f>
        <v/>
      </c>
      <c r="C67" s="11" t="str">
        <f>_xlfn.XLOOKUP($A67,Centrum[Индекс],Centrum[Country /  Страна],"",0,1)</f>
        <v/>
      </c>
      <c r="D67" s="11" t="str">
        <f>_xlfn.XLOOKUP($A67,Centrum[Индекс],Centrum[Container num./ 
№ контейнера],"",0,1)</f>
        <v/>
      </c>
      <c r="E67" s="11" t="str">
        <f>_xlfn.XLOOKUP($A67,Centrum[Индекс],Centrum[Supplier/
Поставщик],"",0,1)</f>
        <v/>
      </c>
      <c r="F67" s="11" t="str">
        <f>_xlfn.XLOOKUP($A67,Centrum[Индекс],Centrum[Shippers invoice no/ 
Номер инвойса поставщика],"",1)</f>
        <v/>
      </c>
      <c r="G67" s="15" t="str">
        <f>_xlfn.XLOOKUP($A67,Centrum[Индекс],Centrum[Invoice value / Стоимость груза в к-ре по инвойсу],"",0,1)</f>
        <v/>
      </c>
      <c r="H67" s="14" t="s">
        <v>40</v>
      </c>
      <c r="I67" s="11" t="str">
        <f>_xlfn.XLOOKUP($A67,Centrum[Индекс],Centrum[CBM on the shipper/ 
CBM по поставщику],"",0,1)</f>
        <v/>
      </c>
      <c r="J67" s="16" t="str">
        <f>_xlfn.XLOOKUP($A67,Centrum[Индекс],Centrum[Gross weight of cont// 
Гросс.вес по конт.],"",0,1)</f>
        <v/>
      </c>
      <c r="K67" s="17" t="str">
        <f>_xlfn.XLOOKUP($A67,Centrum[Индекс],Centrum[Route/ Маршрут (TSR/TCR)],"",0,1)</f>
        <v/>
      </c>
      <c r="L67" s="11" t="str">
        <f>_xlfn.XLOOKUP($A67,Centrum[Индекс],Centrum[Условия поставки],"",0,1)</f>
        <v/>
      </c>
      <c r="M67" s="11" t="str">
        <f>_xlfn.XLOOKUP($A67,Centrum[Индекс],Centrum[№ HBL date / 
№/ дата коносамента],"",0,1)</f>
        <v/>
      </c>
      <c r="N67" s="11" t="str">
        <f>_xlfn.XLOOKUP($A67,Centrum[Индекс],Centrum[№ MBL / 
№/ коносамента],"",0,1)</f>
        <v/>
      </c>
      <c r="O67" s="8" t="e">
        <f>(_xlfn.XLOOKUP($A67,Centrum[Индекс],Centrum[Date on board / Дата погрузки на судно],"",0,1))*1</f>
        <v>#VALUE!</v>
      </c>
      <c r="P67" s="8" t="e">
        <f>(_xlfn.XLOOKUP($A67,Centrum[Индекс],Centrum[Date of arrival to Sary-Agach/ Дата прибытия на Сары-Агач],"",0,1))*1</f>
        <v>#VALUE!</v>
      </c>
      <c r="Q67" s="14" t="str">
        <f>_xlfn.XLOOKUP($A67,Centrum[Индекс],Centrum[Container type/ 
Тип контейнера],"",0,1)</f>
        <v/>
      </c>
      <c r="R67" s="16">
        <f>_xlfn.XLOOKUP($A67,Centrum[Индекс],Centrum[Transportation cost per supplier/ 
Cтоимость перевозки по поставщикам],0,0,1)</f>
        <v>0</v>
      </c>
      <c r="S67" s="16">
        <f>Шаблон_Формулы!$T67-Шаблон_Формулы!$R67</f>
        <v>0</v>
      </c>
      <c r="T67" s="16">
        <f>_xlfn.XLOOKUP($A67,Centrum[Индекс],Centrum[Transportation total amount / Общая стоимость перевозки],0,0,1)</f>
        <v>0</v>
      </c>
      <c r="U67" s="12" cm="1">
        <f t="array" ref="U6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67" s="16">
        <f>_xlfn.XLOOKUP(Шаблон_Формулы[[#This Row],[21]],Курс_USD[Дата],Курс_USD[Курс],,0,1)</f>
        <v>11445.03</v>
      </c>
      <c r="W67" s="16">
        <f>Шаблон_Формулы!$T67*Шаблон_Формулы!$V67</f>
        <v>0</v>
      </c>
      <c r="Y67" s="16">
        <f>Шаблон_Формулы!$W67+Шаблон_Формулы!$X67</f>
        <v>0</v>
      </c>
      <c r="Z67" s="14" t="str">
        <f>_xlfn.XLOOKUP($A67,Centrum[Индекс],Centrum[Transport co invoice no/ 
Номер инвойса ТК],"",0,1)</f>
        <v/>
      </c>
    </row>
    <row r="68" spans="1:26" s="11" customFormat="1" x14ac:dyDescent="0.3">
      <c r="A68" s="14">
        <v>64</v>
      </c>
      <c r="B68" s="11" t="str">
        <f>_xlfn.XLOOKUP($A68,Centrum[Индекс],Centrum[Carrier/ Перевозчик],"",0,1)</f>
        <v/>
      </c>
      <c r="C68" s="11" t="str">
        <f>_xlfn.XLOOKUP($A68,Centrum[Индекс],Centrum[Country /  Страна],"",0,1)</f>
        <v/>
      </c>
      <c r="D68" s="11" t="str">
        <f>_xlfn.XLOOKUP($A68,Centrum[Индекс],Centrum[Container num./ 
№ контейнера],"",0,1)</f>
        <v/>
      </c>
      <c r="E68" s="11" t="str">
        <f>_xlfn.XLOOKUP($A68,Centrum[Индекс],Centrum[Supplier/
Поставщик],"",0,1)</f>
        <v/>
      </c>
      <c r="F68" s="11" t="str">
        <f>_xlfn.XLOOKUP($A68,Centrum[Индекс],Centrum[Shippers invoice no/ 
Номер инвойса поставщика],"",1)</f>
        <v/>
      </c>
      <c r="G68" s="15" t="str">
        <f>_xlfn.XLOOKUP($A68,Centrum[Индекс],Centrum[Invoice value / Стоимость груза в к-ре по инвойсу],"",0,1)</f>
        <v/>
      </c>
      <c r="H68" s="14" t="s">
        <v>40</v>
      </c>
      <c r="I68" s="11" t="str">
        <f>_xlfn.XLOOKUP($A68,Centrum[Индекс],Centrum[CBM on the shipper/ 
CBM по поставщику],"",0,1)</f>
        <v/>
      </c>
      <c r="J68" s="16" t="str">
        <f>_xlfn.XLOOKUP($A68,Centrum[Индекс],Centrum[Gross weight of cont// 
Гросс.вес по конт.],"",0,1)</f>
        <v/>
      </c>
      <c r="K68" s="17" t="str">
        <f>_xlfn.XLOOKUP($A68,Centrum[Индекс],Centrum[Route/ Маршрут (TSR/TCR)],"",0,1)</f>
        <v/>
      </c>
      <c r="L68" s="11" t="str">
        <f>_xlfn.XLOOKUP($A68,Centrum[Индекс],Centrum[Условия поставки],"",0,1)</f>
        <v/>
      </c>
      <c r="M68" s="11" t="str">
        <f>_xlfn.XLOOKUP($A68,Centrum[Индекс],Centrum[№ HBL date / 
№/ дата коносамента],"",0,1)</f>
        <v/>
      </c>
      <c r="N68" s="11" t="str">
        <f>_xlfn.XLOOKUP($A68,Centrum[Индекс],Centrum[№ MBL / 
№/ коносамента],"",0,1)</f>
        <v/>
      </c>
      <c r="O68" s="8" t="e">
        <f>(_xlfn.XLOOKUP($A68,Centrum[Индекс],Centrum[Date on board / Дата погрузки на судно],"",0,1))*1</f>
        <v>#VALUE!</v>
      </c>
      <c r="P68" s="8" t="e">
        <f>(_xlfn.XLOOKUP($A68,Centrum[Индекс],Centrum[Date of arrival to Sary-Agach/ Дата прибытия на Сары-Агач],"",0,1))*1</f>
        <v>#VALUE!</v>
      </c>
      <c r="Q68" s="14" t="str">
        <f>_xlfn.XLOOKUP($A68,Centrum[Индекс],Centrum[Container type/ 
Тип контейнера],"",0,1)</f>
        <v/>
      </c>
      <c r="R68" s="16">
        <f>_xlfn.XLOOKUP($A68,Centrum[Индекс],Centrum[Transportation cost per supplier/ 
Cтоимость перевозки по поставщикам],0,0,1)</f>
        <v>0</v>
      </c>
      <c r="S68" s="16">
        <f>Шаблон_Формулы!$T68-Шаблон_Формулы!$R68</f>
        <v>0</v>
      </c>
      <c r="T68" s="16">
        <f>_xlfn.XLOOKUP($A68,Centrum[Индекс],Centrum[Transportation total amount / Общая стоимость перевозки],0,0,1)</f>
        <v>0</v>
      </c>
      <c r="U68" s="12" cm="1">
        <f t="array" ref="U6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68" s="16">
        <f>_xlfn.XLOOKUP(Шаблон_Формулы[[#This Row],[21]],Курс_USD[Дата],Курс_USD[Курс],,0,1)</f>
        <v>11445.03</v>
      </c>
      <c r="W68" s="16">
        <f>Шаблон_Формулы!$T68*Шаблон_Формулы!$V68</f>
        <v>0</v>
      </c>
      <c r="Y68" s="16">
        <f>Шаблон_Формулы!$W68+Шаблон_Формулы!$X68</f>
        <v>0</v>
      </c>
      <c r="Z68" s="14" t="str">
        <f>_xlfn.XLOOKUP($A68,Centrum[Индекс],Centrum[Transport co invoice no/ 
Номер инвойса ТК],"",0,1)</f>
        <v/>
      </c>
    </row>
    <row r="69" spans="1:26" s="11" customFormat="1" x14ac:dyDescent="0.3">
      <c r="A69" s="14">
        <v>65</v>
      </c>
      <c r="B69" s="11" t="str">
        <f>_xlfn.XLOOKUP($A69,Centrum[Индекс],Centrum[Carrier/ Перевозчик],"",0,1)</f>
        <v/>
      </c>
      <c r="C69" s="11" t="str">
        <f>_xlfn.XLOOKUP($A69,Centrum[Индекс],Centrum[Country /  Страна],"",0,1)</f>
        <v/>
      </c>
      <c r="D69" s="11" t="str">
        <f>_xlfn.XLOOKUP($A69,Centrum[Индекс],Centrum[Container num./ 
№ контейнера],"",0,1)</f>
        <v/>
      </c>
      <c r="E69" s="11" t="str">
        <f>_xlfn.XLOOKUP($A69,Centrum[Индекс],Centrum[Supplier/
Поставщик],"",0,1)</f>
        <v/>
      </c>
      <c r="F69" s="11" t="str">
        <f>_xlfn.XLOOKUP($A69,Centrum[Индекс],Centrum[Shippers invoice no/ 
Номер инвойса поставщика],"",1)</f>
        <v/>
      </c>
      <c r="G69" s="15" t="str">
        <f>_xlfn.XLOOKUP($A69,Centrum[Индекс],Centrum[Invoice value / Стоимость груза в к-ре по инвойсу],"",0,1)</f>
        <v/>
      </c>
      <c r="H69" s="14" t="s">
        <v>40</v>
      </c>
      <c r="I69" s="11" t="str">
        <f>_xlfn.XLOOKUP($A69,Centrum[Индекс],Centrum[CBM on the shipper/ 
CBM по поставщику],"",0,1)</f>
        <v/>
      </c>
      <c r="J69" s="16" t="str">
        <f>_xlfn.XLOOKUP($A69,Centrum[Индекс],Centrum[Gross weight of cont// 
Гросс.вес по конт.],"",0,1)</f>
        <v/>
      </c>
      <c r="K69" s="17" t="str">
        <f>_xlfn.XLOOKUP($A69,Centrum[Индекс],Centrum[Route/ Маршрут (TSR/TCR)],"",0,1)</f>
        <v/>
      </c>
      <c r="L69" s="11" t="str">
        <f>_xlfn.XLOOKUP($A69,Centrum[Индекс],Centrum[Условия поставки],"",0,1)</f>
        <v/>
      </c>
      <c r="M69" s="11" t="str">
        <f>_xlfn.XLOOKUP($A69,Centrum[Индекс],Centrum[№ HBL date / 
№/ дата коносамента],"",0,1)</f>
        <v/>
      </c>
      <c r="N69" s="11" t="str">
        <f>_xlfn.XLOOKUP($A69,Centrum[Индекс],Centrum[№ MBL / 
№/ коносамента],"",0,1)</f>
        <v/>
      </c>
      <c r="O69" s="8" t="e">
        <f>(_xlfn.XLOOKUP($A69,Centrum[Индекс],Centrum[Date on board / Дата погрузки на судно],"",0,1))*1</f>
        <v>#VALUE!</v>
      </c>
      <c r="P69" s="8" t="e">
        <f>(_xlfn.XLOOKUP($A69,Centrum[Индекс],Centrum[Date of arrival to Sary-Agach/ Дата прибытия на Сары-Агач],"",0,1))*1</f>
        <v>#VALUE!</v>
      </c>
      <c r="Q69" s="14" t="str">
        <f>_xlfn.XLOOKUP($A69,Centrum[Индекс],Centrum[Container type/ 
Тип контейнера],"",0,1)</f>
        <v/>
      </c>
      <c r="R69" s="16">
        <f>_xlfn.XLOOKUP($A69,Centrum[Индекс],Centrum[Transportation cost per supplier/ 
Cтоимость перевозки по поставщикам],0,0,1)</f>
        <v>0</v>
      </c>
      <c r="S69" s="16">
        <f>Шаблон_Формулы!$T69-Шаблон_Формулы!$R69</f>
        <v>0</v>
      </c>
      <c r="T69" s="16">
        <f>_xlfn.XLOOKUP($A69,Centrum[Индекс],Centrum[Transportation total amount / Общая стоимость перевозки],0,0,1)</f>
        <v>0</v>
      </c>
      <c r="U69" s="12" cm="1">
        <f t="array" ref="U6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69" s="16">
        <f>_xlfn.XLOOKUP(Шаблон_Формулы[[#This Row],[21]],Курс_USD[Дата],Курс_USD[Курс],,0,1)</f>
        <v>11445.03</v>
      </c>
      <c r="W69" s="16">
        <f>Шаблон_Формулы!$T69*Шаблон_Формулы!$V69</f>
        <v>0</v>
      </c>
      <c r="Y69" s="16">
        <f>Шаблон_Формулы!$W69+Шаблон_Формулы!$X69</f>
        <v>0</v>
      </c>
      <c r="Z69" s="14" t="str">
        <f>_xlfn.XLOOKUP($A69,Centrum[Индекс],Centrum[Transport co invoice no/ 
Номер инвойса ТК],"",0,1)</f>
        <v/>
      </c>
    </row>
    <row r="70" spans="1:26" s="11" customFormat="1" x14ac:dyDescent="0.3">
      <c r="A70" s="14">
        <v>66</v>
      </c>
      <c r="B70" s="11" t="str">
        <f>_xlfn.XLOOKUP($A70,Centrum[Индекс],Centrum[Carrier/ Перевозчик],"",0,1)</f>
        <v/>
      </c>
      <c r="C70" s="11" t="str">
        <f>_xlfn.XLOOKUP($A70,Centrum[Индекс],Centrum[Country /  Страна],"",0,1)</f>
        <v/>
      </c>
      <c r="D70" s="11" t="str">
        <f>_xlfn.XLOOKUP($A70,Centrum[Индекс],Centrum[Container num./ 
№ контейнера],"",0,1)</f>
        <v/>
      </c>
      <c r="E70" s="11" t="str">
        <f>_xlfn.XLOOKUP($A70,Centrum[Индекс],Centrum[Supplier/
Поставщик],"",0,1)</f>
        <v/>
      </c>
      <c r="F70" s="11" t="str">
        <f>_xlfn.XLOOKUP($A70,Centrum[Индекс],Centrum[Shippers invoice no/ 
Номер инвойса поставщика],"",1)</f>
        <v/>
      </c>
      <c r="G70" s="15" t="str">
        <f>_xlfn.XLOOKUP($A70,Centrum[Индекс],Centrum[Invoice value / Стоимость груза в к-ре по инвойсу],"",0,1)</f>
        <v/>
      </c>
      <c r="H70" s="14" t="s">
        <v>40</v>
      </c>
      <c r="I70" s="11" t="str">
        <f>_xlfn.XLOOKUP($A70,Centrum[Индекс],Centrum[CBM on the shipper/ 
CBM по поставщику],"",0,1)</f>
        <v/>
      </c>
      <c r="J70" s="16" t="str">
        <f>_xlfn.XLOOKUP($A70,Centrum[Индекс],Centrum[Gross weight of cont// 
Гросс.вес по конт.],"",0,1)</f>
        <v/>
      </c>
      <c r="K70" s="17" t="str">
        <f>_xlfn.XLOOKUP($A70,Centrum[Индекс],Centrum[Route/ Маршрут (TSR/TCR)],"",0,1)</f>
        <v/>
      </c>
      <c r="L70" s="11" t="str">
        <f>_xlfn.XLOOKUP($A70,Centrum[Индекс],Centrum[Условия поставки],"",0,1)</f>
        <v/>
      </c>
      <c r="M70" s="11" t="str">
        <f>_xlfn.XLOOKUP($A70,Centrum[Индекс],Centrum[№ HBL date / 
№/ дата коносамента],"",0,1)</f>
        <v/>
      </c>
      <c r="N70" s="11" t="str">
        <f>_xlfn.XLOOKUP($A70,Centrum[Индекс],Centrum[№ MBL / 
№/ коносамента],"",0,1)</f>
        <v/>
      </c>
      <c r="O70" s="8" t="e">
        <f>(_xlfn.XLOOKUP($A70,Centrum[Индекс],Centrum[Date on board / Дата погрузки на судно],"",0,1))*1</f>
        <v>#VALUE!</v>
      </c>
      <c r="P70" s="8" t="e">
        <f>(_xlfn.XLOOKUP($A70,Centrum[Индекс],Centrum[Date of arrival to Sary-Agach/ Дата прибытия на Сары-Агач],"",0,1))*1</f>
        <v>#VALUE!</v>
      </c>
      <c r="Q70" s="14" t="str">
        <f>_xlfn.XLOOKUP($A70,Centrum[Индекс],Centrum[Container type/ 
Тип контейнера],"",0,1)</f>
        <v/>
      </c>
      <c r="R70" s="16">
        <f>_xlfn.XLOOKUP($A70,Centrum[Индекс],Centrum[Transportation cost per supplier/ 
Cтоимость перевозки по поставщикам],0,0,1)</f>
        <v>0</v>
      </c>
      <c r="S70" s="16">
        <f>Шаблон_Формулы!$T70-Шаблон_Формулы!$R70</f>
        <v>0</v>
      </c>
      <c r="T70" s="16">
        <f>_xlfn.XLOOKUP($A70,Centrum[Индекс],Centrum[Transportation total amount / Общая стоимость перевозки],0,0,1)</f>
        <v>0</v>
      </c>
      <c r="U70" s="12" cm="1">
        <f t="array" ref="U7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70" s="16">
        <f>_xlfn.XLOOKUP(Шаблон_Формулы[[#This Row],[21]],Курс_USD[Дата],Курс_USD[Курс],,0,1)</f>
        <v>11445.03</v>
      </c>
      <c r="W70" s="16">
        <f>Шаблон_Формулы!$T70*Шаблон_Формулы!$V70</f>
        <v>0</v>
      </c>
      <c r="Y70" s="16">
        <f>Шаблон_Формулы!$W70+Шаблон_Формулы!$X70</f>
        <v>0</v>
      </c>
      <c r="Z70" s="14" t="str">
        <f>_xlfn.XLOOKUP($A70,Centrum[Индекс],Centrum[Transport co invoice no/ 
Номер инвойса ТК],"",0,1)</f>
        <v/>
      </c>
    </row>
    <row r="71" spans="1:26" s="11" customFormat="1" x14ac:dyDescent="0.3">
      <c r="A71" s="14">
        <v>67</v>
      </c>
      <c r="B71" s="11" t="str">
        <f>_xlfn.XLOOKUP($A71,Centrum[Индекс],Centrum[Carrier/ Перевозчик],"",0,1)</f>
        <v/>
      </c>
      <c r="C71" s="11" t="str">
        <f>_xlfn.XLOOKUP($A71,Centrum[Индекс],Centrum[Country /  Страна],"",0,1)</f>
        <v/>
      </c>
      <c r="D71" s="11" t="str">
        <f>_xlfn.XLOOKUP($A71,Centrum[Индекс],Centrum[Container num./ 
№ контейнера],"",0,1)</f>
        <v/>
      </c>
      <c r="E71" s="11" t="str">
        <f>_xlfn.XLOOKUP($A71,Centrum[Индекс],Centrum[Supplier/
Поставщик],"",0,1)</f>
        <v/>
      </c>
      <c r="F71" s="11" t="str">
        <f>_xlfn.XLOOKUP($A71,Centrum[Индекс],Centrum[Shippers invoice no/ 
Номер инвойса поставщика],"",1)</f>
        <v/>
      </c>
      <c r="G71" s="15" t="str">
        <f>_xlfn.XLOOKUP($A71,Centrum[Индекс],Centrum[Invoice value / Стоимость груза в к-ре по инвойсу],"",0,1)</f>
        <v/>
      </c>
      <c r="H71" s="14" t="s">
        <v>40</v>
      </c>
      <c r="I71" s="11" t="str">
        <f>_xlfn.XLOOKUP($A71,Centrum[Индекс],Centrum[CBM on the shipper/ 
CBM по поставщику],"",0,1)</f>
        <v/>
      </c>
      <c r="J71" s="16" t="str">
        <f>_xlfn.XLOOKUP($A71,Centrum[Индекс],Centrum[Gross weight of cont// 
Гросс.вес по конт.],"",0,1)</f>
        <v/>
      </c>
      <c r="K71" s="17" t="str">
        <f>_xlfn.XLOOKUP($A71,Centrum[Индекс],Centrum[Route/ Маршрут (TSR/TCR)],"",0,1)</f>
        <v/>
      </c>
      <c r="L71" s="11" t="str">
        <f>_xlfn.XLOOKUP($A71,Centrum[Индекс],Centrum[Условия поставки],"",0,1)</f>
        <v/>
      </c>
      <c r="M71" s="11" t="str">
        <f>_xlfn.XLOOKUP($A71,Centrum[Индекс],Centrum[№ HBL date / 
№/ дата коносамента],"",0,1)</f>
        <v/>
      </c>
      <c r="N71" s="11" t="str">
        <f>_xlfn.XLOOKUP($A71,Centrum[Индекс],Centrum[№ MBL / 
№/ коносамента],"",0,1)</f>
        <v/>
      </c>
      <c r="O71" s="8" t="e">
        <f>(_xlfn.XLOOKUP($A71,Centrum[Индекс],Centrum[Date on board / Дата погрузки на судно],"",0,1))*1</f>
        <v>#VALUE!</v>
      </c>
      <c r="P71" s="8" t="e">
        <f>(_xlfn.XLOOKUP($A71,Centrum[Индекс],Centrum[Date of arrival to Sary-Agach/ Дата прибытия на Сары-Агач],"",0,1))*1</f>
        <v>#VALUE!</v>
      </c>
      <c r="Q71" s="14" t="str">
        <f>_xlfn.XLOOKUP($A71,Centrum[Индекс],Centrum[Container type/ 
Тип контейнера],"",0,1)</f>
        <v/>
      </c>
      <c r="R71" s="16">
        <f>_xlfn.XLOOKUP($A71,Centrum[Индекс],Centrum[Transportation cost per supplier/ 
Cтоимость перевозки по поставщикам],0,0,1)</f>
        <v>0</v>
      </c>
      <c r="S71" s="16">
        <f>Шаблон_Формулы!$T71-Шаблон_Формулы!$R71</f>
        <v>0</v>
      </c>
      <c r="T71" s="16">
        <f>_xlfn.XLOOKUP($A71,Centrum[Индекс],Centrum[Transportation total amount / Общая стоимость перевозки],0,0,1)</f>
        <v>0</v>
      </c>
      <c r="U71" s="12" cm="1">
        <f t="array" ref="U7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71" s="16">
        <f>_xlfn.XLOOKUP(Шаблон_Формулы[[#This Row],[21]],Курс_USD[Дата],Курс_USD[Курс],,0,1)</f>
        <v>11445.03</v>
      </c>
      <c r="W71" s="16">
        <f>Шаблон_Формулы!$T71*Шаблон_Формулы!$V71</f>
        <v>0</v>
      </c>
      <c r="Y71" s="16">
        <f>Шаблон_Формулы!$W71+Шаблон_Формулы!$X71</f>
        <v>0</v>
      </c>
      <c r="Z71" s="14" t="str">
        <f>_xlfn.XLOOKUP($A71,Centrum[Индекс],Centrum[Transport co invoice no/ 
Номер инвойса ТК],"",0,1)</f>
        <v/>
      </c>
    </row>
    <row r="72" spans="1:26" s="11" customFormat="1" x14ac:dyDescent="0.3">
      <c r="A72" s="14">
        <v>68</v>
      </c>
      <c r="B72" s="11" t="str">
        <f>_xlfn.XLOOKUP($A72,Centrum[Индекс],Centrum[Carrier/ Перевозчик],"",0,1)</f>
        <v/>
      </c>
      <c r="C72" s="11" t="str">
        <f>_xlfn.XLOOKUP($A72,Centrum[Индекс],Centrum[Country /  Страна],"",0,1)</f>
        <v/>
      </c>
      <c r="D72" s="11" t="str">
        <f>_xlfn.XLOOKUP($A72,Centrum[Индекс],Centrum[Container num./ 
№ контейнера],"",0,1)</f>
        <v/>
      </c>
      <c r="E72" s="11" t="str">
        <f>_xlfn.XLOOKUP($A72,Centrum[Индекс],Centrum[Supplier/
Поставщик],"",0,1)</f>
        <v/>
      </c>
      <c r="F72" s="11" t="str">
        <f>_xlfn.XLOOKUP($A72,Centrum[Индекс],Centrum[Shippers invoice no/ 
Номер инвойса поставщика],"",1)</f>
        <v/>
      </c>
      <c r="G72" s="15" t="str">
        <f>_xlfn.XLOOKUP($A72,Centrum[Индекс],Centrum[Invoice value / Стоимость груза в к-ре по инвойсу],"",0,1)</f>
        <v/>
      </c>
      <c r="H72" s="14" t="s">
        <v>40</v>
      </c>
      <c r="I72" s="11" t="str">
        <f>_xlfn.XLOOKUP($A72,Centrum[Индекс],Centrum[CBM on the shipper/ 
CBM по поставщику],"",0,1)</f>
        <v/>
      </c>
      <c r="J72" s="16" t="str">
        <f>_xlfn.XLOOKUP($A72,Centrum[Индекс],Centrum[Gross weight of cont// 
Гросс.вес по конт.],"",0,1)</f>
        <v/>
      </c>
      <c r="K72" s="17" t="str">
        <f>_xlfn.XLOOKUP($A72,Centrum[Индекс],Centrum[Route/ Маршрут (TSR/TCR)],"",0,1)</f>
        <v/>
      </c>
      <c r="L72" s="11" t="str">
        <f>_xlfn.XLOOKUP($A72,Centrum[Индекс],Centrum[Условия поставки],"",0,1)</f>
        <v/>
      </c>
      <c r="M72" s="11" t="str">
        <f>_xlfn.XLOOKUP($A72,Centrum[Индекс],Centrum[№ HBL date / 
№/ дата коносамента],"",0,1)</f>
        <v/>
      </c>
      <c r="N72" s="11" t="str">
        <f>_xlfn.XLOOKUP($A72,Centrum[Индекс],Centrum[№ MBL / 
№/ коносамента],"",0,1)</f>
        <v/>
      </c>
      <c r="O72" s="8" t="e">
        <f>(_xlfn.XLOOKUP($A72,Centrum[Индекс],Centrum[Date on board / Дата погрузки на судно],"",0,1))*1</f>
        <v>#VALUE!</v>
      </c>
      <c r="P72" s="8" t="e">
        <f>(_xlfn.XLOOKUP($A72,Centrum[Индекс],Centrum[Date of arrival to Sary-Agach/ Дата прибытия на Сары-Агач],"",0,1))*1</f>
        <v>#VALUE!</v>
      </c>
      <c r="Q72" s="14" t="str">
        <f>_xlfn.XLOOKUP($A72,Centrum[Индекс],Centrum[Container type/ 
Тип контейнера],"",0,1)</f>
        <v/>
      </c>
      <c r="R72" s="16">
        <f>_xlfn.XLOOKUP($A72,Centrum[Индекс],Centrum[Transportation cost per supplier/ 
Cтоимость перевозки по поставщикам],0,0,1)</f>
        <v>0</v>
      </c>
      <c r="S72" s="16">
        <f>Шаблон_Формулы!$T72-Шаблон_Формулы!$R72</f>
        <v>0</v>
      </c>
      <c r="T72" s="16">
        <f>_xlfn.XLOOKUP($A72,Centrum[Индекс],Centrum[Transportation total amount / Общая стоимость перевозки],0,0,1)</f>
        <v>0</v>
      </c>
      <c r="U72" s="12" cm="1">
        <f t="array" ref="U7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72" s="16">
        <f>_xlfn.XLOOKUP(Шаблон_Формулы[[#This Row],[21]],Курс_USD[Дата],Курс_USD[Курс],,0,1)</f>
        <v>11445.03</v>
      </c>
      <c r="W72" s="16">
        <f>Шаблон_Формулы!$T72*Шаблон_Формулы!$V72</f>
        <v>0</v>
      </c>
      <c r="Y72" s="16">
        <f>Шаблон_Формулы!$W72+Шаблон_Формулы!$X72</f>
        <v>0</v>
      </c>
      <c r="Z72" s="14" t="str">
        <f>_xlfn.XLOOKUP($A72,Centrum[Индекс],Centrum[Transport co invoice no/ 
Номер инвойса ТК],"",0,1)</f>
        <v/>
      </c>
    </row>
    <row r="73" spans="1:26" s="11" customFormat="1" x14ac:dyDescent="0.3">
      <c r="A73" s="14">
        <v>69</v>
      </c>
      <c r="B73" s="11" t="str">
        <f>_xlfn.XLOOKUP($A73,Centrum[Индекс],Centrum[Carrier/ Перевозчик],"",0,1)</f>
        <v/>
      </c>
      <c r="C73" s="11" t="str">
        <f>_xlfn.XLOOKUP($A73,Centrum[Индекс],Centrum[Country /  Страна],"",0,1)</f>
        <v/>
      </c>
      <c r="D73" s="11" t="str">
        <f>_xlfn.XLOOKUP($A73,Centrum[Индекс],Centrum[Container num./ 
№ контейнера],"",0,1)</f>
        <v/>
      </c>
      <c r="E73" s="11" t="str">
        <f>_xlfn.XLOOKUP($A73,Centrum[Индекс],Centrum[Supplier/
Поставщик],"",0,1)</f>
        <v/>
      </c>
      <c r="F73" s="11" t="str">
        <f>_xlfn.XLOOKUP($A73,Centrum[Индекс],Centrum[Shippers invoice no/ 
Номер инвойса поставщика],"",1)</f>
        <v/>
      </c>
      <c r="G73" s="15" t="str">
        <f>_xlfn.XLOOKUP($A73,Centrum[Индекс],Centrum[Invoice value / Стоимость груза в к-ре по инвойсу],"",0,1)</f>
        <v/>
      </c>
      <c r="H73" s="14" t="s">
        <v>40</v>
      </c>
      <c r="I73" s="11" t="str">
        <f>_xlfn.XLOOKUP($A73,Centrum[Индекс],Centrum[CBM on the shipper/ 
CBM по поставщику],"",0,1)</f>
        <v/>
      </c>
      <c r="J73" s="16" t="str">
        <f>_xlfn.XLOOKUP($A73,Centrum[Индекс],Centrum[Gross weight of cont// 
Гросс.вес по конт.],"",0,1)</f>
        <v/>
      </c>
      <c r="K73" s="17" t="str">
        <f>_xlfn.XLOOKUP($A73,Centrum[Индекс],Centrum[Route/ Маршрут (TSR/TCR)],"",0,1)</f>
        <v/>
      </c>
      <c r="L73" s="11" t="str">
        <f>_xlfn.XLOOKUP($A73,Centrum[Индекс],Centrum[Условия поставки],"",0,1)</f>
        <v/>
      </c>
      <c r="M73" s="11" t="str">
        <f>_xlfn.XLOOKUP($A73,Centrum[Индекс],Centrum[№ HBL date / 
№/ дата коносамента],"",0,1)</f>
        <v/>
      </c>
      <c r="N73" s="11" t="str">
        <f>_xlfn.XLOOKUP($A73,Centrum[Индекс],Centrum[№ MBL / 
№/ коносамента],"",0,1)</f>
        <v/>
      </c>
      <c r="O73" s="8" t="e">
        <f>(_xlfn.XLOOKUP($A73,Centrum[Индекс],Centrum[Date on board / Дата погрузки на судно],"",0,1))*1</f>
        <v>#VALUE!</v>
      </c>
      <c r="P73" s="8" t="e">
        <f>(_xlfn.XLOOKUP($A73,Centrum[Индекс],Centrum[Date of arrival to Sary-Agach/ Дата прибытия на Сары-Агач],"",0,1))*1</f>
        <v>#VALUE!</v>
      </c>
      <c r="Q73" s="14" t="str">
        <f>_xlfn.XLOOKUP($A73,Centrum[Индекс],Centrum[Container type/ 
Тип контейнера],"",0,1)</f>
        <v/>
      </c>
      <c r="R73" s="16">
        <f>_xlfn.XLOOKUP($A73,Centrum[Индекс],Centrum[Transportation cost per supplier/ 
Cтоимость перевозки по поставщикам],0,0,1)</f>
        <v>0</v>
      </c>
      <c r="S73" s="16">
        <f>Шаблон_Формулы!$T73-Шаблон_Формулы!$R73</f>
        <v>0</v>
      </c>
      <c r="T73" s="16">
        <f>_xlfn.XLOOKUP($A73,Centrum[Индекс],Centrum[Transportation total amount / Общая стоимость перевозки],0,0,1)</f>
        <v>0</v>
      </c>
      <c r="U73" s="12" cm="1">
        <f t="array" ref="U7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73" s="16">
        <f>_xlfn.XLOOKUP(Шаблон_Формулы[[#This Row],[21]],Курс_USD[Дата],Курс_USD[Курс],,0,1)</f>
        <v>11445.03</v>
      </c>
      <c r="W73" s="16">
        <f>Шаблон_Формулы!$T73*Шаблон_Формулы!$V73</f>
        <v>0</v>
      </c>
      <c r="Y73" s="16">
        <f>Шаблон_Формулы!$W73+Шаблон_Формулы!$X73</f>
        <v>0</v>
      </c>
      <c r="Z73" s="14" t="str">
        <f>_xlfn.XLOOKUP($A73,Centrum[Индекс],Centrum[Transport co invoice no/ 
Номер инвойса ТК],"",0,1)</f>
        <v/>
      </c>
    </row>
    <row r="74" spans="1:26" s="11" customFormat="1" x14ac:dyDescent="0.3">
      <c r="A74" s="14">
        <v>70</v>
      </c>
      <c r="B74" s="11" t="str">
        <f>_xlfn.XLOOKUP($A74,Centrum[Индекс],Centrum[Carrier/ Перевозчик],"",0,1)</f>
        <v/>
      </c>
      <c r="C74" s="11" t="str">
        <f>_xlfn.XLOOKUP($A74,Centrum[Индекс],Centrum[Country /  Страна],"",0,1)</f>
        <v/>
      </c>
      <c r="D74" s="11" t="str">
        <f>_xlfn.XLOOKUP($A74,Centrum[Индекс],Centrum[Container num./ 
№ контейнера],"",0,1)</f>
        <v/>
      </c>
      <c r="E74" s="11" t="str">
        <f>_xlfn.XLOOKUP($A74,Centrum[Индекс],Centrum[Supplier/
Поставщик],"",0,1)</f>
        <v/>
      </c>
      <c r="F74" s="11" t="str">
        <f>_xlfn.XLOOKUP($A74,Centrum[Индекс],Centrum[Shippers invoice no/ 
Номер инвойса поставщика],"",1)</f>
        <v/>
      </c>
      <c r="G74" s="15" t="str">
        <f>_xlfn.XLOOKUP($A74,Centrum[Индекс],Centrum[Invoice value / Стоимость груза в к-ре по инвойсу],"",0,1)</f>
        <v/>
      </c>
      <c r="H74" s="14" t="s">
        <v>40</v>
      </c>
      <c r="I74" s="11" t="str">
        <f>_xlfn.XLOOKUP($A74,Centrum[Индекс],Centrum[CBM on the shipper/ 
CBM по поставщику],"",0,1)</f>
        <v/>
      </c>
      <c r="J74" s="16" t="str">
        <f>_xlfn.XLOOKUP($A74,Centrum[Индекс],Centrum[Gross weight of cont// 
Гросс.вес по конт.],"",0,1)</f>
        <v/>
      </c>
      <c r="K74" s="17" t="str">
        <f>_xlfn.XLOOKUP($A74,Centrum[Индекс],Centrum[Route/ Маршрут (TSR/TCR)],"",0,1)</f>
        <v/>
      </c>
      <c r="L74" s="11" t="str">
        <f>_xlfn.XLOOKUP($A74,Centrum[Индекс],Centrum[Условия поставки],"",0,1)</f>
        <v/>
      </c>
      <c r="M74" s="11" t="str">
        <f>_xlfn.XLOOKUP($A74,Centrum[Индекс],Centrum[№ HBL date / 
№/ дата коносамента],"",0,1)</f>
        <v/>
      </c>
      <c r="N74" s="11" t="str">
        <f>_xlfn.XLOOKUP($A74,Centrum[Индекс],Centrum[№ MBL / 
№/ коносамента],"",0,1)</f>
        <v/>
      </c>
      <c r="O74" s="8" t="e">
        <f>(_xlfn.XLOOKUP($A74,Centrum[Индекс],Centrum[Date on board / Дата погрузки на судно],"",0,1))*1</f>
        <v>#VALUE!</v>
      </c>
      <c r="P74" s="8" t="e">
        <f>(_xlfn.XLOOKUP($A74,Centrum[Индекс],Centrum[Date of arrival to Sary-Agach/ Дата прибытия на Сары-Агач],"",0,1))*1</f>
        <v>#VALUE!</v>
      </c>
      <c r="Q74" s="14" t="str">
        <f>_xlfn.XLOOKUP($A74,Centrum[Индекс],Centrum[Container type/ 
Тип контейнера],"",0,1)</f>
        <v/>
      </c>
      <c r="R74" s="16">
        <f>_xlfn.XLOOKUP($A74,Centrum[Индекс],Centrum[Transportation cost per supplier/ 
Cтоимость перевозки по поставщикам],0,0,1)</f>
        <v>0</v>
      </c>
      <c r="S74" s="16">
        <f>Шаблон_Формулы!$T74-Шаблон_Формулы!$R74</f>
        <v>0</v>
      </c>
      <c r="T74" s="16">
        <f>_xlfn.XLOOKUP($A74,Centrum[Индекс],Centrum[Transportation total amount / Общая стоимость перевозки],0,0,1)</f>
        <v>0</v>
      </c>
      <c r="U74" s="12" cm="1">
        <f t="array" ref="U7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74" s="16">
        <f>_xlfn.XLOOKUP(Шаблон_Формулы[[#This Row],[21]],Курс_USD[Дата],Курс_USD[Курс],,0,1)</f>
        <v>11445.03</v>
      </c>
      <c r="W74" s="16">
        <f>Шаблон_Формулы!$T74*Шаблон_Формулы!$V74</f>
        <v>0</v>
      </c>
      <c r="Y74" s="16">
        <f>Шаблон_Формулы!$W74+Шаблон_Формулы!$X74</f>
        <v>0</v>
      </c>
      <c r="Z74" s="14" t="str">
        <f>_xlfn.XLOOKUP($A74,Centrum[Индекс],Centrum[Transport co invoice no/ 
Номер инвойса ТК],"",0,1)</f>
        <v/>
      </c>
    </row>
    <row r="75" spans="1:26" s="11" customFormat="1" x14ac:dyDescent="0.3">
      <c r="A75" s="14">
        <v>71</v>
      </c>
      <c r="B75" s="11" t="str">
        <f>_xlfn.XLOOKUP($A75,Centrum[Индекс],Centrum[Carrier/ Перевозчик],"",0,1)</f>
        <v/>
      </c>
      <c r="C75" s="11" t="str">
        <f>_xlfn.XLOOKUP($A75,Centrum[Индекс],Centrum[Country /  Страна],"",0,1)</f>
        <v/>
      </c>
      <c r="D75" s="11" t="str">
        <f>_xlfn.XLOOKUP($A75,Centrum[Индекс],Centrum[Container num./ 
№ контейнера],"",0,1)</f>
        <v/>
      </c>
      <c r="E75" s="11" t="str">
        <f>_xlfn.XLOOKUP($A75,Centrum[Индекс],Centrum[Supplier/
Поставщик],"",0,1)</f>
        <v/>
      </c>
      <c r="F75" s="11" t="str">
        <f>_xlfn.XLOOKUP($A75,Centrum[Индекс],Centrum[Shippers invoice no/ 
Номер инвойса поставщика],"",1)</f>
        <v/>
      </c>
      <c r="G75" s="15" t="str">
        <f>_xlfn.XLOOKUP($A75,Centrum[Индекс],Centrum[Invoice value / Стоимость груза в к-ре по инвойсу],"",0,1)</f>
        <v/>
      </c>
      <c r="H75" s="14" t="s">
        <v>40</v>
      </c>
      <c r="I75" s="11" t="str">
        <f>_xlfn.XLOOKUP($A75,Centrum[Индекс],Centrum[CBM on the shipper/ 
CBM по поставщику],"",0,1)</f>
        <v/>
      </c>
      <c r="J75" s="16" t="str">
        <f>_xlfn.XLOOKUP($A75,Centrum[Индекс],Centrum[Gross weight of cont// 
Гросс.вес по конт.],"",0,1)</f>
        <v/>
      </c>
      <c r="K75" s="17" t="str">
        <f>_xlfn.XLOOKUP($A75,Centrum[Индекс],Centrum[Route/ Маршрут (TSR/TCR)],"",0,1)</f>
        <v/>
      </c>
      <c r="L75" s="11" t="str">
        <f>_xlfn.XLOOKUP($A75,Centrum[Индекс],Centrum[Условия поставки],"",0,1)</f>
        <v/>
      </c>
      <c r="M75" s="11" t="str">
        <f>_xlfn.XLOOKUP($A75,Centrum[Индекс],Centrum[№ HBL date / 
№/ дата коносамента],"",0,1)</f>
        <v/>
      </c>
      <c r="N75" s="11" t="str">
        <f>_xlfn.XLOOKUP($A75,Centrum[Индекс],Centrum[№ MBL / 
№/ коносамента],"",0,1)</f>
        <v/>
      </c>
      <c r="O75" s="8" t="e">
        <f>(_xlfn.XLOOKUP($A75,Centrum[Индекс],Centrum[Date on board / Дата погрузки на судно],"",0,1))*1</f>
        <v>#VALUE!</v>
      </c>
      <c r="P75" s="8" t="e">
        <f>(_xlfn.XLOOKUP($A75,Centrum[Индекс],Centrum[Date of arrival to Sary-Agach/ Дата прибытия на Сары-Агач],"",0,1))*1</f>
        <v>#VALUE!</v>
      </c>
      <c r="Q75" s="14" t="str">
        <f>_xlfn.XLOOKUP($A75,Centrum[Индекс],Centrum[Container type/ 
Тип контейнера],"",0,1)</f>
        <v/>
      </c>
      <c r="R75" s="16">
        <f>_xlfn.XLOOKUP($A75,Centrum[Индекс],Centrum[Transportation cost per supplier/ 
Cтоимость перевозки по поставщикам],0,0,1)</f>
        <v>0</v>
      </c>
      <c r="S75" s="16">
        <f>Шаблон_Формулы!$T75-Шаблон_Формулы!$R75</f>
        <v>0</v>
      </c>
      <c r="T75" s="16">
        <f>_xlfn.XLOOKUP($A75,Centrum[Индекс],Centrum[Transportation total amount / Общая стоимость перевозки],0,0,1)</f>
        <v>0</v>
      </c>
      <c r="U75" s="12" cm="1">
        <f t="array" ref="U7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75" s="16">
        <f>_xlfn.XLOOKUP(Шаблон_Формулы[[#This Row],[21]],Курс_USD[Дата],Курс_USD[Курс],,0,1)</f>
        <v>11445.03</v>
      </c>
      <c r="W75" s="16">
        <f>Шаблон_Формулы!$T75*Шаблон_Формулы!$V75</f>
        <v>0</v>
      </c>
      <c r="Y75" s="16">
        <f>Шаблон_Формулы!$W75+Шаблон_Формулы!$X75</f>
        <v>0</v>
      </c>
      <c r="Z75" s="14" t="str">
        <f>_xlfn.XLOOKUP($A75,Centrum[Индекс],Centrum[Transport co invoice no/ 
Номер инвойса ТК],"",0,1)</f>
        <v/>
      </c>
    </row>
    <row r="76" spans="1:26" s="11" customFormat="1" x14ac:dyDescent="0.3">
      <c r="A76" s="14">
        <v>72</v>
      </c>
      <c r="B76" s="11" t="str">
        <f>_xlfn.XLOOKUP($A76,Centrum[Индекс],Centrum[Carrier/ Перевозчик],"",0,1)</f>
        <v/>
      </c>
      <c r="C76" s="11" t="str">
        <f>_xlfn.XLOOKUP($A76,Centrum[Индекс],Centrum[Country /  Страна],"",0,1)</f>
        <v/>
      </c>
      <c r="D76" s="11" t="str">
        <f>_xlfn.XLOOKUP($A76,Centrum[Индекс],Centrum[Container num./ 
№ контейнера],"",0,1)</f>
        <v/>
      </c>
      <c r="E76" s="11" t="str">
        <f>_xlfn.XLOOKUP($A76,Centrum[Индекс],Centrum[Supplier/
Поставщик],"",0,1)</f>
        <v/>
      </c>
      <c r="F76" s="11" t="str">
        <f>_xlfn.XLOOKUP($A76,Centrum[Индекс],Centrum[Shippers invoice no/ 
Номер инвойса поставщика],"",1)</f>
        <v/>
      </c>
      <c r="G76" s="15" t="str">
        <f>_xlfn.XLOOKUP($A76,Centrum[Индекс],Centrum[Invoice value / Стоимость груза в к-ре по инвойсу],"",0,1)</f>
        <v/>
      </c>
      <c r="H76" s="14" t="s">
        <v>40</v>
      </c>
      <c r="I76" s="11" t="str">
        <f>_xlfn.XLOOKUP($A76,Centrum[Индекс],Centrum[CBM on the shipper/ 
CBM по поставщику],"",0,1)</f>
        <v/>
      </c>
      <c r="J76" s="16" t="str">
        <f>_xlfn.XLOOKUP($A76,Centrum[Индекс],Centrum[Gross weight of cont// 
Гросс.вес по конт.],"",0,1)</f>
        <v/>
      </c>
      <c r="K76" s="17" t="str">
        <f>_xlfn.XLOOKUP($A76,Centrum[Индекс],Centrum[Route/ Маршрут (TSR/TCR)],"",0,1)</f>
        <v/>
      </c>
      <c r="L76" s="11" t="str">
        <f>_xlfn.XLOOKUP($A76,Centrum[Индекс],Centrum[Условия поставки],"",0,1)</f>
        <v/>
      </c>
      <c r="M76" s="11" t="str">
        <f>_xlfn.XLOOKUP($A76,Centrum[Индекс],Centrum[№ HBL date / 
№/ дата коносамента],"",0,1)</f>
        <v/>
      </c>
      <c r="N76" s="11" t="str">
        <f>_xlfn.XLOOKUP($A76,Centrum[Индекс],Centrum[№ MBL / 
№/ коносамента],"",0,1)</f>
        <v/>
      </c>
      <c r="O76" s="8" t="e">
        <f>(_xlfn.XLOOKUP($A76,Centrum[Индекс],Centrum[Date on board / Дата погрузки на судно],"",0,1))*1</f>
        <v>#VALUE!</v>
      </c>
      <c r="P76" s="8" t="e">
        <f>(_xlfn.XLOOKUP($A76,Centrum[Индекс],Centrum[Date of arrival to Sary-Agach/ Дата прибытия на Сары-Агач],"",0,1))*1</f>
        <v>#VALUE!</v>
      </c>
      <c r="Q76" s="14" t="str">
        <f>_xlfn.XLOOKUP($A76,Centrum[Индекс],Centrum[Container type/ 
Тип контейнера],"",0,1)</f>
        <v/>
      </c>
      <c r="R76" s="16">
        <f>_xlfn.XLOOKUP($A76,Centrum[Индекс],Centrum[Transportation cost per supplier/ 
Cтоимость перевозки по поставщикам],0,0,1)</f>
        <v>0</v>
      </c>
      <c r="S76" s="16">
        <f>Шаблон_Формулы!$T76-Шаблон_Формулы!$R76</f>
        <v>0</v>
      </c>
      <c r="T76" s="16">
        <f>_xlfn.XLOOKUP($A76,Centrum[Индекс],Centrum[Transportation total amount / Общая стоимость перевозки],0,0,1)</f>
        <v>0</v>
      </c>
      <c r="U76" s="12" cm="1">
        <f t="array" ref="U7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76" s="16">
        <f>_xlfn.XLOOKUP(Шаблон_Формулы[[#This Row],[21]],Курс_USD[Дата],Курс_USD[Курс],,0,1)</f>
        <v>11445.03</v>
      </c>
      <c r="W76" s="16">
        <f>Шаблон_Формулы!$T76*Шаблон_Формулы!$V76</f>
        <v>0</v>
      </c>
      <c r="Y76" s="16">
        <f>Шаблон_Формулы!$W76+Шаблон_Формулы!$X76</f>
        <v>0</v>
      </c>
      <c r="Z76" s="14" t="str">
        <f>_xlfn.XLOOKUP($A76,Centrum[Индекс],Centrum[Transport co invoice no/ 
Номер инвойса ТК],"",0,1)</f>
        <v/>
      </c>
    </row>
    <row r="77" spans="1:26" s="11" customFormat="1" x14ac:dyDescent="0.3">
      <c r="A77" s="14">
        <v>73</v>
      </c>
      <c r="B77" s="11" t="str">
        <f>_xlfn.XLOOKUP($A77,Centrum[Индекс],Centrum[Carrier/ Перевозчик],"",0,1)</f>
        <v/>
      </c>
      <c r="C77" s="11" t="str">
        <f>_xlfn.XLOOKUP($A77,Centrum[Индекс],Centrum[Country /  Страна],"",0,1)</f>
        <v/>
      </c>
      <c r="D77" s="11" t="str">
        <f>_xlfn.XLOOKUP($A77,Centrum[Индекс],Centrum[Container num./ 
№ контейнера],"",0,1)</f>
        <v/>
      </c>
      <c r="E77" s="11" t="str">
        <f>_xlfn.XLOOKUP($A77,Centrum[Индекс],Centrum[Supplier/
Поставщик],"",0,1)</f>
        <v/>
      </c>
      <c r="F77" s="11" t="str">
        <f>_xlfn.XLOOKUP($A77,Centrum[Индекс],Centrum[Shippers invoice no/ 
Номер инвойса поставщика],"",1)</f>
        <v/>
      </c>
      <c r="G77" s="15" t="str">
        <f>_xlfn.XLOOKUP($A77,Centrum[Индекс],Centrum[Invoice value / Стоимость груза в к-ре по инвойсу],"",0,1)</f>
        <v/>
      </c>
      <c r="H77" s="14" t="s">
        <v>40</v>
      </c>
      <c r="I77" s="11" t="str">
        <f>_xlfn.XLOOKUP($A77,Centrum[Индекс],Centrum[CBM on the shipper/ 
CBM по поставщику],"",0,1)</f>
        <v/>
      </c>
      <c r="J77" s="16" t="str">
        <f>_xlfn.XLOOKUP($A77,Centrum[Индекс],Centrum[Gross weight of cont// 
Гросс.вес по конт.],"",0,1)</f>
        <v/>
      </c>
      <c r="K77" s="17" t="str">
        <f>_xlfn.XLOOKUP($A77,Centrum[Индекс],Centrum[Route/ Маршрут (TSR/TCR)],"",0,1)</f>
        <v/>
      </c>
      <c r="L77" s="11" t="str">
        <f>_xlfn.XLOOKUP($A77,Centrum[Индекс],Centrum[Условия поставки],"",0,1)</f>
        <v/>
      </c>
      <c r="M77" s="11" t="str">
        <f>_xlfn.XLOOKUP($A77,Centrum[Индекс],Centrum[№ HBL date / 
№/ дата коносамента],"",0,1)</f>
        <v/>
      </c>
      <c r="N77" s="11" t="str">
        <f>_xlfn.XLOOKUP($A77,Centrum[Индекс],Centrum[№ MBL / 
№/ коносамента],"",0,1)</f>
        <v/>
      </c>
      <c r="O77" s="8" t="e">
        <f>(_xlfn.XLOOKUP($A77,Centrum[Индекс],Centrum[Date on board / Дата погрузки на судно],"",0,1))*1</f>
        <v>#VALUE!</v>
      </c>
      <c r="P77" s="8" t="e">
        <f>(_xlfn.XLOOKUP($A77,Centrum[Индекс],Centrum[Date of arrival to Sary-Agach/ Дата прибытия на Сары-Агач],"",0,1))*1</f>
        <v>#VALUE!</v>
      </c>
      <c r="Q77" s="14" t="str">
        <f>_xlfn.XLOOKUP($A77,Centrum[Индекс],Centrum[Container type/ 
Тип контейнера],"",0,1)</f>
        <v/>
      </c>
      <c r="R77" s="16">
        <f>_xlfn.XLOOKUP($A77,Centrum[Индекс],Centrum[Transportation cost per supplier/ 
Cтоимость перевозки по поставщикам],0,0,1)</f>
        <v>0</v>
      </c>
      <c r="S77" s="16">
        <f>Шаблон_Формулы!$T77-Шаблон_Формулы!$R77</f>
        <v>0</v>
      </c>
      <c r="T77" s="16">
        <f>_xlfn.XLOOKUP($A77,Centrum[Индекс],Centrum[Transportation total amount / Общая стоимость перевозки],0,0,1)</f>
        <v>0</v>
      </c>
      <c r="U77" s="12" cm="1">
        <f t="array" ref="U7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77" s="16">
        <f>_xlfn.XLOOKUP(Шаблон_Формулы[[#This Row],[21]],Курс_USD[Дата],Курс_USD[Курс],,0,1)</f>
        <v>11445.03</v>
      </c>
      <c r="W77" s="16">
        <f>Шаблон_Формулы!$T77*Шаблон_Формулы!$V77</f>
        <v>0</v>
      </c>
      <c r="Y77" s="16">
        <f>Шаблон_Формулы!$W77+Шаблон_Формулы!$X77</f>
        <v>0</v>
      </c>
      <c r="Z77" s="14" t="str">
        <f>_xlfn.XLOOKUP($A77,Centrum[Индекс],Centrum[Transport co invoice no/ 
Номер инвойса ТК],"",0,1)</f>
        <v/>
      </c>
    </row>
    <row r="78" spans="1:26" s="11" customFormat="1" x14ac:dyDescent="0.3">
      <c r="A78" s="14">
        <v>74</v>
      </c>
      <c r="B78" s="11" t="str">
        <f>_xlfn.XLOOKUP($A78,Centrum[Индекс],Centrum[Carrier/ Перевозчик],"",0,1)</f>
        <v/>
      </c>
      <c r="C78" s="11" t="str">
        <f>_xlfn.XLOOKUP($A78,Centrum[Индекс],Centrum[Country /  Страна],"",0,1)</f>
        <v/>
      </c>
      <c r="D78" s="11" t="str">
        <f>_xlfn.XLOOKUP($A78,Centrum[Индекс],Centrum[Container num./ 
№ контейнера],"",0,1)</f>
        <v/>
      </c>
      <c r="E78" s="11" t="str">
        <f>_xlfn.XLOOKUP($A78,Centrum[Индекс],Centrum[Supplier/
Поставщик],"",0,1)</f>
        <v/>
      </c>
      <c r="F78" s="11" t="str">
        <f>_xlfn.XLOOKUP($A78,Centrum[Индекс],Centrum[Shippers invoice no/ 
Номер инвойса поставщика],"",1)</f>
        <v/>
      </c>
      <c r="G78" s="15" t="str">
        <f>_xlfn.XLOOKUP($A78,Centrum[Индекс],Centrum[Invoice value / Стоимость груза в к-ре по инвойсу],"",0,1)</f>
        <v/>
      </c>
      <c r="H78" s="14" t="s">
        <v>40</v>
      </c>
      <c r="I78" s="11" t="str">
        <f>_xlfn.XLOOKUP($A78,Centrum[Индекс],Centrum[CBM on the shipper/ 
CBM по поставщику],"",0,1)</f>
        <v/>
      </c>
      <c r="J78" s="16" t="str">
        <f>_xlfn.XLOOKUP($A78,Centrum[Индекс],Centrum[Gross weight of cont// 
Гросс.вес по конт.],"",0,1)</f>
        <v/>
      </c>
      <c r="K78" s="17" t="str">
        <f>_xlfn.XLOOKUP($A78,Centrum[Индекс],Centrum[Route/ Маршрут (TSR/TCR)],"",0,1)</f>
        <v/>
      </c>
      <c r="L78" s="11" t="str">
        <f>_xlfn.XLOOKUP($A78,Centrum[Индекс],Centrum[Условия поставки],"",0,1)</f>
        <v/>
      </c>
      <c r="M78" s="11" t="str">
        <f>_xlfn.XLOOKUP($A78,Centrum[Индекс],Centrum[№ HBL date / 
№/ дата коносамента],"",0,1)</f>
        <v/>
      </c>
      <c r="N78" s="11" t="str">
        <f>_xlfn.XLOOKUP($A78,Centrum[Индекс],Centrum[№ MBL / 
№/ коносамента],"",0,1)</f>
        <v/>
      </c>
      <c r="O78" s="8" t="e">
        <f>(_xlfn.XLOOKUP($A78,Centrum[Индекс],Centrum[Date on board / Дата погрузки на судно],"",0,1))*1</f>
        <v>#VALUE!</v>
      </c>
      <c r="P78" s="8" t="e">
        <f>(_xlfn.XLOOKUP($A78,Centrum[Индекс],Centrum[Date of arrival to Sary-Agach/ Дата прибытия на Сары-Агач],"",0,1))*1</f>
        <v>#VALUE!</v>
      </c>
      <c r="Q78" s="14" t="str">
        <f>_xlfn.XLOOKUP($A78,Centrum[Индекс],Centrum[Container type/ 
Тип контейнера],"",0,1)</f>
        <v/>
      </c>
      <c r="R78" s="16">
        <f>_xlfn.XLOOKUP($A78,Centrum[Индекс],Centrum[Transportation cost per supplier/ 
Cтоимость перевозки по поставщикам],0,0,1)</f>
        <v>0</v>
      </c>
      <c r="S78" s="16">
        <f>Шаблон_Формулы!$T78-Шаблон_Формулы!$R78</f>
        <v>0</v>
      </c>
      <c r="T78" s="16">
        <f>_xlfn.XLOOKUP($A78,Centrum[Индекс],Centrum[Transportation total amount / Общая стоимость перевозки],0,0,1)</f>
        <v>0</v>
      </c>
      <c r="U78" s="12" cm="1">
        <f t="array" ref="U7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78" s="16">
        <f>_xlfn.XLOOKUP(Шаблон_Формулы[[#This Row],[21]],Курс_USD[Дата],Курс_USD[Курс],,0,1)</f>
        <v>11445.03</v>
      </c>
      <c r="W78" s="16">
        <f>Шаблон_Формулы!$T78*Шаблон_Формулы!$V78</f>
        <v>0</v>
      </c>
      <c r="Y78" s="16">
        <f>Шаблон_Формулы!$W78+Шаблон_Формулы!$X78</f>
        <v>0</v>
      </c>
      <c r="Z78" s="14" t="str">
        <f>_xlfn.XLOOKUP($A78,Centrum[Индекс],Centrum[Transport co invoice no/ 
Номер инвойса ТК],"",0,1)</f>
        <v/>
      </c>
    </row>
    <row r="79" spans="1:26" s="11" customFormat="1" x14ac:dyDescent="0.3">
      <c r="A79" s="14">
        <v>75</v>
      </c>
      <c r="B79" s="11" t="str">
        <f>_xlfn.XLOOKUP($A79,Centrum[Индекс],Centrum[Carrier/ Перевозчик],"",0,1)</f>
        <v/>
      </c>
      <c r="C79" s="11" t="str">
        <f>_xlfn.XLOOKUP($A79,Centrum[Индекс],Centrum[Country /  Страна],"",0,1)</f>
        <v/>
      </c>
      <c r="D79" s="11" t="str">
        <f>_xlfn.XLOOKUP($A79,Centrum[Индекс],Centrum[Container num./ 
№ контейнера],"",0,1)</f>
        <v/>
      </c>
      <c r="E79" s="11" t="str">
        <f>_xlfn.XLOOKUP($A79,Centrum[Индекс],Centrum[Supplier/
Поставщик],"",0,1)</f>
        <v/>
      </c>
      <c r="F79" s="11" t="str">
        <f>_xlfn.XLOOKUP($A79,Centrum[Индекс],Centrum[Shippers invoice no/ 
Номер инвойса поставщика],"",1)</f>
        <v/>
      </c>
      <c r="G79" s="15" t="str">
        <f>_xlfn.XLOOKUP($A79,Centrum[Индекс],Centrum[Invoice value / Стоимость груза в к-ре по инвойсу],"",0,1)</f>
        <v/>
      </c>
      <c r="H79" s="14" t="s">
        <v>40</v>
      </c>
      <c r="I79" s="11" t="str">
        <f>_xlfn.XLOOKUP($A79,Centrum[Индекс],Centrum[CBM on the shipper/ 
CBM по поставщику],"",0,1)</f>
        <v/>
      </c>
      <c r="J79" s="16" t="str">
        <f>_xlfn.XLOOKUP($A79,Centrum[Индекс],Centrum[Gross weight of cont// 
Гросс.вес по конт.],"",0,1)</f>
        <v/>
      </c>
      <c r="K79" s="17" t="str">
        <f>_xlfn.XLOOKUP($A79,Centrum[Индекс],Centrum[Route/ Маршрут (TSR/TCR)],"",0,1)</f>
        <v/>
      </c>
      <c r="L79" s="11" t="str">
        <f>_xlfn.XLOOKUP($A79,Centrum[Индекс],Centrum[Условия поставки],"",0,1)</f>
        <v/>
      </c>
      <c r="M79" s="11" t="str">
        <f>_xlfn.XLOOKUP($A79,Centrum[Индекс],Centrum[№ HBL date / 
№/ дата коносамента],"",0,1)</f>
        <v/>
      </c>
      <c r="N79" s="11" t="str">
        <f>_xlfn.XLOOKUP($A79,Centrum[Индекс],Centrum[№ MBL / 
№/ коносамента],"",0,1)</f>
        <v/>
      </c>
      <c r="O79" s="8" t="e">
        <f>(_xlfn.XLOOKUP($A79,Centrum[Индекс],Centrum[Date on board / Дата погрузки на судно],"",0,1))*1</f>
        <v>#VALUE!</v>
      </c>
      <c r="P79" s="8" t="e">
        <f>(_xlfn.XLOOKUP($A79,Centrum[Индекс],Centrum[Date of arrival to Sary-Agach/ Дата прибытия на Сары-Агач],"",0,1))*1</f>
        <v>#VALUE!</v>
      </c>
      <c r="Q79" s="14" t="str">
        <f>_xlfn.XLOOKUP($A79,Centrum[Индекс],Centrum[Container type/ 
Тип контейнера],"",0,1)</f>
        <v/>
      </c>
      <c r="R79" s="16">
        <f>_xlfn.XLOOKUP($A79,Centrum[Индекс],Centrum[Transportation cost per supplier/ 
Cтоимость перевозки по поставщикам],0,0,1)</f>
        <v>0</v>
      </c>
      <c r="S79" s="16">
        <f>Шаблон_Формулы!$T79-Шаблон_Формулы!$R79</f>
        <v>0</v>
      </c>
      <c r="T79" s="16">
        <f>_xlfn.XLOOKUP($A79,Centrum[Индекс],Centrum[Transportation total amount / Общая стоимость перевозки],0,0,1)</f>
        <v>0</v>
      </c>
      <c r="U79" s="12" cm="1">
        <f t="array" ref="U7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79" s="16">
        <f>_xlfn.XLOOKUP(Шаблон_Формулы[[#This Row],[21]],Курс_USD[Дата],Курс_USD[Курс],,0,1)</f>
        <v>11445.03</v>
      </c>
      <c r="W79" s="16">
        <f>Шаблон_Формулы!$T79*Шаблон_Формулы!$V79</f>
        <v>0</v>
      </c>
      <c r="Y79" s="16">
        <f>Шаблон_Формулы!$W79+Шаблон_Формулы!$X79</f>
        <v>0</v>
      </c>
      <c r="Z79" s="14" t="str">
        <f>_xlfn.XLOOKUP($A79,Centrum[Индекс],Centrum[Transport co invoice no/ 
Номер инвойса ТК],"",0,1)</f>
        <v/>
      </c>
    </row>
    <row r="80" spans="1:26" s="11" customFormat="1" x14ac:dyDescent="0.3">
      <c r="A80" s="14">
        <v>76</v>
      </c>
      <c r="B80" s="11" t="str">
        <f>_xlfn.XLOOKUP($A80,Centrum[Индекс],Centrum[Carrier/ Перевозчик],"",0,1)</f>
        <v/>
      </c>
      <c r="C80" s="11" t="str">
        <f>_xlfn.XLOOKUP($A80,Centrum[Индекс],Centrum[Country /  Страна],"",0,1)</f>
        <v/>
      </c>
      <c r="D80" s="11" t="str">
        <f>_xlfn.XLOOKUP($A80,Centrum[Индекс],Centrum[Container num./ 
№ контейнера],"",0,1)</f>
        <v/>
      </c>
      <c r="E80" s="11" t="str">
        <f>_xlfn.XLOOKUP($A80,Centrum[Индекс],Centrum[Supplier/
Поставщик],"",0,1)</f>
        <v/>
      </c>
      <c r="F80" s="11" t="str">
        <f>_xlfn.XLOOKUP($A80,Centrum[Индекс],Centrum[Shippers invoice no/ 
Номер инвойса поставщика],"",1)</f>
        <v/>
      </c>
      <c r="G80" s="15" t="str">
        <f>_xlfn.XLOOKUP($A80,Centrum[Индекс],Centrum[Invoice value / Стоимость груза в к-ре по инвойсу],"",0,1)</f>
        <v/>
      </c>
      <c r="H80" s="14" t="s">
        <v>40</v>
      </c>
      <c r="I80" s="11" t="str">
        <f>_xlfn.XLOOKUP($A80,Centrum[Индекс],Centrum[CBM on the shipper/ 
CBM по поставщику],"",0,1)</f>
        <v/>
      </c>
      <c r="J80" s="16" t="str">
        <f>_xlfn.XLOOKUP($A80,Centrum[Индекс],Centrum[Gross weight of cont// 
Гросс.вес по конт.],"",0,1)</f>
        <v/>
      </c>
      <c r="K80" s="17" t="str">
        <f>_xlfn.XLOOKUP($A80,Centrum[Индекс],Centrum[Route/ Маршрут (TSR/TCR)],"",0,1)</f>
        <v/>
      </c>
      <c r="L80" s="11" t="str">
        <f>_xlfn.XLOOKUP($A80,Centrum[Индекс],Centrum[Условия поставки],"",0,1)</f>
        <v/>
      </c>
      <c r="M80" s="11" t="str">
        <f>_xlfn.XLOOKUP($A80,Centrum[Индекс],Centrum[№ HBL date / 
№/ дата коносамента],"",0,1)</f>
        <v/>
      </c>
      <c r="N80" s="11" t="str">
        <f>_xlfn.XLOOKUP($A80,Centrum[Индекс],Centrum[№ MBL / 
№/ коносамента],"",0,1)</f>
        <v/>
      </c>
      <c r="O80" s="8" t="e">
        <f>(_xlfn.XLOOKUP($A80,Centrum[Индекс],Centrum[Date on board / Дата погрузки на судно],"",0,1))*1</f>
        <v>#VALUE!</v>
      </c>
      <c r="P80" s="8" t="e">
        <f>(_xlfn.XLOOKUP($A80,Centrum[Индекс],Centrum[Date of arrival to Sary-Agach/ Дата прибытия на Сары-Агач],"",0,1))*1</f>
        <v>#VALUE!</v>
      </c>
      <c r="Q80" s="14" t="str">
        <f>_xlfn.XLOOKUP($A80,Centrum[Индекс],Centrum[Container type/ 
Тип контейнера],"",0,1)</f>
        <v/>
      </c>
      <c r="R80" s="16">
        <f>_xlfn.XLOOKUP($A80,Centrum[Индекс],Centrum[Transportation cost per supplier/ 
Cтоимость перевозки по поставщикам],0,0,1)</f>
        <v>0</v>
      </c>
      <c r="S80" s="16">
        <f>Шаблон_Формулы!$T80-Шаблон_Формулы!$R80</f>
        <v>0</v>
      </c>
      <c r="T80" s="16">
        <f>_xlfn.XLOOKUP($A80,Centrum[Индекс],Centrum[Transportation total amount / Общая стоимость перевозки],0,0,1)</f>
        <v>0</v>
      </c>
      <c r="U80" s="12" cm="1">
        <f t="array" ref="U8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80" s="16">
        <f>_xlfn.XLOOKUP(Шаблон_Формулы[[#This Row],[21]],Курс_USD[Дата],Курс_USD[Курс],,0,1)</f>
        <v>11445.03</v>
      </c>
      <c r="W80" s="16">
        <f>Шаблон_Формулы!$T80*Шаблон_Формулы!$V80</f>
        <v>0</v>
      </c>
      <c r="Y80" s="16">
        <f>Шаблон_Формулы!$W80+Шаблон_Формулы!$X80</f>
        <v>0</v>
      </c>
      <c r="Z80" s="14" t="str">
        <f>_xlfn.XLOOKUP($A80,Centrum[Индекс],Centrum[Transport co invoice no/ 
Номер инвойса ТК],"",0,1)</f>
        <v/>
      </c>
    </row>
    <row r="81" spans="1:26" s="11" customFormat="1" x14ac:dyDescent="0.3">
      <c r="A81" s="14">
        <v>77</v>
      </c>
      <c r="B81" s="11" t="str">
        <f>_xlfn.XLOOKUP($A81,Centrum[Индекс],Centrum[Carrier/ Перевозчик],"",0,1)</f>
        <v/>
      </c>
      <c r="C81" s="11" t="str">
        <f>_xlfn.XLOOKUP($A81,Centrum[Индекс],Centrum[Country /  Страна],"",0,1)</f>
        <v/>
      </c>
      <c r="D81" s="11" t="str">
        <f>_xlfn.XLOOKUP($A81,Centrum[Индекс],Centrum[Container num./ 
№ контейнера],"",0,1)</f>
        <v/>
      </c>
      <c r="E81" s="11" t="str">
        <f>_xlfn.XLOOKUP($A81,Centrum[Индекс],Centrum[Supplier/
Поставщик],"",0,1)</f>
        <v/>
      </c>
      <c r="F81" s="11" t="str">
        <f>_xlfn.XLOOKUP($A81,Centrum[Индекс],Centrum[Shippers invoice no/ 
Номер инвойса поставщика],"",1)</f>
        <v/>
      </c>
      <c r="G81" s="15" t="str">
        <f>_xlfn.XLOOKUP($A81,Centrum[Индекс],Centrum[Invoice value / Стоимость груза в к-ре по инвойсу],"",0,1)</f>
        <v/>
      </c>
      <c r="H81" s="14" t="s">
        <v>40</v>
      </c>
      <c r="I81" s="11" t="str">
        <f>_xlfn.XLOOKUP($A81,Centrum[Индекс],Centrum[CBM on the shipper/ 
CBM по поставщику],"",0,1)</f>
        <v/>
      </c>
      <c r="J81" s="16" t="str">
        <f>_xlfn.XLOOKUP($A81,Centrum[Индекс],Centrum[Gross weight of cont// 
Гросс.вес по конт.],"",0,1)</f>
        <v/>
      </c>
      <c r="K81" s="17" t="str">
        <f>_xlfn.XLOOKUP($A81,Centrum[Индекс],Centrum[Route/ Маршрут (TSR/TCR)],"",0,1)</f>
        <v/>
      </c>
      <c r="L81" s="11" t="str">
        <f>_xlfn.XLOOKUP($A81,Centrum[Индекс],Centrum[Условия поставки],"",0,1)</f>
        <v/>
      </c>
      <c r="M81" s="11" t="str">
        <f>_xlfn.XLOOKUP($A81,Centrum[Индекс],Centrum[№ HBL date / 
№/ дата коносамента],"",0,1)</f>
        <v/>
      </c>
      <c r="N81" s="11" t="str">
        <f>_xlfn.XLOOKUP($A81,Centrum[Индекс],Centrum[№ MBL / 
№/ коносамента],"",0,1)</f>
        <v/>
      </c>
      <c r="O81" s="8" t="e">
        <f>(_xlfn.XLOOKUP($A81,Centrum[Индекс],Centrum[Date on board / Дата погрузки на судно],"",0,1))*1</f>
        <v>#VALUE!</v>
      </c>
      <c r="P81" s="8" t="e">
        <f>(_xlfn.XLOOKUP($A81,Centrum[Индекс],Centrum[Date of arrival to Sary-Agach/ Дата прибытия на Сары-Агач],"",0,1))*1</f>
        <v>#VALUE!</v>
      </c>
      <c r="Q81" s="14" t="str">
        <f>_xlfn.XLOOKUP($A81,Centrum[Индекс],Centrum[Container type/ 
Тип контейнера],"",0,1)</f>
        <v/>
      </c>
      <c r="R81" s="16">
        <f>_xlfn.XLOOKUP($A81,Centrum[Индекс],Centrum[Transportation cost per supplier/ 
Cтоимость перевозки по поставщикам],0,0,1)</f>
        <v>0</v>
      </c>
      <c r="S81" s="16">
        <f>Шаблон_Формулы!$T81-Шаблон_Формулы!$R81</f>
        <v>0</v>
      </c>
      <c r="T81" s="16">
        <f>_xlfn.XLOOKUP($A81,Centrum[Индекс],Centrum[Transportation total amount / Общая стоимость перевозки],0,0,1)</f>
        <v>0</v>
      </c>
      <c r="U81" s="12" cm="1">
        <f t="array" ref="U8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81" s="16">
        <f>_xlfn.XLOOKUP(Шаблон_Формулы[[#This Row],[21]],Курс_USD[Дата],Курс_USD[Курс],,0,1)</f>
        <v>11445.03</v>
      </c>
      <c r="W81" s="16">
        <f>Шаблон_Формулы!$T81*Шаблон_Формулы!$V81</f>
        <v>0</v>
      </c>
      <c r="Y81" s="16">
        <f>Шаблон_Формулы!$W81+Шаблон_Формулы!$X81</f>
        <v>0</v>
      </c>
      <c r="Z81" s="14" t="str">
        <f>_xlfn.XLOOKUP($A81,Centrum[Индекс],Centrum[Transport co invoice no/ 
Номер инвойса ТК],"",0,1)</f>
        <v/>
      </c>
    </row>
    <row r="82" spans="1:26" s="11" customFormat="1" x14ac:dyDescent="0.3">
      <c r="A82" s="14">
        <v>78</v>
      </c>
      <c r="B82" s="11" t="str">
        <f>_xlfn.XLOOKUP($A82,Centrum[Индекс],Centrum[Carrier/ Перевозчик],"",0,1)</f>
        <v/>
      </c>
      <c r="C82" s="11" t="str">
        <f>_xlfn.XLOOKUP($A82,Centrum[Индекс],Centrum[Country /  Страна],"",0,1)</f>
        <v/>
      </c>
      <c r="D82" s="11" t="str">
        <f>_xlfn.XLOOKUP($A82,Centrum[Индекс],Centrum[Container num./ 
№ контейнера],"",0,1)</f>
        <v/>
      </c>
      <c r="E82" s="11" t="str">
        <f>_xlfn.XLOOKUP($A82,Centrum[Индекс],Centrum[Supplier/
Поставщик],"",0,1)</f>
        <v/>
      </c>
      <c r="F82" s="11" t="str">
        <f>_xlfn.XLOOKUP($A82,Centrum[Индекс],Centrum[Shippers invoice no/ 
Номер инвойса поставщика],"",1)</f>
        <v/>
      </c>
      <c r="G82" s="15" t="str">
        <f>_xlfn.XLOOKUP($A82,Centrum[Индекс],Centrum[Invoice value / Стоимость груза в к-ре по инвойсу],"",0,1)</f>
        <v/>
      </c>
      <c r="H82" s="14" t="s">
        <v>40</v>
      </c>
      <c r="I82" s="11" t="str">
        <f>_xlfn.XLOOKUP($A82,Centrum[Индекс],Centrum[CBM on the shipper/ 
CBM по поставщику],"",0,1)</f>
        <v/>
      </c>
      <c r="J82" s="16" t="str">
        <f>_xlfn.XLOOKUP($A82,Centrum[Индекс],Centrum[Gross weight of cont// 
Гросс.вес по конт.],"",0,1)</f>
        <v/>
      </c>
      <c r="K82" s="17" t="str">
        <f>_xlfn.XLOOKUP($A82,Centrum[Индекс],Centrum[Route/ Маршрут (TSR/TCR)],"",0,1)</f>
        <v/>
      </c>
      <c r="L82" s="11" t="str">
        <f>_xlfn.XLOOKUP($A82,Centrum[Индекс],Centrum[Условия поставки],"",0,1)</f>
        <v/>
      </c>
      <c r="M82" s="11" t="str">
        <f>_xlfn.XLOOKUP($A82,Centrum[Индекс],Centrum[№ HBL date / 
№/ дата коносамента],"",0,1)</f>
        <v/>
      </c>
      <c r="N82" s="11" t="str">
        <f>_xlfn.XLOOKUP($A82,Centrum[Индекс],Centrum[№ MBL / 
№/ коносамента],"",0,1)</f>
        <v/>
      </c>
      <c r="O82" s="8" t="e">
        <f>(_xlfn.XLOOKUP($A82,Centrum[Индекс],Centrum[Date on board / Дата погрузки на судно],"",0,1))*1</f>
        <v>#VALUE!</v>
      </c>
      <c r="P82" s="8" t="e">
        <f>(_xlfn.XLOOKUP($A82,Centrum[Индекс],Centrum[Date of arrival to Sary-Agach/ Дата прибытия на Сары-Агач],"",0,1))*1</f>
        <v>#VALUE!</v>
      </c>
      <c r="Q82" s="14" t="str">
        <f>_xlfn.XLOOKUP($A82,Centrum[Индекс],Centrum[Container type/ 
Тип контейнера],"",0,1)</f>
        <v/>
      </c>
      <c r="R82" s="16">
        <f>_xlfn.XLOOKUP($A82,Centrum[Индекс],Centrum[Transportation cost per supplier/ 
Cтоимость перевозки по поставщикам],0,0,1)</f>
        <v>0</v>
      </c>
      <c r="S82" s="16">
        <f>Шаблон_Формулы!$T82-Шаблон_Формулы!$R82</f>
        <v>0</v>
      </c>
      <c r="T82" s="16">
        <f>_xlfn.XLOOKUP($A82,Centrum[Индекс],Centrum[Transportation total amount / Общая стоимость перевозки],0,0,1)</f>
        <v>0</v>
      </c>
      <c r="U82" s="12" cm="1">
        <f t="array" ref="U8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82" s="16">
        <f>_xlfn.XLOOKUP(Шаблон_Формулы[[#This Row],[21]],Курс_USD[Дата],Курс_USD[Курс],,0,1)</f>
        <v>11445.03</v>
      </c>
      <c r="W82" s="16">
        <f>Шаблон_Формулы!$T82*Шаблон_Формулы!$V82</f>
        <v>0</v>
      </c>
      <c r="Y82" s="16">
        <f>Шаблон_Формулы!$W82+Шаблон_Формулы!$X82</f>
        <v>0</v>
      </c>
      <c r="Z82" s="14" t="str">
        <f>_xlfn.XLOOKUP($A82,Centrum[Индекс],Centrum[Transport co invoice no/ 
Номер инвойса ТК],"",0,1)</f>
        <v/>
      </c>
    </row>
    <row r="83" spans="1:26" s="11" customFormat="1" x14ac:dyDescent="0.3">
      <c r="A83" s="14">
        <v>79</v>
      </c>
      <c r="B83" s="11" t="str">
        <f>_xlfn.XLOOKUP($A83,Centrum[Индекс],Centrum[Carrier/ Перевозчик],"",0,1)</f>
        <v/>
      </c>
      <c r="C83" s="11" t="str">
        <f>_xlfn.XLOOKUP($A83,Centrum[Индекс],Centrum[Country /  Страна],"",0,1)</f>
        <v/>
      </c>
      <c r="D83" s="11" t="str">
        <f>_xlfn.XLOOKUP($A83,Centrum[Индекс],Centrum[Container num./ 
№ контейнера],"",0,1)</f>
        <v/>
      </c>
      <c r="E83" s="11" t="str">
        <f>_xlfn.XLOOKUP($A83,Centrum[Индекс],Centrum[Supplier/
Поставщик],"",0,1)</f>
        <v/>
      </c>
      <c r="F83" s="11" t="str">
        <f>_xlfn.XLOOKUP($A83,Centrum[Индекс],Centrum[Shippers invoice no/ 
Номер инвойса поставщика],"",1)</f>
        <v/>
      </c>
      <c r="G83" s="15" t="str">
        <f>_xlfn.XLOOKUP($A83,Centrum[Индекс],Centrum[Invoice value / Стоимость груза в к-ре по инвойсу],"",0,1)</f>
        <v/>
      </c>
      <c r="H83" s="14" t="s">
        <v>40</v>
      </c>
      <c r="I83" s="11" t="str">
        <f>_xlfn.XLOOKUP($A83,Centrum[Индекс],Centrum[CBM on the shipper/ 
CBM по поставщику],"",0,1)</f>
        <v/>
      </c>
      <c r="J83" s="16" t="str">
        <f>_xlfn.XLOOKUP($A83,Centrum[Индекс],Centrum[Gross weight of cont// 
Гросс.вес по конт.],"",0,1)</f>
        <v/>
      </c>
      <c r="K83" s="17" t="str">
        <f>_xlfn.XLOOKUP($A83,Centrum[Индекс],Centrum[Route/ Маршрут (TSR/TCR)],"",0,1)</f>
        <v/>
      </c>
      <c r="L83" s="11" t="str">
        <f>_xlfn.XLOOKUP($A83,Centrum[Индекс],Centrum[Условия поставки],"",0,1)</f>
        <v/>
      </c>
      <c r="M83" s="11" t="str">
        <f>_xlfn.XLOOKUP($A83,Centrum[Индекс],Centrum[№ HBL date / 
№/ дата коносамента],"",0,1)</f>
        <v/>
      </c>
      <c r="N83" s="11" t="str">
        <f>_xlfn.XLOOKUP($A83,Centrum[Индекс],Centrum[№ MBL / 
№/ коносамента],"",0,1)</f>
        <v/>
      </c>
      <c r="O83" s="8" t="e">
        <f>(_xlfn.XLOOKUP($A83,Centrum[Индекс],Centrum[Date on board / Дата погрузки на судно],"",0,1))*1</f>
        <v>#VALUE!</v>
      </c>
      <c r="P83" s="8" t="e">
        <f>(_xlfn.XLOOKUP($A83,Centrum[Индекс],Centrum[Date of arrival to Sary-Agach/ Дата прибытия на Сары-Агач],"",0,1))*1</f>
        <v>#VALUE!</v>
      </c>
      <c r="Q83" s="14" t="str">
        <f>_xlfn.XLOOKUP($A83,Centrum[Индекс],Centrum[Container type/ 
Тип контейнера],"",0,1)</f>
        <v/>
      </c>
      <c r="R83" s="16">
        <f>_xlfn.XLOOKUP($A83,Centrum[Индекс],Centrum[Transportation cost per supplier/ 
Cтоимость перевозки по поставщикам],0,0,1)</f>
        <v>0</v>
      </c>
      <c r="S83" s="16">
        <f>Шаблон_Формулы!$T83-Шаблон_Формулы!$R83</f>
        <v>0</v>
      </c>
      <c r="T83" s="16">
        <f>_xlfn.XLOOKUP($A83,Centrum[Индекс],Centrum[Transportation total amount / Общая стоимость перевозки],0,0,1)</f>
        <v>0</v>
      </c>
      <c r="U83" s="12" cm="1">
        <f t="array" ref="U8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83" s="16">
        <f>_xlfn.XLOOKUP(Шаблон_Формулы[[#This Row],[21]],Курс_USD[Дата],Курс_USD[Курс],,0,1)</f>
        <v>11445.03</v>
      </c>
      <c r="W83" s="16">
        <f>Шаблон_Формулы!$T83*Шаблон_Формулы!$V83</f>
        <v>0</v>
      </c>
      <c r="Y83" s="16">
        <f>Шаблон_Формулы!$W83+Шаблон_Формулы!$X83</f>
        <v>0</v>
      </c>
      <c r="Z83" s="14" t="str">
        <f>_xlfn.XLOOKUP($A83,Centrum[Индекс],Centrum[Transport co invoice no/ 
Номер инвойса ТК],"",0,1)</f>
        <v/>
      </c>
    </row>
    <row r="84" spans="1:26" s="11" customFormat="1" x14ac:dyDescent="0.3">
      <c r="A84" s="14">
        <v>80</v>
      </c>
      <c r="B84" s="11" t="str">
        <f>_xlfn.XLOOKUP($A84,Centrum[Индекс],Centrum[Carrier/ Перевозчик],"",0,1)</f>
        <v/>
      </c>
      <c r="C84" s="11" t="str">
        <f>_xlfn.XLOOKUP($A84,Centrum[Индекс],Centrum[Country /  Страна],"",0,1)</f>
        <v/>
      </c>
      <c r="D84" s="11" t="str">
        <f>_xlfn.XLOOKUP($A84,Centrum[Индекс],Centrum[Container num./ 
№ контейнера],"",0,1)</f>
        <v/>
      </c>
      <c r="E84" s="11" t="str">
        <f>_xlfn.XLOOKUP($A84,Centrum[Индекс],Centrum[Supplier/
Поставщик],"",0,1)</f>
        <v/>
      </c>
      <c r="F84" s="11" t="str">
        <f>_xlfn.XLOOKUP($A84,Centrum[Индекс],Centrum[Shippers invoice no/ 
Номер инвойса поставщика],"",1)</f>
        <v/>
      </c>
      <c r="G84" s="15" t="str">
        <f>_xlfn.XLOOKUP($A84,Centrum[Индекс],Centrum[Invoice value / Стоимость груза в к-ре по инвойсу],"",0,1)</f>
        <v/>
      </c>
      <c r="H84" s="14" t="s">
        <v>40</v>
      </c>
      <c r="I84" s="11" t="str">
        <f>_xlfn.XLOOKUP($A84,Centrum[Индекс],Centrum[CBM on the shipper/ 
CBM по поставщику],"",0,1)</f>
        <v/>
      </c>
      <c r="J84" s="16" t="str">
        <f>_xlfn.XLOOKUP($A84,Centrum[Индекс],Centrum[Gross weight of cont// 
Гросс.вес по конт.],"",0,1)</f>
        <v/>
      </c>
      <c r="K84" s="17" t="str">
        <f>_xlfn.XLOOKUP($A84,Centrum[Индекс],Centrum[Route/ Маршрут (TSR/TCR)],"",0,1)</f>
        <v/>
      </c>
      <c r="L84" s="11" t="str">
        <f>_xlfn.XLOOKUP($A84,Centrum[Индекс],Centrum[Условия поставки],"",0,1)</f>
        <v/>
      </c>
      <c r="M84" s="11" t="str">
        <f>_xlfn.XLOOKUP($A84,Centrum[Индекс],Centrum[№ HBL date / 
№/ дата коносамента],"",0,1)</f>
        <v/>
      </c>
      <c r="N84" s="11" t="str">
        <f>_xlfn.XLOOKUP($A84,Centrum[Индекс],Centrum[№ MBL / 
№/ коносамента],"",0,1)</f>
        <v/>
      </c>
      <c r="O84" s="8" t="e">
        <f>(_xlfn.XLOOKUP($A84,Centrum[Индекс],Centrum[Date on board / Дата погрузки на судно],"",0,1))*1</f>
        <v>#VALUE!</v>
      </c>
      <c r="P84" s="8" t="e">
        <f>(_xlfn.XLOOKUP($A84,Centrum[Индекс],Centrum[Date of arrival to Sary-Agach/ Дата прибытия на Сары-Агач],"",0,1))*1</f>
        <v>#VALUE!</v>
      </c>
      <c r="Q84" s="14" t="str">
        <f>_xlfn.XLOOKUP($A84,Centrum[Индекс],Centrum[Container type/ 
Тип контейнера],"",0,1)</f>
        <v/>
      </c>
      <c r="R84" s="16">
        <f>_xlfn.XLOOKUP($A84,Centrum[Индекс],Centrum[Transportation cost per supplier/ 
Cтоимость перевозки по поставщикам],0,0,1)</f>
        <v>0</v>
      </c>
      <c r="S84" s="16">
        <f>Шаблон_Формулы!$T84-Шаблон_Формулы!$R84</f>
        <v>0</v>
      </c>
      <c r="T84" s="16">
        <f>_xlfn.XLOOKUP($A84,Centrum[Индекс],Centrum[Transportation total amount / Общая стоимость перевозки],0,0,1)</f>
        <v>0</v>
      </c>
      <c r="U84" s="12" cm="1">
        <f t="array" ref="U8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84" s="16">
        <f>_xlfn.XLOOKUP(Шаблон_Формулы[[#This Row],[21]],Курс_USD[Дата],Курс_USD[Курс],,0,1)</f>
        <v>11445.03</v>
      </c>
      <c r="W84" s="16">
        <f>Шаблон_Формулы!$T84*Шаблон_Формулы!$V84</f>
        <v>0</v>
      </c>
      <c r="Y84" s="16">
        <f>Шаблон_Формулы!$W84+Шаблон_Формулы!$X84</f>
        <v>0</v>
      </c>
      <c r="Z84" s="14" t="str">
        <f>_xlfn.XLOOKUP($A84,Centrum[Индекс],Centrum[Transport co invoice no/ 
Номер инвойса ТК],"",0,1)</f>
        <v/>
      </c>
    </row>
    <row r="85" spans="1:26" s="11" customFormat="1" x14ac:dyDescent="0.3">
      <c r="A85" s="14">
        <v>81</v>
      </c>
      <c r="B85" s="11" t="str">
        <f>_xlfn.XLOOKUP($A85,Centrum[Индекс],Centrum[Carrier/ Перевозчик],"",0,1)</f>
        <v/>
      </c>
      <c r="C85" s="11" t="str">
        <f>_xlfn.XLOOKUP($A85,Centrum[Индекс],Centrum[Country /  Страна],"",0,1)</f>
        <v/>
      </c>
      <c r="D85" s="11" t="str">
        <f>_xlfn.XLOOKUP($A85,Centrum[Индекс],Centrum[Container num./ 
№ контейнера],"",0,1)</f>
        <v/>
      </c>
      <c r="E85" s="11" t="str">
        <f>_xlfn.XLOOKUP($A85,Centrum[Индекс],Centrum[Supplier/
Поставщик],"",0,1)</f>
        <v/>
      </c>
      <c r="F85" s="11" t="str">
        <f>_xlfn.XLOOKUP($A85,Centrum[Индекс],Centrum[Shippers invoice no/ 
Номер инвойса поставщика],"",1)</f>
        <v/>
      </c>
      <c r="G85" s="15" t="str">
        <f>_xlfn.XLOOKUP($A85,Centrum[Индекс],Centrum[Invoice value / Стоимость груза в к-ре по инвойсу],"",0,1)</f>
        <v/>
      </c>
      <c r="H85" s="14" t="s">
        <v>40</v>
      </c>
      <c r="I85" s="11" t="str">
        <f>_xlfn.XLOOKUP($A85,Centrum[Индекс],Centrum[CBM on the shipper/ 
CBM по поставщику],"",0,1)</f>
        <v/>
      </c>
      <c r="J85" s="16" t="str">
        <f>_xlfn.XLOOKUP($A85,Centrum[Индекс],Centrum[Gross weight of cont// 
Гросс.вес по конт.],"",0,1)</f>
        <v/>
      </c>
      <c r="K85" s="17" t="str">
        <f>_xlfn.XLOOKUP($A85,Centrum[Индекс],Centrum[Route/ Маршрут (TSR/TCR)],"",0,1)</f>
        <v/>
      </c>
      <c r="L85" s="11" t="str">
        <f>_xlfn.XLOOKUP($A85,Centrum[Индекс],Centrum[Условия поставки],"",0,1)</f>
        <v/>
      </c>
      <c r="M85" s="11" t="str">
        <f>_xlfn.XLOOKUP($A85,Centrum[Индекс],Centrum[№ HBL date / 
№/ дата коносамента],"",0,1)</f>
        <v/>
      </c>
      <c r="N85" s="11" t="str">
        <f>_xlfn.XLOOKUP($A85,Centrum[Индекс],Centrum[№ MBL / 
№/ коносамента],"",0,1)</f>
        <v/>
      </c>
      <c r="O85" s="8" t="e">
        <f>(_xlfn.XLOOKUP($A85,Centrum[Индекс],Centrum[Date on board / Дата погрузки на судно],"",0,1))*1</f>
        <v>#VALUE!</v>
      </c>
      <c r="P85" s="8" t="e">
        <f>(_xlfn.XLOOKUP($A85,Centrum[Индекс],Centrum[Date of arrival to Sary-Agach/ Дата прибытия на Сары-Агач],"",0,1))*1</f>
        <v>#VALUE!</v>
      </c>
      <c r="Q85" s="14" t="str">
        <f>_xlfn.XLOOKUP($A85,Centrum[Индекс],Centrum[Container type/ 
Тип контейнера],"",0,1)</f>
        <v/>
      </c>
      <c r="R85" s="16">
        <f>_xlfn.XLOOKUP($A85,Centrum[Индекс],Centrum[Transportation cost per supplier/ 
Cтоимость перевозки по поставщикам],0,0,1)</f>
        <v>0</v>
      </c>
      <c r="S85" s="16">
        <f>Шаблон_Формулы!$T85-Шаблон_Формулы!$R85</f>
        <v>0</v>
      </c>
      <c r="T85" s="16">
        <f>_xlfn.XLOOKUP($A85,Centrum[Индекс],Centrum[Transportation total amount / Общая стоимость перевозки],0,0,1)</f>
        <v>0</v>
      </c>
      <c r="U85" s="12" cm="1">
        <f t="array" ref="U8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85" s="16">
        <f>_xlfn.XLOOKUP(Шаблон_Формулы[[#This Row],[21]],Курс_USD[Дата],Курс_USD[Курс],,0,1)</f>
        <v>11445.03</v>
      </c>
      <c r="W85" s="16">
        <f>Шаблон_Формулы!$T85*Шаблон_Формулы!$V85</f>
        <v>0</v>
      </c>
      <c r="Y85" s="16">
        <f>Шаблон_Формулы!$W85+Шаблон_Формулы!$X85</f>
        <v>0</v>
      </c>
      <c r="Z85" s="14" t="str">
        <f>_xlfn.XLOOKUP($A85,Centrum[Индекс],Centrum[Transport co invoice no/ 
Номер инвойса ТК],"",0,1)</f>
        <v/>
      </c>
    </row>
    <row r="86" spans="1:26" s="11" customFormat="1" x14ac:dyDescent="0.3">
      <c r="A86" s="14">
        <v>82</v>
      </c>
      <c r="B86" s="11" t="str">
        <f>_xlfn.XLOOKUP($A86,Centrum[Индекс],Centrum[Carrier/ Перевозчик],"",0,1)</f>
        <v/>
      </c>
      <c r="C86" s="11" t="str">
        <f>_xlfn.XLOOKUP($A86,Centrum[Индекс],Centrum[Country /  Страна],"",0,1)</f>
        <v/>
      </c>
      <c r="D86" s="11" t="str">
        <f>_xlfn.XLOOKUP($A86,Centrum[Индекс],Centrum[Container num./ 
№ контейнера],"",0,1)</f>
        <v/>
      </c>
      <c r="E86" s="11" t="str">
        <f>_xlfn.XLOOKUP($A86,Centrum[Индекс],Centrum[Supplier/
Поставщик],"",0,1)</f>
        <v/>
      </c>
      <c r="F86" s="11" t="str">
        <f>_xlfn.XLOOKUP($A86,Centrum[Индекс],Centrum[Shippers invoice no/ 
Номер инвойса поставщика],"",1)</f>
        <v/>
      </c>
      <c r="G86" s="15" t="str">
        <f>_xlfn.XLOOKUP($A86,Centrum[Индекс],Centrum[Invoice value / Стоимость груза в к-ре по инвойсу],"",0,1)</f>
        <v/>
      </c>
      <c r="H86" s="14" t="s">
        <v>40</v>
      </c>
      <c r="I86" s="11" t="str">
        <f>_xlfn.XLOOKUP($A86,Centrum[Индекс],Centrum[CBM on the shipper/ 
CBM по поставщику],"",0,1)</f>
        <v/>
      </c>
      <c r="J86" s="16" t="str">
        <f>_xlfn.XLOOKUP($A86,Centrum[Индекс],Centrum[Gross weight of cont// 
Гросс.вес по конт.],"",0,1)</f>
        <v/>
      </c>
      <c r="K86" s="17" t="str">
        <f>_xlfn.XLOOKUP($A86,Centrum[Индекс],Centrum[Route/ Маршрут (TSR/TCR)],"",0,1)</f>
        <v/>
      </c>
      <c r="L86" s="11" t="str">
        <f>_xlfn.XLOOKUP($A86,Centrum[Индекс],Centrum[Условия поставки],"",0,1)</f>
        <v/>
      </c>
      <c r="M86" s="11" t="str">
        <f>_xlfn.XLOOKUP($A86,Centrum[Индекс],Centrum[№ HBL date / 
№/ дата коносамента],"",0,1)</f>
        <v/>
      </c>
      <c r="N86" s="11" t="str">
        <f>_xlfn.XLOOKUP($A86,Centrum[Индекс],Centrum[№ MBL / 
№/ коносамента],"",0,1)</f>
        <v/>
      </c>
      <c r="O86" s="8" t="e">
        <f>(_xlfn.XLOOKUP($A86,Centrum[Индекс],Centrum[Date on board / Дата погрузки на судно],"",0,1))*1</f>
        <v>#VALUE!</v>
      </c>
      <c r="P86" s="8" t="e">
        <f>(_xlfn.XLOOKUP($A86,Centrum[Индекс],Centrum[Date of arrival to Sary-Agach/ Дата прибытия на Сары-Агач],"",0,1))*1</f>
        <v>#VALUE!</v>
      </c>
      <c r="Q86" s="14" t="str">
        <f>_xlfn.XLOOKUP($A86,Centrum[Индекс],Centrum[Container type/ 
Тип контейнера],"",0,1)</f>
        <v/>
      </c>
      <c r="R86" s="16">
        <f>_xlfn.XLOOKUP($A86,Centrum[Индекс],Centrum[Transportation cost per supplier/ 
Cтоимость перевозки по поставщикам],0,0,1)</f>
        <v>0</v>
      </c>
      <c r="S86" s="16">
        <f>Шаблон_Формулы!$T86-Шаблон_Формулы!$R86</f>
        <v>0</v>
      </c>
      <c r="T86" s="16">
        <f>_xlfn.XLOOKUP($A86,Centrum[Индекс],Centrum[Transportation total amount / Общая стоимость перевозки],0,0,1)</f>
        <v>0</v>
      </c>
      <c r="U86" s="12" cm="1">
        <f t="array" ref="U8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86" s="16">
        <f>_xlfn.XLOOKUP(Шаблон_Формулы[[#This Row],[21]],Курс_USD[Дата],Курс_USD[Курс],,0,1)</f>
        <v>11445.03</v>
      </c>
      <c r="W86" s="16">
        <f>Шаблон_Формулы!$T86*Шаблон_Формулы!$V86</f>
        <v>0</v>
      </c>
      <c r="Y86" s="16">
        <f>Шаблон_Формулы!$W86+Шаблон_Формулы!$X86</f>
        <v>0</v>
      </c>
      <c r="Z86" s="14" t="str">
        <f>_xlfn.XLOOKUP($A86,Centrum[Индекс],Centrum[Transport co invoice no/ 
Номер инвойса ТК],"",0,1)</f>
        <v/>
      </c>
    </row>
    <row r="87" spans="1:26" s="11" customFormat="1" x14ac:dyDescent="0.3">
      <c r="A87" s="14">
        <v>83</v>
      </c>
      <c r="B87" s="11" t="str">
        <f>_xlfn.XLOOKUP($A87,Centrum[Индекс],Centrum[Carrier/ Перевозчик],"",0,1)</f>
        <v/>
      </c>
      <c r="C87" s="11" t="str">
        <f>_xlfn.XLOOKUP($A87,Centrum[Индекс],Centrum[Country /  Страна],"",0,1)</f>
        <v/>
      </c>
      <c r="D87" s="11" t="str">
        <f>_xlfn.XLOOKUP($A87,Centrum[Индекс],Centrum[Container num./ 
№ контейнера],"",0,1)</f>
        <v/>
      </c>
      <c r="E87" s="11" t="str">
        <f>_xlfn.XLOOKUP($A87,Centrum[Индекс],Centrum[Supplier/
Поставщик],"",0,1)</f>
        <v/>
      </c>
      <c r="F87" s="11" t="str">
        <f>_xlfn.XLOOKUP($A87,Centrum[Индекс],Centrum[Shippers invoice no/ 
Номер инвойса поставщика],"",1)</f>
        <v/>
      </c>
      <c r="G87" s="15" t="str">
        <f>_xlfn.XLOOKUP($A87,Centrum[Индекс],Centrum[Invoice value / Стоимость груза в к-ре по инвойсу],"",0,1)</f>
        <v/>
      </c>
      <c r="H87" s="14" t="s">
        <v>40</v>
      </c>
      <c r="I87" s="11" t="str">
        <f>_xlfn.XLOOKUP($A87,Centrum[Индекс],Centrum[CBM on the shipper/ 
CBM по поставщику],"",0,1)</f>
        <v/>
      </c>
      <c r="J87" s="16" t="str">
        <f>_xlfn.XLOOKUP($A87,Centrum[Индекс],Centrum[Gross weight of cont// 
Гросс.вес по конт.],"",0,1)</f>
        <v/>
      </c>
      <c r="K87" s="17" t="str">
        <f>_xlfn.XLOOKUP($A87,Centrum[Индекс],Centrum[Route/ Маршрут (TSR/TCR)],"",0,1)</f>
        <v/>
      </c>
      <c r="L87" s="11" t="str">
        <f>_xlfn.XLOOKUP($A87,Centrum[Индекс],Centrum[Условия поставки],"",0,1)</f>
        <v/>
      </c>
      <c r="M87" s="11" t="str">
        <f>_xlfn.XLOOKUP($A87,Centrum[Индекс],Centrum[№ HBL date / 
№/ дата коносамента],"",0,1)</f>
        <v/>
      </c>
      <c r="N87" s="11" t="str">
        <f>_xlfn.XLOOKUP($A87,Centrum[Индекс],Centrum[№ MBL / 
№/ коносамента],"",0,1)</f>
        <v/>
      </c>
      <c r="O87" s="8" t="e">
        <f>(_xlfn.XLOOKUP($A87,Centrum[Индекс],Centrum[Date on board / Дата погрузки на судно],"",0,1))*1</f>
        <v>#VALUE!</v>
      </c>
      <c r="P87" s="8" t="e">
        <f>(_xlfn.XLOOKUP($A87,Centrum[Индекс],Centrum[Date of arrival to Sary-Agach/ Дата прибытия на Сары-Агач],"",0,1))*1</f>
        <v>#VALUE!</v>
      </c>
      <c r="Q87" s="14" t="str">
        <f>_xlfn.XLOOKUP($A87,Centrum[Индекс],Centrum[Container type/ 
Тип контейнера],"",0,1)</f>
        <v/>
      </c>
      <c r="R87" s="16">
        <f>_xlfn.XLOOKUP($A87,Centrum[Индекс],Centrum[Transportation cost per supplier/ 
Cтоимость перевозки по поставщикам],0,0,1)</f>
        <v>0</v>
      </c>
      <c r="S87" s="16">
        <f>Шаблон_Формулы!$T87-Шаблон_Формулы!$R87</f>
        <v>0</v>
      </c>
      <c r="T87" s="16">
        <f>_xlfn.XLOOKUP($A87,Centrum[Индекс],Centrum[Transportation total amount / Общая стоимость перевозки],0,0,1)</f>
        <v>0</v>
      </c>
      <c r="U87" s="12" cm="1">
        <f t="array" ref="U8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87" s="16">
        <f>_xlfn.XLOOKUP(Шаблон_Формулы[[#This Row],[21]],Курс_USD[Дата],Курс_USD[Курс],,0,1)</f>
        <v>11445.03</v>
      </c>
      <c r="W87" s="16">
        <f>Шаблон_Формулы!$T87*Шаблон_Формулы!$V87</f>
        <v>0</v>
      </c>
      <c r="Y87" s="16">
        <f>Шаблон_Формулы!$W87+Шаблон_Формулы!$X87</f>
        <v>0</v>
      </c>
      <c r="Z87" s="14" t="str">
        <f>_xlfn.XLOOKUP($A87,Centrum[Индекс],Centrum[Transport co invoice no/ 
Номер инвойса ТК],"",0,1)</f>
        <v/>
      </c>
    </row>
    <row r="88" spans="1:26" s="11" customFormat="1" x14ac:dyDescent="0.3">
      <c r="A88" s="14">
        <v>84</v>
      </c>
      <c r="B88" s="11" t="str">
        <f>_xlfn.XLOOKUP($A88,Centrum[Индекс],Centrum[Carrier/ Перевозчик],"",0,1)</f>
        <v/>
      </c>
      <c r="C88" s="11" t="str">
        <f>_xlfn.XLOOKUP($A88,Centrum[Индекс],Centrum[Country /  Страна],"",0,1)</f>
        <v/>
      </c>
      <c r="D88" s="11" t="str">
        <f>_xlfn.XLOOKUP($A88,Centrum[Индекс],Centrum[Container num./ 
№ контейнера],"",0,1)</f>
        <v/>
      </c>
      <c r="E88" s="11" t="str">
        <f>_xlfn.XLOOKUP($A88,Centrum[Индекс],Centrum[Supplier/
Поставщик],"",0,1)</f>
        <v/>
      </c>
      <c r="F88" s="11" t="str">
        <f>_xlfn.XLOOKUP($A88,Centrum[Индекс],Centrum[Shippers invoice no/ 
Номер инвойса поставщика],"",1)</f>
        <v/>
      </c>
      <c r="G88" s="15" t="str">
        <f>_xlfn.XLOOKUP($A88,Centrum[Индекс],Centrum[Invoice value / Стоимость груза в к-ре по инвойсу],"",0,1)</f>
        <v/>
      </c>
      <c r="H88" s="14" t="s">
        <v>40</v>
      </c>
      <c r="I88" s="11" t="str">
        <f>_xlfn.XLOOKUP($A88,Centrum[Индекс],Centrum[CBM on the shipper/ 
CBM по поставщику],"",0,1)</f>
        <v/>
      </c>
      <c r="J88" s="16" t="str">
        <f>_xlfn.XLOOKUP($A88,Centrum[Индекс],Centrum[Gross weight of cont// 
Гросс.вес по конт.],"",0,1)</f>
        <v/>
      </c>
      <c r="K88" s="17" t="str">
        <f>_xlfn.XLOOKUP($A88,Centrum[Индекс],Centrum[Route/ Маршрут (TSR/TCR)],"",0,1)</f>
        <v/>
      </c>
      <c r="L88" s="11" t="str">
        <f>_xlfn.XLOOKUP($A88,Centrum[Индекс],Centrum[Условия поставки],"",0,1)</f>
        <v/>
      </c>
      <c r="M88" s="11" t="str">
        <f>_xlfn.XLOOKUP($A88,Centrum[Индекс],Centrum[№ HBL date / 
№/ дата коносамента],"",0,1)</f>
        <v/>
      </c>
      <c r="N88" s="11" t="str">
        <f>_xlfn.XLOOKUP($A88,Centrum[Индекс],Centrum[№ MBL / 
№/ коносамента],"",0,1)</f>
        <v/>
      </c>
      <c r="O88" s="8" t="e">
        <f>(_xlfn.XLOOKUP($A88,Centrum[Индекс],Centrum[Date on board / Дата погрузки на судно],"",0,1))*1</f>
        <v>#VALUE!</v>
      </c>
      <c r="P88" s="8" t="e">
        <f>(_xlfn.XLOOKUP($A88,Centrum[Индекс],Centrum[Date of arrival to Sary-Agach/ Дата прибытия на Сары-Агач],"",0,1))*1</f>
        <v>#VALUE!</v>
      </c>
      <c r="Q88" s="14" t="str">
        <f>_xlfn.XLOOKUP($A88,Centrum[Индекс],Centrum[Container type/ 
Тип контейнера],"",0,1)</f>
        <v/>
      </c>
      <c r="R88" s="16">
        <f>_xlfn.XLOOKUP($A88,Centrum[Индекс],Centrum[Transportation cost per supplier/ 
Cтоимость перевозки по поставщикам],0,0,1)</f>
        <v>0</v>
      </c>
      <c r="S88" s="16">
        <f>Шаблон_Формулы!$T88-Шаблон_Формулы!$R88</f>
        <v>0</v>
      </c>
      <c r="T88" s="16">
        <f>_xlfn.XLOOKUP($A88,Centrum[Индекс],Centrum[Transportation total amount / Общая стоимость перевозки],0,0,1)</f>
        <v>0</v>
      </c>
      <c r="U88" s="12" cm="1">
        <f t="array" ref="U8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88" s="16">
        <f>_xlfn.XLOOKUP(Шаблон_Формулы[[#This Row],[21]],Курс_USD[Дата],Курс_USD[Курс],,0,1)</f>
        <v>11445.03</v>
      </c>
      <c r="W88" s="16">
        <f>Шаблон_Формулы!$T88*Шаблон_Формулы!$V88</f>
        <v>0</v>
      </c>
      <c r="Y88" s="16">
        <f>Шаблон_Формулы!$W88+Шаблон_Формулы!$X88</f>
        <v>0</v>
      </c>
      <c r="Z88" s="14" t="str">
        <f>_xlfn.XLOOKUP($A88,Centrum[Индекс],Centrum[Transport co invoice no/ 
Номер инвойса ТК],"",0,1)</f>
        <v/>
      </c>
    </row>
    <row r="89" spans="1:26" s="11" customFormat="1" x14ac:dyDescent="0.3">
      <c r="A89" s="14">
        <v>85</v>
      </c>
      <c r="B89" s="11" t="str">
        <f>_xlfn.XLOOKUP($A89,Centrum[Индекс],Centrum[Carrier/ Перевозчик],"",0,1)</f>
        <v/>
      </c>
      <c r="C89" s="11" t="str">
        <f>_xlfn.XLOOKUP($A89,Centrum[Индекс],Centrum[Country /  Страна],"",0,1)</f>
        <v/>
      </c>
      <c r="D89" s="11" t="str">
        <f>_xlfn.XLOOKUP($A89,Centrum[Индекс],Centrum[Container num./ 
№ контейнера],"",0,1)</f>
        <v/>
      </c>
      <c r="E89" s="11" t="str">
        <f>_xlfn.XLOOKUP($A89,Centrum[Индекс],Centrum[Supplier/
Поставщик],"",0,1)</f>
        <v/>
      </c>
      <c r="F89" s="11" t="str">
        <f>_xlfn.XLOOKUP($A89,Centrum[Индекс],Centrum[Shippers invoice no/ 
Номер инвойса поставщика],"",1)</f>
        <v/>
      </c>
      <c r="G89" s="15" t="str">
        <f>_xlfn.XLOOKUP($A89,Centrum[Индекс],Centrum[Invoice value / Стоимость груза в к-ре по инвойсу],"",0,1)</f>
        <v/>
      </c>
      <c r="H89" s="14" t="s">
        <v>40</v>
      </c>
      <c r="I89" s="11" t="str">
        <f>_xlfn.XLOOKUP($A89,Centrum[Индекс],Centrum[CBM on the shipper/ 
CBM по поставщику],"",0,1)</f>
        <v/>
      </c>
      <c r="J89" s="16" t="str">
        <f>_xlfn.XLOOKUP($A89,Centrum[Индекс],Centrum[Gross weight of cont// 
Гросс.вес по конт.],"",0,1)</f>
        <v/>
      </c>
      <c r="K89" s="17" t="str">
        <f>_xlfn.XLOOKUP($A89,Centrum[Индекс],Centrum[Route/ Маршрут (TSR/TCR)],"",0,1)</f>
        <v/>
      </c>
      <c r="L89" s="11" t="str">
        <f>_xlfn.XLOOKUP($A89,Centrum[Индекс],Centrum[Условия поставки],"",0,1)</f>
        <v/>
      </c>
      <c r="M89" s="11" t="str">
        <f>_xlfn.XLOOKUP($A89,Centrum[Индекс],Centrum[№ HBL date / 
№/ дата коносамента],"",0,1)</f>
        <v/>
      </c>
      <c r="N89" s="11" t="str">
        <f>_xlfn.XLOOKUP($A89,Centrum[Индекс],Centrum[№ MBL / 
№/ коносамента],"",0,1)</f>
        <v/>
      </c>
      <c r="O89" s="8" t="e">
        <f>(_xlfn.XLOOKUP($A89,Centrum[Индекс],Centrum[Date on board / Дата погрузки на судно],"",0,1))*1</f>
        <v>#VALUE!</v>
      </c>
      <c r="P89" s="8" t="e">
        <f>(_xlfn.XLOOKUP($A89,Centrum[Индекс],Centrum[Date of arrival to Sary-Agach/ Дата прибытия на Сары-Агач],"",0,1))*1</f>
        <v>#VALUE!</v>
      </c>
      <c r="Q89" s="14" t="str">
        <f>_xlfn.XLOOKUP($A89,Centrum[Индекс],Centrum[Container type/ 
Тип контейнера],"",0,1)</f>
        <v/>
      </c>
      <c r="R89" s="16">
        <f>_xlfn.XLOOKUP($A89,Centrum[Индекс],Centrum[Transportation cost per supplier/ 
Cтоимость перевозки по поставщикам],0,0,1)</f>
        <v>0</v>
      </c>
      <c r="S89" s="16">
        <f>Шаблон_Формулы!$T89-Шаблон_Формулы!$R89</f>
        <v>0</v>
      </c>
      <c r="T89" s="16">
        <f>_xlfn.XLOOKUP($A89,Centrum[Индекс],Centrum[Transportation total amount / Общая стоимость перевозки],0,0,1)</f>
        <v>0</v>
      </c>
      <c r="U89" s="12" cm="1">
        <f t="array" ref="U8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89" s="16">
        <f>_xlfn.XLOOKUP(Шаблон_Формулы[[#This Row],[21]],Курс_USD[Дата],Курс_USD[Курс],,0,1)</f>
        <v>11445.03</v>
      </c>
      <c r="W89" s="16">
        <f>Шаблон_Формулы!$T89*Шаблон_Формулы!$V89</f>
        <v>0</v>
      </c>
      <c r="Y89" s="16">
        <f>Шаблон_Формулы!$W89+Шаблон_Формулы!$X89</f>
        <v>0</v>
      </c>
      <c r="Z89" s="14" t="str">
        <f>_xlfn.XLOOKUP($A89,Centrum[Индекс],Centrum[Transport co invoice no/ 
Номер инвойса ТК],"",0,1)</f>
        <v/>
      </c>
    </row>
    <row r="90" spans="1:26" s="11" customFormat="1" x14ac:dyDescent="0.3">
      <c r="A90" s="14">
        <v>86</v>
      </c>
      <c r="B90" s="11" t="str">
        <f>_xlfn.XLOOKUP($A90,Centrum[Индекс],Centrum[Carrier/ Перевозчик],"",0,1)</f>
        <v/>
      </c>
      <c r="C90" s="11" t="str">
        <f>_xlfn.XLOOKUP($A90,Centrum[Индекс],Centrum[Country /  Страна],"",0,1)</f>
        <v/>
      </c>
      <c r="D90" s="11" t="str">
        <f>_xlfn.XLOOKUP($A90,Centrum[Индекс],Centrum[Container num./ 
№ контейнера],"",0,1)</f>
        <v/>
      </c>
      <c r="E90" s="11" t="str">
        <f>_xlfn.XLOOKUP($A90,Centrum[Индекс],Centrum[Supplier/
Поставщик],"",0,1)</f>
        <v/>
      </c>
      <c r="F90" s="11" t="str">
        <f>_xlfn.XLOOKUP($A90,Centrum[Индекс],Centrum[Shippers invoice no/ 
Номер инвойса поставщика],"",1)</f>
        <v/>
      </c>
      <c r="G90" s="15" t="str">
        <f>_xlfn.XLOOKUP($A90,Centrum[Индекс],Centrum[Invoice value / Стоимость груза в к-ре по инвойсу],"",0,1)</f>
        <v/>
      </c>
      <c r="H90" s="14" t="s">
        <v>40</v>
      </c>
      <c r="I90" s="11" t="str">
        <f>_xlfn.XLOOKUP($A90,Centrum[Индекс],Centrum[CBM on the shipper/ 
CBM по поставщику],"",0,1)</f>
        <v/>
      </c>
      <c r="J90" s="16" t="str">
        <f>_xlfn.XLOOKUP($A90,Centrum[Индекс],Centrum[Gross weight of cont// 
Гросс.вес по конт.],"",0,1)</f>
        <v/>
      </c>
      <c r="K90" s="17" t="str">
        <f>_xlfn.XLOOKUP($A90,Centrum[Индекс],Centrum[Route/ Маршрут (TSR/TCR)],"",0,1)</f>
        <v/>
      </c>
      <c r="L90" s="11" t="str">
        <f>_xlfn.XLOOKUP($A90,Centrum[Индекс],Centrum[Условия поставки],"",0,1)</f>
        <v/>
      </c>
      <c r="M90" s="11" t="str">
        <f>_xlfn.XLOOKUP($A90,Centrum[Индекс],Centrum[№ HBL date / 
№/ дата коносамента],"",0,1)</f>
        <v/>
      </c>
      <c r="N90" s="11" t="str">
        <f>_xlfn.XLOOKUP($A90,Centrum[Индекс],Centrum[№ MBL / 
№/ коносамента],"",0,1)</f>
        <v/>
      </c>
      <c r="O90" s="8" t="e">
        <f>(_xlfn.XLOOKUP($A90,Centrum[Индекс],Centrum[Date on board / Дата погрузки на судно],"",0,1))*1</f>
        <v>#VALUE!</v>
      </c>
      <c r="P90" s="8" t="e">
        <f>(_xlfn.XLOOKUP($A90,Centrum[Индекс],Centrum[Date of arrival to Sary-Agach/ Дата прибытия на Сары-Агач],"",0,1))*1</f>
        <v>#VALUE!</v>
      </c>
      <c r="Q90" s="14" t="str">
        <f>_xlfn.XLOOKUP($A90,Centrum[Индекс],Centrum[Container type/ 
Тип контейнера],"",0,1)</f>
        <v/>
      </c>
      <c r="R90" s="16">
        <f>_xlfn.XLOOKUP($A90,Centrum[Индекс],Centrum[Transportation cost per supplier/ 
Cтоимость перевозки по поставщикам],0,0,1)</f>
        <v>0</v>
      </c>
      <c r="S90" s="16">
        <f>Шаблон_Формулы!$T90-Шаблон_Формулы!$R90</f>
        <v>0</v>
      </c>
      <c r="T90" s="16">
        <f>_xlfn.XLOOKUP($A90,Centrum[Индекс],Centrum[Transportation total amount / Общая стоимость перевозки],0,0,1)</f>
        <v>0</v>
      </c>
      <c r="U90" s="12" cm="1">
        <f t="array" ref="U9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90" s="16">
        <f>_xlfn.XLOOKUP(Шаблон_Формулы[[#This Row],[21]],Курс_USD[Дата],Курс_USD[Курс],,0,1)</f>
        <v>11445.03</v>
      </c>
      <c r="W90" s="16">
        <f>Шаблон_Формулы!$T90*Шаблон_Формулы!$V90</f>
        <v>0</v>
      </c>
      <c r="Y90" s="16">
        <f>Шаблон_Формулы!$W90+Шаблон_Формулы!$X90</f>
        <v>0</v>
      </c>
      <c r="Z90" s="14" t="str">
        <f>_xlfn.XLOOKUP($A90,Centrum[Индекс],Centrum[Transport co invoice no/ 
Номер инвойса ТК],"",0,1)</f>
        <v/>
      </c>
    </row>
    <row r="91" spans="1:26" s="11" customFormat="1" x14ac:dyDescent="0.3">
      <c r="A91" s="14">
        <v>87</v>
      </c>
      <c r="B91" s="11" t="str">
        <f>_xlfn.XLOOKUP($A91,Centrum[Индекс],Centrum[Carrier/ Перевозчик],"",0,1)</f>
        <v/>
      </c>
      <c r="C91" s="11" t="str">
        <f>_xlfn.XLOOKUP($A91,Centrum[Индекс],Centrum[Country /  Страна],"",0,1)</f>
        <v/>
      </c>
      <c r="D91" s="11" t="str">
        <f>_xlfn.XLOOKUP($A91,Centrum[Индекс],Centrum[Container num./ 
№ контейнера],"",0,1)</f>
        <v/>
      </c>
      <c r="E91" s="11" t="str">
        <f>_xlfn.XLOOKUP($A91,Centrum[Индекс],Centrum[Supplier/
Поставщик],"",0,1)</f>
        <v/>
      </c>
      <c r="F91" s="11" t="str">
        <f>_xlfn.XLOOKUP($A91,Centrum[Индекс],Centrum[Shippers invoice no/ 
Номер инвойса поставщика],"",1)</f>
        <v/>
      </c>
      <c r="G91" s="15" t="str">
        <f>_xlfn.XLOOKUP($A91,Centrum[Индекс],Centrum[Invoice value / Стоимость груза в к-ре по инвойсу],"",0,1)</f>
        <v/>
      </c>
      <c r="H91" s="14" t="s">
        <v>40</v>
      </c>
      <c r="I91" s="11" t="str">
        <f>_xlfn.XLOOKUP($A91,Centrum[Индекс],Centrum[CBM on the shipper/ 
CBM по поставщику],"",0,1)</f>
        <v/>
      </c>
      <c r="J91" s="16" t="str">
        <f>_xlfn.XLOOKUP($A91,Centrum[Индекс],Centrum[Gross weight of cont// 
Гросс.вес по конт.],"",0,1)</f>
        <v/>
      </c>
      <c r="K91" s="17" t="str">
        <f>_xlfn.XLOOKUP($A91,Centrum[Индекс],Centrum[Route/ Маршрут (TSR/TCR)],"",0,1)</f>
        <v/>
      </c>
      <c r="L91" s="11" t="str">
        <f>_xlfn.XLOOKUP($A91,Centrum[Индекс],Centrum[Условия поставки],"",0,1)</f>
        <v/>
      </c>
      <c r="M91" s="11" t="str">
        <f>_xlfn.XLOOKUP($A91,Centrum[Индекс],Centrum[№ HBL date / 
№/ дата коносамента],"",0,1)</f>
        <v/>
      </c>
      <c r="N91" s="11" t="str">
        <f>_xlfn.XLOOKUP($A91,Centrum[Индекс],Centrum[№ MBL / 
№/ коносамента],"",0,1)</f>
        <v/>
      </c>
      <c r="O91" s="8" t="e">
        <f>(_xlfn.XLOOKUP($A91,Centrum[Индекс],Centrum[Date on board / Дата погрузки на судно],"",0,1))*1</f>
        <v>#VALUE!</v>
      </c>
      <c r="P91" s="8" t="e">
        <f>(_xlfn.XLOOKUP($A91,Centrum[Индекс],Centrum[Date of arrival to Sary-Agach/ Дата прибытия на Сары-Агач],"",0,1))*1</f>
        <v>#VALUE!</v>
      </c>
      <c r="Q91" s="14" t="str">
        <f>_xlfn.XLOOKUP($A91,Centrum[Индекс],Centrum[Container type/ 
Тип контейнера],"",0,1)</f>
        <v/>
      </c>
      <c r="R91" s="16">
        <f>_xlfn.XLOOKUP($A91,Centrum[Индекс],Centrum[Transportation cost per supplier/ 
Cтоимость перевозки по поставщикам],0,0,1)</f>
        <v>0</v>
      </c>
      <c r="S91" s="16">
        <f>Шаблон_Формулы!$T91-Шаблон_Формулы!$R91</f>
        <v>0</v>
      </c>
      <c r="T91" s="16">
        <f>_xlfn.XLOOKUP($A91,Centrum[Индекс],Centrum[Transportation total amount / Общая стоимость перевозки],0,0,1)</f>
        <v>0</v>
      </c>
      <c r="U91" s="12" cm="1">
        <f t="array" ref="U9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91" s="16">
        <f>_xlfn.XLOOKUP(Шаблон_Формулы[[#This Row],[21]],Курс_USD[Дата],Курс_USD[Курс],,0,1)</f>
        <v>11445.03</v>
      </c>
      <c r="W91" s="16">
        <f>Шаблон_Формулы!$T91*Шаблон_Формулы!$V91</f>
        <v>0</v>
      </c>
      <c r="Y91" s="16">
        <f>Шаблон_Формулы!$W91+Шаблон_Формулы!$X91</f>
        <v>0</v>
      </c>
      <c r="Z91" s="14" t="str">
        <f>_xlfn.XLOOKUP($A91,Centrum[Индекс],Centrum[Transport co invoice no/ 
Номер инвойса ТК],"",0,1)</f>
        <v/>
      </c>
    </row>
    <row r="92" spans="1:26" s="11" customFormat="1" x14ac:dyDescent="0.3">
      <c r="A92" s="14">
        <v>88</v>
      </c>
      <c r="B92" s="11" t="str">
        <f>_xlfn.XLOOKUP($A92,Centrum[Индекс],Centrum[Carrier/ Перевозчик],"",0,1)</f>
        <v/>
      </c>
      <c r="C92" s="11" t="str">
        <f>_xlfn.XLOOKUP($A92,Centrum[Индекс],Centrum[Country /  Страна],"",0,1)</f>
        <v/>
      </c>
      <c r="D92" s="11" t="str">
        <f>_xlfn.XLOOKUP($A92,Centrum[Индекс],Centrum[Container num./ 
№ контейнера],"",0,1)</f>
        <v/>
      </c>
      <c r="E92" s="11" t="str">
        <f>_xlfn.XLOOKUP($A92,Centrum[Индекс],Centrum[Supplier/
Поставщик],"",0,1)</f>
        <v/>
      </c>
      <c r="F92" s="11" t="str">
        <f>_xlfn.XLOOKUP($A92,Centrum[Индекс],Centrum[Shippers invoice no/ 
Номер инвойса поставщика],"",1)</f>
        <v/>
      </c>
      <c r="G92" s="15" t="str">
        <f>_xlfn.XLOOKUP($A92,Centrum[Индекс],Centrum[Invoice value / Стоимость груза в к-ре по инвойсу],"",0,1)</f>
        <v/>
      </c>
      <c r="H92" s="14" t="s">
        <v>40</v>
      </c>
      <c r="I92" s="11" t="str">
        <f>_xlfn.XLOOKUP($A92,Centrum[Индекс],Centrum[CBM on the shipper/ 
CBM по поставщику],"",0,1)</f>
        <v/>
      </c>
      <c r="J92" s="16" t="str">
        <f>_xlfn.XLOOKUP($A92,Centrum[Индекс],Centrum[Gross weight of cont// 
Гросс.вес по конт.],"",0,1)</f>
        <v/>
      </c>
      <c r="K92" s="17" t="str">
        <f>_xlfn.XLOOKUP($A92,Centrum[Индекс],Centrum[Route/ Маршрут (TSR/TCR)],"",0,1)</f>
        <v/>
      </c>
      <c r="L92" s="11" t="str">
        <f>_xlfn.XLOOKUP($A92,Centrum[Индекс],Centrum[Условия поставки],"",0,1)</f>
        <v/>
      </c>
      <c r="M92" s="11" t="str">
        <f>_xlfn.XLOOKUP($A92,Centrum[Индекс],Centrum[№ HBL date / 
№/ дата коносамента],"",0,1)</f>
        <v/>
      </c>
      <c r="N92" s="11" t="str">
        <f>_xlfn.XLOOKUP($A92,Centrum[Индекс],Centrum[№ MBL / 
№/ коносамента],"",0,1)</f>
        <v/>
      </c>
      <c r="O92" s="8" t="e">
        <f>(_xlfn.XLOOKUP($A92,Centrum[Индекс],Centrum[Date on board / Дата погрузки на судно],"",0,1))*1</f>
        <v>#VALUE!</v>
      </c>
      <c r="P92" s="8" t="e">
        <f>(_xlfn.XLOOKUP($A92,Centrum[Индекс],Centrum[Date of arrival to Sary-Agach/ Дата прибытия на Сары-Агач],"",0,1))*1</f>
        <v>#VALUE!</v>
      </c>
      <c r="Q92" s="14" t="str">
        <f>_xlfn.XLOOKUP($A92,Centrum[Индекс],Centrum[Container type/ 
Тип контейнера],"",0,1)</f>
        <v/>
      </c>
      <c r="R92" s="16">
        <f>_xlfn.XLOOKUP($A92,Centrum[Индекс],Centrum[Transportation cost per supplier/ 
Cтоимость перевозки по поставщикам],0,0,1)</f>
        <v>0</v>
      </c>
      <c r="S92" s="16">
        <f>Шаблон_Формулы!$T92-Шаблон_Формулы!$R92</f>
        <v>0</v>
      </c>
      <c r="T92" s="16">
        <f>_xlfn.XLOOKUP($A92,Centrum[Индекс],Centrum[Transportation total amount / Общая стоимость перевозки],0,0,1)</f>
        <v>0</v>
      </c>
      <c r="U92" s="12" cm="1">
        <f t="array" ref="U9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92" s="16">
        <f>_xlfn.XLOOKUP(Шаблон_Формулы[[#This Row],[21]],Курс_USD[Дата],Курс_USD[Курс],,0,1)</f>
        <v>11445.03</v>
      </c>
      <c r="W92" s="16">
        <f>Шаблон_Формулы!$T92*Шаблон_Формулы!$V92</f>
        <v>0</v>
      </c>
      <c r="Y92" s="16">
        <f>Шаблон_Формулы!$W92+Шаблон_Формулы!$X92</f>
        <v>0</v>
      </c>
      <c r="Z92" s="14" t="str">
        <f>_xlfn.XLOOKUP($A92,Centrum[Индекс],Centrum[Transport co invoice no/ 
Номер инвойса ТК],"",0,1)</f>
        <v/>
      </c>
    </row>
    <row r="93" spans="1:26" s="11" customFormat="1" x14ac:dyDescent="0.3">
      <c r="A93" s="14">
        <v>89</v>
      </c>
      <c r="B93" s="11" t="str">
        <f>_xlfn.XLOOKUP($A93,Centrum[Индекс],Centrum[Carrier/ Перевозчик],"",0,1)</f>
        <v/>
      </c>
      <c r="C93" s="11" t="str">
        <f>_xlfn.XLOOKUP($A93,Centrum[Индекс],Centrum[Country /  Страна],"",0,1)</f>
        <v/>
      </c>
      <c r="D93" s="11" t="str">
        <f>_xlfn.XLOOKUP($A93,Centrum[Индекс],Centrum[Container num./ 
№ контейнера],"",0,1)</f>
        <v/>
      </c>
      <c r="E93" s="11" t="str">
        <f>_xlfn.XLOOKUP($A93,Centrum[Индекс],Centrum[Supplier/
Поставщик],"",0,1)</f>
        <v/>
      </c>
      <c r="F93" s="11" t="str">
        <f>_xlfn.XLOOKUP($A93,Centrum[Индекс],Centrum[Shippers invoice no/ 
Номер инвойса поставщика],"",1)</f>
        <v/>
      </c>
      <c r="G93" s="15" t="str">
        <f>_xlfn.XLOOKUP($A93,Centrum[Индекс],Centrum[Invoice value / Стоимость груза в к-ре по инвойсу],"",0,1)</f>
        <v/>
      </c>
      <c r="H93" s="14" t="s">
        <v>40</v>
      </c>
      <c r="I93" s="11" t="str">
        <f>_xlfn.XLOOKUP($A93,Centrum[Индекс],Centrum[CBM on the shipper/ 
CBM по поставщику],"",0,1)</f>
        <v/>
      </c>
      <c r="J93" s="16" t="str">
        <f>_xlfn.XLOOKUP($A93,Centrum[Индекс],Centrum[Gross weight of cont// 
Гросс.вес по конт.],"",0,1)</f>
        <v/>
      </c>
      <c r="K93" s="17" t="str">
        <f>_xlfn.XLOOKUP($A93,Centrum[Индекс],Centrum[Route/ Маршрут (TSR/TCR)],"",0,1)</f>
        <v/>
      </c>
      <c r="L93" s="11" t="str">
        <f>_xlfn.XLOOKUP($A93,Centrum[Индекс],Centrum[Условия поставки],"",0,1)</f>
        <v/>
      </c>
      <c r="M93" s="11" t="str">
        <f>_xlfn.XLOOKUP($A93,Centrum[Индекс],Centrum[№ HBL date / 
№/ дата коносамента],"",0,1)</f>
        <v/>
      </c>
      <c r="N93" s="11" t="str">
        <f>_xlfn.XLOOKUP($A93,Centrum[Индекс],Centrum[№ MBL / 
№/ коносамента],"",0,1)</f>
        <v/>
      </c>
      <c r="O93" s="8" t="e">
        <f>(_xlfn.XLOOKUP($A93,Centrum[Индекс],Centrum[Date on board / Дата погрузки на судно],"",0,1))*1</f>
        <v>#VALUE!</v>
      </c>
      <c r="P93" s="8" t="e">
        <f>(_xlfn.XLOOKUP($A93,Centrum[Индекс],Centrum[Date of arrival to Sary-Agach/ Дата прибытия на Сары-Агач],"",0,1))*1</f>
        <v>#VALUE!</v>
      </c>
      <c r="Q93" s="14" t="str">
        <f>_xlfn.XLOOKUP($A93,Centrum[Индекс],Centrum[Container type/ 
Тип контейнера],"",0,1)</f>
        <v/>
      </c>
      <c r="R93" s="16">
        <f>_xlfn.XLOOKUP($A93,Centrum[Индекс],Centrum[Transportation cost per supplier/ 
Cтоимость перевозки по поставщикам],0,0,1)</f>
        <v>0</v>
      </c>
      <c r="S93" s="16">
        <f>Шаблон_Формулы!$T93-Шаблон_Формулы!$R93</f>
        <v>0</v>
      </c>
      <c r="T93" s="16">
        <f>_xlfn.XLOOKUP($A93,Centrum[Индекс],Centrum[Transportation total amount / Общая стоимость перевозки],0,0,1)</f>
        <v>0</v>
      </c>
      <c r="U93" s="12" cm="1">
        <f t="array" ref="U9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93" s="16">
        <f>_xlfn.XLOOKUP(Шаблон_Формулы[[#This Row],[21]],Курс_USD[Дата],Курс_USD[Курс],,0,1)</f>
        <v>11445.03</v>
      </c>
      <c r="W93" s="16">
        <f>Шаблон_Формулы!$T93*Шаблон_Формулы!$V93</f>
        <v>0</v>
      </c>
      <c r="Y93" s="16">
        <f>Шаблон_Формулы!$W93+Шаблон_Формулы!$X93</f>
        <v>0</v>
      </c>
      <c r="Z93" s="14" t="str">
        <f>_xlfn.XLOOKUP($A93,Centrum[Индекс],Centrum[Transport co invoice no/ 
Номер инвойса ТК],"",0,1)</f>
        <v/>
      </c>
    </row>
    <row r="94" spans="1:26" s="11" customFormat="1" x14ac:dyDescent="0.3">
      <c r="A94" s="14">
        <v>90</v>
      </c>
      <c r="B94" s="11" t="str">
        <f>_xlfn.XLOOKUP($A94,Centrum[Индекс],Centrum[Carrier/ Перевозчик],"",0,1)</f>
        <v/>
      </c>
      <c r="C94" s="11" t="str">
        <f>_xlfn.XLOOKUP($A94,Centrum[Индекс],Centrum[Country /  Страна],"",0,1)</f>
        <v/>
      </c>
      <c r="D94" s="11" t="str">
        <f>_xlfn.XLOOKUP($A94,Centrum[Индекс],Centrum[Container num./ 
№ контейнера],"",0,1)</f>
        <v/>
      </c>
      <c r="E94" s="11" t="str">
        <f>_xlfn.XLOOKUP($A94,Centrum[Индекс],Centrum[Supplier/
Поставщик],"",0,1)</f>
        <v/>
      </c>
      <c r="F94" s="11" t="str">
        <f>_xlfn.XLOOKUP($A94,Centrum[Индекс],Centrum[Shippers invoice no/ 
Номер инвойса поставщика],"",1)</f>
        <v/>
      </c>
      <c r="G94" s="15" t="str">
        <f>_xlfn.XLOOKUP($A94,Centrum[Индекс],Centrum[Invoice value / Стоимость груза в к-ре по инвойсу],"",0,1)</f>
        <v/>
      </c>
      <c r="H94" s="14" t="s">
        <v>40</v>
      </c>
      <c r="I94" s="11" t="str">
        <f>_xlfn.XLOOKUP($A94,Centrum[Индекс],Centrum[CBM on the shipper/ 
CBM по поставщику],"",0,1)</f>
        <v/>
      </c>
      <c r="J94" s="16" t="str">
        <f>_xlfn.XLOOKUP($A94,Centrum[Индекс],Centrum[Gross weight of cont// 
Гросс.вес по конт.],"",0,1)</f>
        <v/>
      </c>
      <c r="K94" s="17" t="str">
        <f>_xlfn.XLOOKUP($A94,Centrum[Индекс],Centrum[Route/ Маршрут (TSR/TCR)],"",0,1)</f>
        <v/>
      </c>
      <c r="L94" s="11" t="str">
        <f>_xlfn.XLOOKUP($A94,Centrum[Индекс],Centrum[Условия поставки],"",0,1)</f>
        <v/>
      </c>
      <c r="M94" s="11" t="str">
        <f>_xlfn.XLOOKUP($A94,Centrum[Индекс],Centrum[№ HBL date / 
№/ дата коносамента],"",0,1)</f>
        <v/>
      </c>
      <c r="N94" s="11" t="str">
        <f>_xlfn.XLOOKUP($A94,Centrum[Индекс],Centrum[№ MBL / 
№/ коносамента],"",0,1)</f>
        <v/>
      </c>
      <c r="O94" s="8" t="e">
        <f>(_xlfn.XLOOKUP($A94,Centrum[Индекс],Centrum[Date on board / Дата погрузки на судно],"",0,1))*1</f>
        <v>#VALUE!</v>
      </c>
      <c r="P94" s="8" t="e">
        <f>(_xlfn.XLOOKUP($A94,Centrum[Индекс],Centrum[Date of arrival to Sary-Agach/ Дата прибытия на Сары-Агач],"",0,1))*1</f>
        <v>#VALUE!</v>
      </c>
      <c r="Q94" s="14" t="str">
        <f>_xlfn.XLOOKUP($A94,Centrum[Индекс],Centrum[Container type/ 
Тип контейнера],"",0,1)</f>
        <v/>
      </c>
      <c r="R94" s="16">
        <f>_xlfn.XLOOKUP($A94,Centrum[Индекс],Centrum[Transportation cost per supplier/ 
Cтоимость перевозки по поставщикам],0,0,1)</f>
        <v>0</v>
      </c>
      <c r="S94" s="16">
        <f>Шаблон_Формулы!$T94-Шаблон_Формулы!$R94</f>
        <v>0</v>
      </c>
      <c r="T94" s="16">
        <f>_xlfn.XLOOKUP($A94,Centrum[Индекс],Centrum[Transportation total amount / Общая стоимость перевозки],0,0,1)</f>
        <v>0</v>
      </c>
      <c r="U94" s="12" cm="1">
        <f t="array" ref="U9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94" s="16">
        <f>_xlfn.XLOOKUP(Шаблон_Формулы[[#This Row],[21]],Курс_USD[Дата],Курс_USD[Курс],,0,1)</f>
        <v>11445.03</v>
      </c>
      <c r="W94" s="16">
        <f>Шаблон_Формулы!$T94*Шаблон_Формулы!$V94</f>
        <v>0</v>
      </c>
      <c r="Y94" s="16">
        <f>Шаблон_Формулы!$W94+Шаблон_Формулы!$X94</f>
        <v>0</v>
      </c>
      <c r="Z94" s="14" t="str">
        <f>_xlfn.XLOOKUP($A94,Centrum[Индекс],Centrum[Transport co invoice no/ 
Номер инвойса ТК],"",0,1)</f>
        <v/>
      </c>
    </row>
    <row r="95" spans="1:26" s="11" customFormat="1" x14ac:dyDescent="0.3">
      <c r="A95" s="14">
        <v>91</v>
      </c>
      <c r="B95" s="11" t="str">
        <f>_xlfn.XLOOKUP($A95,Centrum[Индекс],Centrum[Carrier/ Перевозчик],"",0,1)</f>
        <v/>
      </c>
      <c r="C95" s="11" t="str">
        <f>_xlfn.XLOOKUP($A95,Centrum[Индекс],Centrum[Country /  Страна],"",0,1)</f>
        <v/>
      </c>
      <c r="D95" s="11" t="str">
        <f>_xlfn.XLOOKUP($A95,Centrum[Индекс],Centrum[Container num./ 
№ контейнера],"",0,1)</f>
        <v/>
      </c>
      <c r="E95" s="11" t="str">
        <f>_xlfn.XLOOKUP($A95,Centrum[Индекс],Centrum[Supplier/
Поставщик],"",0,1)</f>
        <v/>
      </c>
      <c r="F95" s="11" t="str">
        <f>_xlfn.XLOOKUP($A95,Centrum[Индекс],Centrum[Shippers invoice no/ 
Номер инвойса поставщика],"",1)</f>
        <v/>
      </c>
      <c r="G95" s="15" t="str">
        <f>_xlfn.XLOOKUP($A95,Centrum[Индекс],Centrum[Invoice value / Стоимость груза в к-ре по инвойсу],"",0,1)</f>
        <v/>
      </c>
      <c r="H95" s="14" t="s">
        <v>40</v>
      </c>
      <c r="I95" s="11" t="str">
        <f>_xlfn.XLOOKUP($A95,Centrum[Индекс],Centrum[CBM on the shipper/ 
CBM по поставщику],"",0,1)</f>
        <v/>
      </c>
      <c r="J95" s="16" t="str">
        <f>_xlfn.XLOOKUP($A95,Centrum[Индекс],Centrum[Gross weight of cont// 
Гросс.вес по конт.],"",0,1)</f>
        <v/>
      </c>
      <c r="K95" s="17" t="str">
        <f>_xlfn.XLOOKUP($A95,Centrum[Индекс],Centrum[Route/ Маршрут (TSR/TCR)],"",0,1)</f>
        <v/>
      </c>
      <c r="L95" s="11" t="str">
        <f>_xlfn.XLOOKUP($A95,Centrum[Индекс],Centrum[Условия поставки],"",0,1)</f>
        <v/>
      </c>
      <c r="M95" s="11" t="str">
        <f>_xlfn.XLOOKUP($A95,Centrum[Индекс],Centrum[№ HBL date / 
№/ дата коносамента],"",0,1)</f>
        <v/>
      </c>
      <c r="N95" s="11" t="str">
        <f>_xlfn.XLOOKUP($A95,Centrum[Индекс],Centrum[№ MBL / 
№/ коносамента],"",0,1)</f>
        <v/>
      </c>
      <c r="O95" s="8" t="e">
        <f>(_xlfn.XLOOKUP($A95,Centrum[Индекс],Centrum[Date on board / Дата погрузки на судно],"",0,1))*1</f>
        <v>#VALUE!</v>
      </c>
      <c r="P95" s="8" t="e">
        <f>(_xlfn.XLOOKUP($A95,Centrum[Индекс],Centrum[Date of arrival to Sary-Agach/ Дата прибытия на Сары-Агач],"",0,1))*1</f>
        <v>#VALUE!</v>
      </c>
      <c r="Q95" s="14" t="str">
        <f>_xlfn.XLOOKUP($A95,Centrum[Индекс],Centrum[Container type/ 
Тип контейнера],"",0,1)</f>
        <v/>
      </c>
      <c r="R95" s="16">
        <f>_xlfn.XLOOKUP($A95,Centrum[Индекс],Centrum[Transportation cost per supplier/ 
Cтоимость перевозки по поставщикам],0,0,1)</f>
        <v>0</v>
      </c>
      <c r="S95" s="16">
        <f>Шаблон_Формулы!$T95-Шаблон_Формулы!$R95</f>
        <v>0</v>
      </c>
      <c r="T95" s="16">
        <f>_xlfn.XLOOKUP($A95,Centrum[Индекс],Centrum[Transportation total amount / Общая стоимость перевозки],0,0,1)</f>
        <v>0</v>
      </c>
      <c r="U95" s="12" cm="1">
        <f t="array" ref="U9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95" s="16">
        <f>_xlfn.XLOOKUP(Шаблон_Формулы[[#This Row],[21]],Курс_USD[Дата],Курс_USD[Курс],,0,1)</f>
        <v>11445.03</v>
      </c>
      <c r="W95" s="16">
        <f>Шаблон_Формулы!$T95*Шаблон_Формулы!$V95</f>
        <v>0</v>
      </c>
      <c r="Y95" s="16">
        <f>Шаблон_Формулы!$W95+Шаблон_Формулы!$X95</f>
        <v>0</v>
      </c>
      <c r="Z95" s="14" t="str">
        <f>_xlfn.XLOOKUP($A95,Centrum[Индекс],Centrum[Transport co invoice no/ 
Номер инвойса ТК],"",0,1)</f>
        <v/>
      </c>
    </row>
    <row r="96" spans="1:26" s="11" customFormat="1" x14ac:dyDescent="0.3">
      <c r="A96" s="14">
        <v>92</v>
      </c>
      <c r="B96" s="11" t="str">
        <f>_xlfn.XLOOKUP($A96,Centrum[Индекс],Centrum[Carrier/ Перевозчик],"",0,1)</f>
        <v/>
      </c>
      <c r="C96" s="11" t="str">
        <f>_xlfn.XLOOKUP($A96,Centrum[Индекс],Centrum[Country /  Страна],"",0,1)</f>
        <v/>
      </c>
      <c r="D96" s="11" t="str">
        <f>_xlfn.XLOOKUP($A96,Centrum[Индекс],Centrum[Container num./ 
№ контейнера],"",0,1)</f>
        <v/>
      </c>
      <c r="E96" s="11" t="str">
        <f>_xlfn.XLOOKUP($A96,Centrum[Индекс],Centrum[Supplier/
Поставщик],"",0,1)</f>
        <v/>
      </c>
      <c r="F96" s="11" t="str">
        <f>_xlfn.XLOOKUP($A96,Centrum[Индекс],Centrum[Shippers invoice no/ 
Номер инвойса поставщика],"",1)</f>
        <v/>
      </c>
      <c r="G96" s="15" t="str">
        <f>_xlfn.XLOOKUP($A96,Centrum[Индекс],Centrum[Invoice value / Стоимость груза в к-ре по инвойсу],"",0,1)</f>
        <v/>
      </c>
      <c r="H96" s="14" t="s">
        <v>40</v>
      </c>
      <c r="I96" s="11" t="str">
        <f>_xlfn.XLOOKUP($A96,Centrum[Индекс],Centrum[CBM on the shipper/ 
CBM по поставщику],"",0,1)</f>
        <v/>
      </c>
      <c r="J96" s="16" t="str">
        <f>_xlfn.XLOOKUP($A96,Centrum[Индекс],Centrum[Gross weight of cont// 
Гросс.вес по конт.],"",0,1)</f>
        <v/>
      </c>
      <c r="K96" s="17" t="str">
        <f>_xlfn.XLOOKUP($A96,Centrum[Индекс],Centrum[Route/ Маршрут (TSR/TCR)],"",0,1)</f>
        <v/>
      </c>
      <c r="L96" s="11" t="str">
        <f>_xlfn.XLOOKUP($A96,Centrum[Индекс],Centrum[Условия поставки],"",0,1)</f>
        <v/>
      </c>
      <c r="M96" s="11" t="str">
        <f>_xlfn.XLOOKUP($A96,Centrum[Индекс],Centrum[№ HBL date / 
№/ дата коносамента],"",0,1)</f>
        <v/>
      </c>
      <c r="N96" s="11" t="str">
        <f>_xlfn.XLOOKUP($A96,Centrum[Индекс],Centrum[№ MBL / 
№/ коносамента],"",0,1)</f>
        <v/>
      </c>
      <c r="O96" s="8" t="e">
        <f>(_xlfn.XLOOKUP($A96,Centrum[Индекс],Centrum[Date on board / Дата погрузки на судно],"",0,1))*1</f>
        <v>#VALUE!</v>
      </c>
      <c r="P96" s="8" t="e">
        <f>(_xlfn.XLOOKUP($A96,Centrum[Индекс],Centrum[Date of arrival to Sary-Agach/ Дата прибытия на Сары-Агач],"",0,1))*1</f>
        <v>#VALUE!</v>
      </c>
      <c r="Q96" s="14" t="str">
        <f>_xlfn.XLOOKUP($A96,Centrum[Индекс],Centrum[Container type/ 
Тип контейнера],"",0,1)</f>
        <v/>
      </c>
      <c r="R96" s="16">
        <f>_xlfn.XLOOKUP($A96,Centrum[Индекс],Centrum[Transportation cost per supplier/ 
Cтоимость перевозки по поставщикам],0,0,1)</f>
        <v>0</v>
      </c>
      <c r="S96" s="16">
        <f>Шаблон_Формулы!$T96-Шаблон_Формулы!$R96</f>
        <v>0</v>
      </c>
      <c r="T96" s="16">
        <f>_xlfn.XLOOKUP($A96,Centrum[Индекс],Centrum[Transportation total amount / Общая стоимость перевозки],0,0,1)</f>
        <v>0</v>
      </c>
      <c r="U96" s="12" cm="1">
        <f t="array" ref="U9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96" s="16">
        <f>_xlfn.XLOOKUP(Шаблон_Формулы[[#This Row],[21]],Курс_USD[Дата],Курс_USD[Курс],,0,1)</f>
        <v>11445.03</v>
      </c>
      <c r="W96" s="16">
        <f>Шаблон_Формулы!$T96*Шаблон_Формулы!$V96</f>
        <v>0</v>
      </c>
      <c r="Y96" s="16">
        <f>Шаблон_Формулы!$W96+Шаблон_Формулы!$X96</f>
        <v>0</v>
      </c>
      <c r="Z96" s="14" t="str">
        <f>_xlfn.XLOOKUP($A96,Centrum[Индекс],Centrum[Transport co invoice no/ 
Номер инвойса ТК],"",0,1)</f>
        <v/>
      </c>
    </row>
    <row r="97" spans="1:26" s="11" customFormat="1" x14ac:dyDescent="0.3">
      <c r="A97" s="14">
        <v>93</v>
      </c>
      <c r="B97" s="11" t="str">
        <f>_xlfn.XLOOKUP($A97,Centrum[Индекс],Centrum[Carrier/ Перевозчик],"",0,1)</f>
        <v/>
      </c>
      <c r="C97" s="11" t="str">
        <f>_xlfn.XLOOKUP($A97,Centrum[Индекс],Centrum[Country /  Страна],"",0,1)</f>
        <v/>
      </c>
      <c r="D97" s="11" t="str">
        <f>_xlfn.XLOOKUP($A97,Centrum[Индекс],Centrum[Container num./ 
№ контейнера],"",0,1)</f>
        <v/>
      </c>
      <c r="E97" s="11" t="str">
        <f>_xlfn.XLOOKUP($A97,Centrum[Индекс],Centrum[Supplier/
Поставщик],"",0,1)</f>
        <v/>
      </c>
      <c r="F97" s="11" t="str">
        <f>_xlfn.XLOOKUP($A97,Centrum[Индекс],Centrum[Shippers invoice no/ 
Номер инвойса поставщика],"",1)</f>
        <v/>
      </c>
      <c r="G97" s="15" t="str">
        <f>_xlfn.XLOOKUP($A97,Centrum[Индекс],Centrum[Invoice value / Стоимость груза в к-ре по инвойсу],"",0,1)</f>
        <v/>
      </c>
      <c r="H97" s="14" t="s">
        <v>40</v>
      </c>
      <c r="I97" s="11" t="str">
        <f>_xlfn.XLOOKUP($A97,Centrum[Индекс],Centrum[CBM on the shipper/ 
CBM по поставщику],"",0,1)</f>
        <v/>
      </c>
      <c r="J97" s="16" t="str">
        <f>_xlfn.XLOOKUP($A97,Centrum[Индекс],Centrum[Gross weight of cont// 
Гросс.вес по конт.],"",0,1)</f>
        <v/>
      </c>
      <c r="K97" s="17" t="str">
        <f>_xlfn.XLOOKUP($A97,Centrum[Индекс],Centrum[Route/ Маршрут (TSR/TCR)],"",0,1)</f>
        <v/>
      </c>
      <c r="L97" s="11" t="str">
        <f>_xlfn.XLOOKUP($A97,Centrum[Индекс],Centrum[Условия поставки],"",0,1)</f>
        <v/>
      </c>
      <c r="M97" s="11" t="str">
        <f>_xlfn.XLOOKUP($A97,Centrum[Индекс],Centrum[№ HBL date / 
№/ дата коносамента],"",0,1)</f>
        <v/>
      </c>
      <c r="N97" s="11" t="str">
        <f>_xlfn.XLOOKUP($A97,Centrum[Индекс],Centrum[№ MBL / 
№/ коносамента],"",0,1)</f>
        <v/>
      </c>
      <c r="O97" s="8" t="e">
        <f>(_xlfn.XLOOKUP($A97,Centrum[Индекс],Centrum[Date on board / Дата погрузки на судно],"",0,1))*1</f>
        <v>#VALUE!</v>
      </c>
      <c r="P97" s="8" t="e">
        <f>(_xlfn.XLOOKUP($A97,Centrum[Индекс],Centrum[Date of arrival to Sary-Agach/ Дата прибытия на Сары-Агач],"",0,1))*1</f>
        <v>#VALUE!</v>
      </c>
      <c r="Q97" s="14" t="str">
        <f>_xlfn.XLOOKUP($A97,Centrum[Индекс],Centrum[Container type/ 
Тип контейнера],"",0,1)</f>
        <v/>
      </c>
      <c r="R97" s="16">
        <f>_xlfn.XLOOKUP($A97,Centrum[Индекс],Centrum[Transportation cost per supplier/ 
Cтоимость перевозки по поставщикам],0,0,1)</f>
        <v>0</v>
      </c>
      <c r="S97" s="16">
        <f>Шаблон_Формулы!$T97-Шаблон_Формулы!$R97</f>
        <v>0</v>
      </c>
      <c r="T97" s="16">
        <f>_xlfn.XLOOKUP($A97,Centrum[Индекс],Centrum[Transportation total amount / Общая стоимость перевозки],0,0,1)</f>
        <v>0</v>
      </c>
      <c r="U97" s="12" cm="1">
        <f t="array" ref="U9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97" s="16">
        <f>_xlfn.XLOOKUP(Шаблон_Формулы[[#This Row],[21]],Курс_USD[Дата],Курс_USD[Курс],,0,1)</f>
        <v>11445.03</v>
      </c>
      <c r="W97" s="16">
        <f>Шаблон_Формулы!$T97*Шаблон_Формулы!$V97</f>
        <v>0</v>
      </c>
      <c r="Y97" s="16">
        <f>Шаблон_Формулы!$W97+Шаблон_Формулы!$X97</f>
        <v>0</v>
      </c>
      <c r="Z97" s="14" t="str">
        <f>_xlfn.XLOOKUP($A97,Centrum[Индекс],Centrum[Transport co invoice no/ 
Номер инвойса ТК],"",0,1)</f>
        <v/>
      </c>
    </row>
    <row r="98" spans="1:26" s="11" customFormat="1" x14ac:dyDescent="0.3">
      <c r="A98" s="14">
        <v>94</v>
      </c>
      <c r="B98" s="11" t="str">
        <f>_xlfn.XLOOKUP($A98,Centrum[Индекс],Centrum[Carrier/ Перевозчик],"",0,1)</f>
        <v/>
      </c>
      <c r="C98" s="11" t="str">
        <f>_xlfn.XLOOKUP($A98,Centrum[Индекс],Centrum[Country /  Страна],"",0,1)</f>
        <v/>
      </c>
      <c r="D98" s="11" t="str">
        <f>_xlfn.XLOOKUP($A98,Centrum[Индекс],Centrum[Container num./ 
№ контейнера],"",0,1)</f>
        <v/>
      </c>
      <c r="E98" s="11" t="str">
        <f>_xlfn.XLOOKUP($A98,Centrum[Индекс],Centrum[Supplier/
Поставщик],"",0,1)</f>
        <v/>
      </c>
      <c r="F98" s="11" t="str">
        <f>_xlfn.XLOOKUP($A98,Centrum[Индекс],Centrum[Shippers invoice no/ 
Номер инвойса поставщика],"",1)</f>
        <v/>
      </c>
      <c r="G98" s="15" t="str">
        <f>_xlfn.XLOOKUP($A98,Centrum[Индекс],Centrum[Invoice value / Стоимость груза в к-ре по инвойсу],"",0,1)</f>
        <v/>
      </c>
      <c r="H98" s="14" t="s">
        <v>40</v>
      </c>
      <c r="I98" s="11" t="str">
        <f>_xlfn.XLOOKUP($A98,Centrum[Индекс],Centrum[CBM on the shipper/ 
CBM по поставщику],"",0,1)</f>
        <v/>
      </c>
      <c r="J98" s="16" t="str">
        <f>_xlfn.XLOOKUP($A98,Centrum[Индекс],Centrum[Gross weight of cont// 
Гросс.вес по конт.],"",0,1)</f>
        <v/>
      </c>
      <c r="K98" s="17" t="str">
        <f>_xlfn.XLOOKUP($A98,Centrum[Индекс],Centrum[Route/ Маршрут (TSR/TCR)],"",0,1)</f>
        <v/>
      </c>
      <c r="L98" s="11" t="str">
        <f>_xlfn.XLOOKUP($A98,Centrum[Индекс],Centrum[Условия поставки],"",0,1)</f>
        <v/>
      </c>
      <c r="M98" s="11" t="str">
        <f>_xlfn.XLOOKUP($A98,Centrum[Индекс],Centrum[№ HBL date / 
№/ дата коносамента],"",0,1)</f>
        <v/>
      </c>
      <c r="N98" s="11" t="str">
        <f>_xlfn.XLOOKUP($A98,Centrum[Индекс],Centrum[№ MBL / 
№/ коносамента],"",0,1)</f>
        <v/>
      </c>
      <c r="O98" s="8" t="e">
        <f>(_xlfn.XLOOKUP($A98,Centrum[Индекс],Centrum[Date on board / Дата погрузки на судно],"",0,1))*1</f>
        <v>#VALUE!</v>
      </c>
      <c r="P98" s="8" t="e">
        <f>(_xlfn.XLOOKUP($A98,Centrum[Индекс],Centrum[Date of arrival to Sary-Agach/ Дата прибытия на Сары-Агач],"",0,1))*1</f>
        <v>#VALUE!</v>
      </c>
      <c r="Q98" s="14" t="str">
        <f>_xlfn.XLOOKUP($A98,Centrum[Индекс],Centrum[Container type/ 
Тип контейнера],"",0,1)</f>
        <v/>
      </c>
      <c r="R98" s="16">
        <f>_xlfn.XLOOKUP($A98,Centrum[Индекс],Centrum[Transportation cost per supplier/ 
Cтоимость перевозки по поставщикам],0,0,1)</f>
        <v>0</v>
      </c>
      <c r="S98" s="16">
        <f>Шаблон_Формулы!$T98-Шаблон_Формулы!$R98</f>
        <v>0</v>
      </c>
      <c r="T98" s="16">
        <f>_xlfn.XLOOKUP($A98,Centrum[Индекс],Centrum[Transportation total amount / Общая стоимость перевозки],0,0,1)</f>
        <v>0</v>
      </c>
      <c r="U98" s="12" cm="1">
        <f t="array" ref="U9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98" s="16">
        <f>_xlfn.XLOOKUP(Шаблон_Формулы[[#This Row],[21]],Курс_USD[Дата],Курс_USD[Курс],,0,1)</f>
        <v>11445.03</v>
      </c>
      <c r="W98" s="16">
        <f>Шаблон_Формулы!$T98*Шаблон_Формулы!$V98</f>
        <v>0</v>
      </c>
      <c r="Y98" s="16">
        <f>Шаблон_Формулы!$W98+Шаблон_Формулы!$X98</f>
        <v>0</v>
      </c>
      <c r="Z98" s="14" t="str">
        <f>_xlfn.XLOOKUP($A98,Centrum[Индекс],Centrum[Transport co invoice no/ 
Номер инвойса ТК],"",0,1)</f>
        <v/>
      </c>
    </row>
    <row r="99" spans="1:26" s="11" customFormat="1" x14ac:dyDescent="0.3">
      <c r="A99" s="14">
        <v>95</v>
      </c>
      <c r="B99" s="11" t="str">
        <f>_xlfn.XLOOKUP($A99,Centrum[Индекс],Centrum[Carrier/ Перевозчик],"",0,1)</f>
        <v/>
      </c>
      <c r="C99" s="11" t="str">
        <f>_xlfn.XLOOKUP($A99,Centrum[Индекс],Centrum[Country /  Страна],"",0,1)</f>
        <v/>
      </c>
      <c r="D99" s="11" t="str">
        <f>_xlfn.XLOOKUP($A99,Centrum[Индекс],Centrum[Container num./ 
№ контейнера],"",0,1)</f>
        <v/>
      </c>
      <c r="E99" s="11" t="str">
        <f>_xlfn.XLOOKUP($A99,Centrum[Индекс],Centrum[Supplier/
Поставщик],"",0,1)</f>
        <v/>
      </c>
      <c r="F99" s="11" t="str">
        <f>_xlfn.XLOOKUP($A99,Centrum[Индекс],Centrum[Shippers invoice no/ 
Номер инвойса поставщика],"",1)</f>
        <v/>
      </c>
      <c r="G99" s="15" t="str">
        <f>_xlfn.XLOOKUP($A99,Centrum[Индекс],Centrum[Invoice value / Стоимость груза в к-ре по инвойсу],"",0,1)</f>
        <v/>
      </c>
      <c r="H99" s="14" t="s">
        <v>40</v>
      </c>
      <c r="I99" s="11" t="str">
        <f>_xlfn.XLOOKUP($A99,Centrum[Индекс],Centrum[CBM on the shipper/ 
CBM по поставщику],"",0,1)</f>
        <v/>
      </c>
      <c r="J99" s="16" t="str">
        <f>_xlfn.XLOOKUP($A99,Centrum[Индекс],Centrum[Gross weight of cont// 
Гросс.вес по конт.],"",0,1)</f>
        <v/>
      </c>
      <c r="K99" s="17" t="str">
        <f>_xlfn.XLOOKUP($A99,Centrum[Индекс],Centrum[Route/ Маршрут (TSR/TCR)],"",0,1)</f>
        <v/>
      </c>
      <c r="L99" s="11" t="str">
        <f>_xlfn.XLOOKUP($A99,Centrum[Индекс],Centrum[Условия поставки],"",0,1)</f>
        <v/>
      </c>
      <c r="M99" s="11" t="str">
        <f>_xlfn.XLOOKUP($A99,Centrum[Индекс],Centrum[№ HBL date / 
№/ дата коносамента],"",0,1)</f>
        <v/>
      </c>
      <c r="N99" s="11" t="str">
        <f>_xlfn.XLOOKUP($A99,Centrum[Индекс],Centrum[№ MBL / 
№/ коносамента],"",0,1)</f>
        <v/>
      </c>
      <c r="O99" s="8" t="e">
        <f>(_xlfn.XLOOKUP($A99,Centrum[Индекс],Centrum[Date on board / Дата погрузки на судно],"",0,1))*1</f>
        <v>#VALUE!</v>
      </c>
      <c r="P99" s="8" t="e">
        <f>(_xlfn.XLOOKUP($A99,Centrum[Индекс],Centrum[Date of arrival to Sary-Agach/ Дата прибытия на Сары-Агач],"",0,1))*1</f>
        <v>#VALUE!</v>
      </c>
      <c r="Q99" s="14" t="str">
        <f>_xlfn.XLOOKUP($A99,Centrum[Индекс],Centrum[Container type/ 
Тип контейнера],"",0,1)</f>
        <v/>
      </c>
      <c r="R99" s="16">
        <f>_xlfn.XLOOKUP($A99,Centrum[Индекс],Centrum[Transportation cost per supplier/ 
Cтоимость перевозки по поставщикам],0,0,1)</f>
        <v>0</v>
      </c>
      <c r="S99" s="16">
        <f>Шаблон_Формулы!$T99-Шаблон_Формулы!$R99</f>
        <v>0</v>
      </c>
      <c r="T99" s="16">
        <f>_xlfn.XLOOKUP($A99,Centrum[Индекс],Centrum[Transportation total amount / Общая стоимость перевозки],0,0,1)</f>
        <v>0</v>
      </c>
      <c r="U99" s="12" cm="1">
        <f t="array" ref="U9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99" s="16">
        <f>_xlfn.XLOOKUP(Шаблон_Формулы[[#This Row],[21]],Курс_USD[Дата],Курс_USD[Курс],,0,1)</f>
        <v>11445.03</v>
      </c>
      <c r="W99" s="16">
        <f>Шаблон_Формулы!$T99*Шаблон_Формулы!$V99</f>
        <v>0</v>
      </c>
      <c r="Y99" s="16">
        <f>Шаблон_Формулы!$W99+Шаблон_Формулы!$X99</f>
        <v>0</v>
      </c>
      <c r="Z99" s="14" t="str">
        <f>_xlfn.XLOOKUP($A99,Centrum[Индекс],Centrum[Transport co invoice no/ 
Номер инвойса ТК],"",0,1)</f>
        <v/>
      </c>
    </row>
    <row r="100" spans="1:26" s="11" customFormat="1" x14ac:dyDescent="0.3">
      <c r="A100" s="14">
        <v>96</v>
      </c>
      <c r="B100" s="11" t="str">
        <f>_xlfn.XLOOKUP($A100,Centrum[Индекс],Centrum[Carrier/ Перевозчик],"",0,1)</f>
        <v/>
      </c>
      <c r="C100" s="11" t="str">
        <f>_xlfn.XLOOKUP($A100,Centrum[Индекс],Centrum[Country /  Страна],"",0,1)</f>
        <v/>
      </c>
      <c r="D100" s="11" t="str">
        <f>_xlfn.XLOOKUP($A100,Centrum[Индекс],Centrum[Container num./ 
№ контейнера],"",0,1)</f>
        <v/>
      </c>
      <c r="E100" s="11" t="str">
        <f>_xlfn.XLOOKUP($A100,Centrum[Индекс],Centrum[Supplier/
Поставщик],"",0,1)</f>
        <v/>
      </c>
      <c r="F100" s="11" t="str">
        <f>_xlfn.XLOOKUP($A100,Centrum[Индекс],Centrum[Shippers invoice no/ 
Номер инвойса поставщика],"",1)</f>
        <v/>
      </c>
      <c r="G100" s="15" t="str">
        <f>_xlfn.XLOOKUP($A100,Centrum[Индекс],Centrum[Invoice value / Стоимость груза в к-ре по инвойсу],"",0,1)</f>
        <v/>
      </c>
      <c r="H100" s="14" t="s">
        <v>40</v>
      </c>
      <c r="I100" s="11" t="str">
        <f>_xlfn.XLOOKUP($A100,Centrum[Индекс],Centrum[CBM on the shipper/ 
CBM по поставщику],"",0,1)</f>
        <v/>
      </c>
      <c r="J100" s="16" t="str">
        <f>_xlfn.XLOOKUP($A100,Centrum[Индекс],Centrum[Gross weight of cont// 
Гросс.вес по конт.],"",0,1)</f>
        <v/>
      </c>
      <c r="K100" s="17" t="str">
        <f>_xlfn.XLOOKUP($A100,Centrum[Индекс],Centrum[Route/ Маршрут (TSR/TCR)],"",0,1)</f>
        <v/>
      </c>
      <c r="L100" s="11" t="str">
        <f>_xlfn.XLOOKUP($A100,Centrum[Индекс],Centrum[Условия поставки],"",0,1)</f>
        <v/>
      </c>
      <c r="M100" s="11" t="str">
        <f>_xlfn.XLOOKUP($A100,Centrum[Индекс],Centrum[№ HBL date / 
№/ дата коносамента],"",0,1)</f>
        <v/>
      </c>
      <c r="N100" s="11" t="str">
        <f>_xlfn.XLOOKUP($A100,Centrum[Индекс],Centrum[№ MBL / 
№/ коносамента],"",0,1)</f>
        <v/>
      </c>
      <c r="O100" s="8" t="e">
        <f>(_xlfn.XLOOKUP($A100,Centrum[Индекс],Centrum[Date on board / Дата погрузки на судно],"",0,1))*1</f>
        <v>#VALUE!</v>
      </c>
      <c r="P100" s="8" t="e">
        <f>(_xlfn.XLOOKUP($A100,Centrum[Индекс],Centrum[Date of arrival to Sary-Agach/ Дата прибытия на Сары-Агач],"",0,1))*1</f>
        <v>#VALUE!</v>
      </c>
      <c r="Q100" s="14" t="str">
        <f>_xlfn.XLOOKUP($A100,Centrum[Индекс],Centrum[Container type/ 
Тип контейнера],"",0,1)</f>
        <v/>
      </c>
      <c r="R100" s="16">
        <f>_xlfn.XLOOKUP($A100,Centrum[Индекс],Centrum[Transportation cost per supplier/ 
Cтоимость перевозки по поставщикам],0,0,1)</f>
        <v>0</v>
      </c>
      <c r="S100" s="16">
        <f>Шаблон_Формулы!$T100-Шаблон_Формулы!$R100</f>
        <v>0</v>
      </c>
      <c r="T100" s="16">
        <f>_xlfn.XLOOKUP($A100,Centrum[Индекс],Centrum[Transportation total amount / Общая стоимость перевозки],0,0,1)</f>
        <v>0</v>
      </c>
      <c r="U100" s="12" cm="1">
        <f t="array" ref="U10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00" s="16">
        <f>_xlfn.XLOOKUP(Шаблон_Формулы[[#This Row],[21]],Курс_USD[Дата],Курс_USD[Курс],,0,1)</f>
        <v>11445.03</v>
      </c>
      <c r="W100" s="16">
        <f>Шаблон_Формулы!$T100*Шаблон_Формулы!$V100</f>
        <v>0</v>
      </c>
      <c r="Y100" s="16">
        <f>Шаблон_Формулы!$W100+Шаблон_Формулы!$X100</f>
        <v>0</v>
      </c>
      <c r="Z100" s="14" t="str">
        <f>_xlfn.XLOOKUP($A100,Centrum[Индекс],Centrum[Transport co invoice no/ 
Номер инвойса ТК],"",0,1)</f>
        <v/>
      </c>
    </row>
    <row r="101" spans="1:26" s="11" customFormat="1" x14ac:dyDescent="0.3">
      <c r="A101" s="14">
        <v>97</v>
      </c>
      <c r="B101" s="11" t="str">
        <f>_xlfn.XLOOKUP($A101,Centrum[Индекс],Centrum[Carrier/ Перевозчик],"",0,1)</f>
        <v/>
      </c>
      <c r="C101" s="11" t="str">
        <f>_xlfn.XLOOKUP($A101,Centrum[Индекс],Centrum[Country /  Страна],"",0,1)</f>
        <v/>
      </c>
      <c r="D101" s="11" t="str">
        <f>_xlfn.XLOOKUP($A101,Centrum[Индекс],Centrum[Container num./ 
№ контейнера],"",0,1)</f>
        <v/>
      </c>
      <c r="E101" s="11" t="str">
        <f>_xlfn.XLOOKUP($A101,Centrum[Индекс],Centrum[Supplier/
Поставщик],"",0,1)</f>
        <v/>
      </c>
      <c r="F101" s="11" t="str">
        <f>_xlfn.XLOOKUP($A101,Centrum[Индекс],Centrum[Shippers invoice no/ 
Номер инвойса поставщика],"",1)</f>
        <v/>
      </c>
      <c r="G101" s="15" t="str">
        <f>_xlfn.XLOOKUP($A101,Centrum[Индекс],Centrum[Invoice value / Стоимость груза в к-ре по инвойсу],"",0,1)</f>
        <v/>
      </c>
      <c r="H101" s="14" t="s">
        <v>40</v>
      </c>
      <c r="I101" s="11" t="str">
        <f>_xlfn.XLOOKUP($A101,Centrum[Индекс],Centrum[CBM on the shipper/ 
CBM по поставщику],"",0,1)</f>
        <v/>
      </c>
      <c r="J101" s="16" t="str">
        <f>_xlfn.XLOOKUP($A101,Centrum[Индекс],Centrum[Gross weight of cont// 
Гросс.вес по конт.],"",0,1)</f>
        <v/>
      </c>
      <c r="K101" s="17" t="str">
        <f>_xlfn.XLOOKUP($A101,Centrum[Индекс],Centrum[Route/ Маршрут (TSR/TCR)],"",0,1)</f>
        <v/>
      </c>
      <c r="L101" s="11" t="str">
        <f>_xlfn.XLOOKUP($A101,Centrum[Индекс],Centrum[Условия поставки],"",0,1)</f>
        <v/>
      </c>
      <c r="M101" s="11" t="str">
        <f>_xlfn.XLOOKUP($A101,Centrum[Индекс],Centrum[№ HBL date / 
№/ дата коносамента],"",0,1)</f>
        <v/>
      </c>
      <c r="N101" s="11" t="str">
        <f>_xlfn.XLOOKUP($A101,Centrum[Индекс],Centrum[№ MBL / 
№/ коносамента],"",0,1)</f>
        <v/>
      </c>
      <c r="O101" s="8" t="e">
        <f>(_xlfn.XLOOKUP($A101,Centrum[Индекс],Centrum[Date on board / Дата погрузки на судно],"",0,1))*1</f>
        <v>#VALUE!</v>
      </c>
      <c r="P101" s="8" t="e">
        <f>(_xlfn.XLOOKUP($A101,Centrum[Индекс],Centrum[Date of arrival to Sary-Agach/ Дата прибытия на Сары-Агач],"",0,1))*1</f>
        <v>#VALUE!</v>
      </c>
      <c r="Q101" s="14" t="str">
        <f>_xlfn.XLOOKUP($A101,Centrum[Индекс],Centrum[Container type/ 
Тип контейнера],"",0,1)</f>
        <v/>
      </c>
      <c r="R101" s="16">
        <f>_xlfn.XLOOKUP($A101,Centrum[Индекс],Centrum[Transportation cost per supplier/ 
Cтоимость перевозки по поставщикам],0,0,1)</f>
        <v>0</v>
      </c>
      <c r="S101" s="16">
        <f>Шаблон_Формулы!$T101-Шаблон_Формулы!$R101</f>
        <v>0</v>
      </c>
      <c r="T101" s="16">
        <f>_xlfn.XLOOKUP($A101,Centrum[Индекс],Centrum[Transportation total amount / Общая стоимость перевозки],0,0,1)</f>
        <v>0</v>
      </c>
      <c r="U101" s="12" cm="1">
        <f t="array" ref="U10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01" s="16">
        <f>_xlfn.XLOOKUP(Шаблон_Формулы[[#This Row],[21]],Курс_USD[Дата],Курс_USD[Курс],,0,1)</f>
        <v>11445.03</v>
      </c>
      <c r="W101" s="16">
        <f>Шаблон_Формулы!$T101*Шаблон_Формулы!$V101</f>
        <v>0</v>
      </c>
      <c r="Y101" s="16">
        <f>Шаблон_Формулы!$W101+Шаблон_Формулы!$X101</f>
        <v>0</v>
      </c>
      <c r="Z101" s="14" t="str">
        <f>_xlfn.XLOOKUP($A101,Centrum[Индекс],Centrum[Transport co invoice no/ 
Номер инвойса ТК],"",0,1)</f>
        <v/>
      </c>
    </row>
    <row r="102" spans="1:26" s="11" customFormat="1" x14ac:dyDescent="0.3">
      <c r="A102" s="14">
        <v>98</v>
      </c>
      <c r="B102" s="11" t="str">
        <f>_xlfn.XLOOKUP($A102,Centrum[Индекс],Centrum[Carrier/ Перевозчик],"",0,1)</f>
        <v/>
      </c>
      <c r="C102" s="11" t="str">
        <f>_xlfn.XLOOKUP($A102,Centrum[Индекс],Centrum[Country /  Страна],"",0,1)</f>
        <v/>
      </c>
      <c r="D102" s="11" t="str">
        <f>_xlfn.XLOOKUP($A102,Centrum[Индекс],Centrum[Container num./ 
№ контейнера],"",0,1)</f>
        <v/>
      </c>
      <c r="E102" s="11" t="str">
        <f>_xlfn.XLOOKUP($A102,Centrum[Индекс],Centrum[Supplier/
Поставщик],"",0,1)</f>
        <v/>
      </c>
      <c r="F102" s="11" t="str">
        <f>_xlfn.XLOOKUP($A102,Centrum[Индекс],Centrum[Shippers invoice no/ 
Номер инвойса поставщика],"",1)</f>
        <v/>
      </c>
      <c r="G102" s="15" t="str">
        <f>_xlfn.XLOOKUP($A102,Centrum[Индекс],Centrum[Invoice value / Стоимость груза в к-ре по инвойсу],"",0,1)</f>
        <v/>
      </c>
      <c r="H102" s="14" t="s">
        <v>40</v>
      </c>
      <c r="I102" s="11" t="str">
        <f>_xlfn.XLOOKUP($A102,Centrum[Индекс],Centrum[CBM on the shipper/ 
CBM по поставщику],"",0,1)</f>
        <v/>
      </c>
      <c r="J102" s="16" t="str">
        <f>_xlfn.XLOOKUP($A102,Centrum[Индекс],Centrum[Gross weight of cont// 
Гросс.вес по конт.],"",0,1)</f>
        <v/>
      </c>
      <c r="K102" s="17" t="str">
        <f>_xlfn.XLOOKUP($A102,Centrum[Индекс],Centrum[Route/ Маршрут (TSR/TCR)],"",0,1)</f>
        <v/>
      </c>
      <c r="L102" s="11" t="str">
        <f>_xlfn.XLOOKUP($A102,Centrum[Индекс],Centrum[Условия поставки],"",0,1)</f>
        <v/>
      </c>
      <c r="M102" s="11" t="str">
        <f>_xlfn.XLOOKUP($A102,Centrum[Индекс],Centrum[№ HBL date / 
№/ дата коносамента],"",0,1)</f>
        <v/>
      </c>
      <c r="N102" s="11" t="str">
        <f>_xlfn.XLOOKUP($A102,Centrum[Индекс],Centrum[№ MBL / 
№/ коносамента],"",0,1)</f>
        <v/>
      </c>
      <c r="O102" s="8" t="e">
        <f>(_xlfn.XLOOKUP($A102,Centrum[Индекс],Centrum[Date on board / Дата погрузки на судно],"",0,1))*1</f>
        <v>#VALUE!</v>
      </c>
      <c r="P102" s="8" t="e">
        <f>(_xlfn.XLOOKUP($A102,Centrum[Индекс],Centrum[Date of arrival to Sary-Agach/ Дата прибытия на Сары-Агач],"",0,1))*1</f>
        <v>#VALUE!</v>
      </c>
      <c r="Q102" s="14" t="str">
        <f>_xlfn.XLOOKUP($A102,Centrum[Индекс],Centrum[Container type/ 
Тип контейнера],"",0,1)</f>
        <v/>
      </c>
      <c r="R102" s="16">
        <f>_xlfn.XLOOKUP($A102,Centrum[Индекс],Centrum[Transportation cost per supplier/ 
Cтоимость перевозки по поставщикам],0,0,1)</f>
        <v>0</v>
      </c>
      <c r="S102" s="16">
        <f>Шаблон_Формулы!$T102-Шаблон_Формулы!$R102</f>
        <v>0</v>
      </c>
      <c r="T102" s="16">
        <f>_xlfn.XLOOKUP($A102,Centrum[Индекс],Centrum[Transportation total amount / Общая стоимость перевозки],0,0,1)</f>
        <v>0</v>
      </c>
      <c r="U102" s="12" cm="1">
        <f t="array" ref="U10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02" s="16">
        <f>_xlfn.XLOOKUP(Шаблон_Формулы[[#This Row],[21]],Курс_USD[Дата],Курс_USD[Курс],,0,1)</f>
        <v>11445.03</v>
      </c>
      <c r="W102" s="16">
        <f>Шаблон_Формулы!$T102*Шаблон_Формулы!$V102</f>
        <v>0</v>
      </c>
      <c r="Y102" s="16">
        <f>Шаблон_Формулы!$W102+Шаблон_Формулы!$X102</f>
        <v>0</v>
      </c>
      <c r="Z102" s="14" t="str">
        <f>_xlfn.XLOOKUP($A102,Centrum[Индекс],Centrum[Transport co invoice no/ 
Номер инвойса ТК],"",0,1)</f>
        <v/>
      </c>
    </row>
    <row r="103" spans="1:26" s="11" customFormat="1" x14ac:dyDescent="0.3">
      <c r="A103" s="14">
        <v>99</v>
      </c>
      <c r="B103" s="11" t="str">
        <f>_xlfn.XLOOKUP($A103,Centrum[Индекс],Centrum[Carrier/ Перевозчик],"",0,1)</f>
        <v/>
      </c>
      <c r="C103" s="11" t="str">
        <f>_xlfn.XLOOKUP($A103,Centrum[Индекс],Centrum[Country /  Страна],"",0,1)</f>
        <v/>
      </c>
      <c r="D103" s="11" t="str">
        <f>_xlfn.XLOOKUP($A103,Centrum[Индекс],Centrum[Container num./ 
№ контейнера],"",0,1)</f>
        <v/>
      </c>
      <c r="E103" s="11" t="str">
        <f>_xlfn.XLOOKUP($A103,Centrum[Индекс],Centrum[Supplier/
Поставщик],"",0,1)</f>
        <v/>
      </c>
      <c r="F103" s="11" t="str">
        <f>_xlfn.XLOOKUP($A103,Centrum[Индекс],Centrum[Shippers invoice no/ 
Номер инвойса поставщика],"",1)</f>
        <v/>
      </c>
      <c r="G103" s="15" t="str">
        <f>_xlfn.XLOOKUP($A103,Centrum[Индекс],Centrum[Invoice value / Стоимость груза в к-ре по инвойсу],"",0,1)</f>
        <v/>
      </c>
      <c r="H103" s="14" t="s">
        <v>40</v>
      </c>
      <c r="I103" s="11" t="str">
        <f>_xlfn.XLOOKUP($A103,Centrum[Индекс],Centrum[CBM on the shipper/ 
CBM по поставщику],"",0,1)</f>
        <v/>
      </c>
      <c r="J103" s="16" t="str">
        <f>_xlfn.XLOOKUP($A103,Centrum[Индекс],Centrum[Gross weight of cont// 
Гросс.вес по конт.],"",0,1)</f>
        <v/>
      </c>
      <c r="K103" s="17" t="str">
        <f>_xlfn.XLOOKUP($A103,Centrum[Индекс],Centrum[Route/ Маршрут (TSR/TCR)],"",0,1)</f>
        <v/>
      </c>
      <c r="L103" s="11" t="str">
        <f>_xlfn.XLOOKUP($A103,Centrum[Индекс],Centrum[Условия поставки],"",0,1)</f>
        <v/>
      </c>
      <c r="M103" s="11" t="str">
        <f>_xlfn.XLOOKUP($A103,Centrum[Индекс],Centrum[№ HBL date / 
№/ дата коносамента],"",0,1)</f>
        <v/>
      </c>
      <c r="N103" s="11" t="str">
        <f>_xlfn.XLOOKUP($A103,Centrum[Индекс],Centrum[№ MBL / 
№/ коносамента],"",0,1)</f>
        <v/>
      </c>
      <c r="O103" s="8" t="e">
        <f>(_xlfn.XLOOKUP($A103,Centrum[Индекс],Centrum[Date on board / Дата погрузки на судно],"",0,1))*1</f>
        <v>#VALUE!</v>
      </c>
      <c r="P103" s="8" t="e">
        <f>(_xlfn.XLOOKUP($A103,Centrum[Индекс],Centrum[Date of arrival to Sary-Agach/ Дата прибытия на Сары-Агач],"",0,1))*1</f>
        <v>#VALUE!</v>
      </c>
      <c r="Q103" s="14" t="str">
        <f>_xlfn.XLOOKUP($A103,Centrum[Индекс],Centrum[Container type/ 
Тип контейнера],"",0,1)</f>
        <v/>
      </c>
      <c r="R103" s="16">
        <f>_xlfn.XLOOKUP($A103,Centrum[Индекс],Centrum[Transportation cost per supplier/ 
Cтоимость перевозки по поставщикам],0,0,1)</f>
        <v>0</v>
      </c>
      <c r="S103" s="16">
        <f>Шаблон_Формулы!$T103-Шаблон_Формулы!$R103</f>
        <v>0</v>
      </c>
      <c r="T103" s="16">
        <f>_xlfn.XLOOKUP($A103,Centrum[Индекс],Centrum[Transportation total amount / Общая стоимость перевозки],0,0,1)</f>
        <v>0</v>
      </c>
      <c r="U103" s="12" cm="1">
        <f t="array" ref="U10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03" s="16">
        <f>_xlfn.XLOOKUP(Шаблон_Формулы[[#This Row],[21]],Курс_USD[Дата],Курс_USD[Курс],,0,1)</f>
        <v>11445.03</v>
      </c>
      <c r="W103" s="16">
        <f>Шаблон_Формулы!$T103*Шаблон_Формулы!$V103</f>
        <v>0</v>
      </c>
      <c r="Y103" s="16">
        <f>Шаблон_Формулы!$W103+Шаблон_Формулы!$X103</f>
        <v>0</v>
      </c>
      <c r="Z103" s="14" t="str">
        <f>_xlfn.XLOOKUP($A103,Centrum[Индекс],Centrum[Transport co invoice no/ 
Номер инвойса ТК],"",0,1)</f>
        <v/>
      </c>
    </row>
    <row r="104" spans="1:26" s="11" customFormat="1" x14ac:dyDescent="0.3">
      <c r="A104" s="14">
        <v>100</v>
      </c>
      <c r="B104" s="11" t="str">
        <f>_xlfn.XLOOKUP($A104,Centrum[Индекс],Centrum[Carrier/ Перевозчик],"",0,1)</f>
        <v/>
      </c>
      <c r="C104" s="11" t="str">
        <f>_xlfn.XLOOKUP($A104,Centrum[Индекс],Centrum[Country /  Страна],"",0,1)</f>
        <v/>
      </c>
      <c r="D104" s="11" t="str">
        <f>_xlfn.XLOOKUP($A104,Centrum[Индекс],Centrum[Container num./ 
№ контейнера],"",0,1)</f>
        <v/>
      </c>
      <c r="E104" s="11" t="str">
        <f>_xlfn.XLOOKUP($A104,Centrum[Индекс],Centrum[Supplier/
Поставщик],"",0,1)</f>
        <v/>
      </c>
      <c r="F104" s="11" t="str">
        <f>_xlfn.XLOOKUP($A104,Centrum[Индекс],Centrum[Shippers invoice no/ 
Номер инвойса поставщика],"",1)</f>
        <v/>
      </c>
      <c r="G104" s="15" t="str">
        <f>_xlfn.XLOOKUP($A104,Centrum[Индекс],Centrum[Invoice value / Стоимость груза в к-ре по инвойсу],"",0,1)</f>
        <v/>
      </c>
      <c r="H104" s="14" t="s">
        <v>40</v>
      </c>
      <c r="I104" s="11" t="str">
        <f>_xlfn.XLOOKUP($A104,Centrum[Индекс],Centrum[CBM on the shipper/ 
CBM по поставщику],"",0,1)</f>
        <v/>
      </c>
      <c r="J104" s="16" t="str">
        <f>_xlfn.XLOOKUP($A104,Centrum[Индекс],Centrum[Gross weight of cont// 
Гросс.вес по конт.],"",0,1)</f>
        <v/>
      </c>
      <c r="K104" s="17" t="str">
        <f>_xlfn.XLOOKUP($A104,Centrum[Индекс],Centrum[Route/ Маршрут (TSR/TCR)],"",0,1)</f>
        <v/>
      </c>
      <c r="L104" s="11" t="str">
        <f>_xlfn.XLOOKUP($A104,Centrum[Индекс],Centrum[Условия поставки],"",0,1)</f>
        <v/>
      </c>
      <c r="M104" s="11" t="str">
        <f>_xlfn.XLOOKUP($A104,Centrum[Индекс],Centrum[№ HBL date / 
№/ дата коносамента],"",0,1)</f>
        <v/>
      </c>
      <c r="N104" s="11" t="str">
        <f>_xlfn.XLOOKUP($A104,Centrum[Индекс],Centrum[№ MBL / 
№/ коносамента],"",0,1)</f>
        <v/>
      </c>
      <c r="O104" s="8" t="e">
        <f>(_xlfn.XLOOKUP($A104,Centrum[Индекс],Centrum[Date on board / Дата погрузки на судно],"",0,1))*1</f>
        <v>#VALUE!</v>
      </c>
      <c r="P104" s="8" t="e">
        <f>(_xlfn.XLOOKUP($A104,Centrum[Индекс],Centrum[Date of arrival to Sary-Agach/ Дата прибытия на Сары-Агач],"",0,1))*1</f>
        <v>#VALUE!</v>
      </c>
      <c r="Q104" s="14" t="str">
        <f>_xlfn.XLOOKUP($A104,Centrum[Индекс],Centrum[Container type/ 
Тип контейнера],"",0,1)</f>
        <v/>
      </c>
      <c r="R104" s="16">
        <f>_xlfn.XLOOKUP($A104,Centrum[Индекс],Centrum[Transportation cost per supplier/ 
Cтоимость перевозки по поставщикам],0,0,1)</f>
        <v>0</v>
      </c>
      <c r="S104" s="16">
        <f>Шаблон_Формулы!$T104-Шаблон_Формулы!$R104</f>
        <v>0</v>
      </c>
      <c r="T104" s="16">
        <f>_xlfn.XLOOKUP($A104,Centrum[Индекс],Centrum[Transportation total amount / Общая стоимость перевозки],0,0,1)</f>
        <v>0</v>
      </c>
      <c r="U104" s="12" cm="1">
        <f t="array" ref="U10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04" s="16">
        <f>_xlfn.XLOOKUP(Шаблон_Формулы[[#This Row],[21]],Курс_USD[Дата],Курс_USD[Курс],,0,1)</f>
        <v>11445.03</v>
      </c>
      <c r="W104" s="16">
        <f>Шаблон_Формулы!$T104*Шаблон_Формулы!$V104</f>
        <v>0</v>
      </c>
      <c r="Y104" s="16">
        <f>Шаблон_Формулы!$W104+Шаблон_Формулы!$X104</f>
        <v>0</v>
      </c>
      <c r="Z104" s="14" t="str">
        <f>_xlfn.XLOOKUP($A104,Centrum[Индекс],Centrum[Transport co invoice no/ 
Номер инвойса ТК],"",0,1)</f>
        <v/>
      </c>
    </row>
    <row r="105" spans="1:26" s="11" customFormat="1" x14ac:dyDescent="0.3">
      <c r="A105" s="14">
        <v>101</v>
      </c>
      <c r="B105" s="11" t="str">
        <f>_xlfn.XLOOKUP($A105,Centrum[Индекс],Centrum[Carrier/ Перевозчик],"",0,1)</f>
        <v/>
      </c>
      <c r="C105" s="11" t="str">
        <f>_xlfn.XLOOKUP($A105,Centrum[Индекс],Centrum[Country /  Страна],"",0,1)</f>
        <v/>
      </c>
      <c r="D105" s="11" t="str">
        <f>_xlfn.XLOOKUP($A105,Centrum[Индекс],Centrum[Container num./ 
№ контейнера],"",0,1)</f>
        <v/>
      </c>
      <c r="E105" s="11" t="str">
        <f>_xlfn.XLOOKUP($A105,Centrum[Индекс],Centrum[Supplier/
Поставщик],"",0,1)</f>
        <v/>
      </c>
      <c r="F105" s="11" t="str">
        <f>_xlfn.XLOOKUP($A105,Centrum[Индекс],Centrum[Shippers invoice no/ 
Номер инвойса поставщика],"",1)</f>
        <v/>
      </c>
      <c r="G105" s="15" t="str">
        <f>_xlfn.XLOOKUP($A105,Centrum[Индекс],Centrum[Invoice value / Стоимость груза в к-ре по инвойсу],"",0,1)</f>
        <v/>
      </c>
      <c r="H105" s="14" t="s">
        <v>40</v>
      </c>
      <c r="I105" s="11" t="str">
        <f>_xlfn.XLOOKUP($A105,Centrum[Индекс],Centrum[CBM on the shipper/ 
CBM по поставщику],"",0,1)</f>
        <v/>
      </c>
      <c r="J105" s="16" t="str">
        <f>_xlfn.XLOOKUP($A105,Centrum[Индекс],Centrum[Gross weight of cont// 
Гросс.вес по конт.],"",0,1)</f>
        <v/>
      </c>
      <c r="K105" s="17" t="str">
        <f>_xlfn.XLOOKUP($A105,Centrum[Индекс],Centrum[Route/ Маршрут (TSR/TCR)],"",0,1)</f>
        <v/>
      </c>
      <c r="L105" s="11" t="str">
        <f>_xlfn.XLOOKUP($A105,Centrum[Индекс],Centrum[Условия поставки],"",0,1)</f>
        <v/>
      </c>
      <c r="M105" s="11" t="str">
        <f>_xlfn.XLOOKUP($A105,Centrum[Индекс],Centrum[№ HBL date / 
№/ дата коносамента],"",0,1)</f>
        <v/>
      </c>
      <c r="N105" s="11" t="str">
        <f>_xlfn.XLOOKUP($A105,Centrum[Индекс],Centrum[№ MBL / 
№/ коносамента],"",0,1)</f>
        <v/>
      </c>
      <c r="O105" s="8" t="e">
        <f>(_xlfn.XLOOKUP($A105,Centrum[Индекс],Centrum[Date on board / Дата погрузки на судно],"",0,1))*1</f>
        <v>#VALUE!</v>
      </c>
      <c r="P105" s="8" t="e">
        <f>(_xlfn.XLOOKUP($A105,Centrum[Индекс],Centrum[Date of arrival to Sary-Agach/ Дата прибытия на Сары-Агач],"",0,1))*1</f>
        <v>#VALUE!</v>
      </c>
      <c r="Q105" s="14" t="str">
        <f>_xlfn.XLOOKUP($A105,Centrum[Индекс],Centrum[Container type/ 
Тип контейнера],"",0,1)</f>
        <v/>
      </c>
      <c r="R105" s="16">
        <f>_xlfn.XLOOKUP($A105,Centrum[Индекс],Centrum[Transportation cost per supplier/ 
Cтоимость перевозки по поставщикам],0,0,1)</f>
        <v>0</v>
      </c>
      <c r="S105" s="16">
        <f>Шаблон_Формулы!$T105-Шаблон_Формулы!$R105</f>
        <v>0</v>
      </c>
      <c r="T105" s="16">
        <f>_xlfn.XLOOKUP($A105,Centrum[Индекс],Centrum[Transportation total amount / Общая стоимость перевозки],0,0,1)</f>
        <v>0</v>
      </c>
      <c r="U105" s="12" cm="1">
        <f t="array" ref="U10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05" s="16">
        <f>_xlfn.XLOOKUP(Шаблон_Формулы[[#This Row],[21]],Курс_USD[Дата],Курс_USD[Курс],,0,1)</f>
        <v>11445.03</v>
      </c>
      <c r="W105" s="16">
        <f>Шаблон_Формулы!$T105*Шаблон_Формулы!$V105</f>
        <v>0</v>
      </c>
      <c r="Y105" s="16">
        <f>Шаблон_Формулы!$W105+Шаблон_Формулы!$X105</f>
        <v>0</v>
      </c>
      <c r="Z105" s="14" t="str">
        <f>_xlfn.XLOOKUP($A105,Centrum[Индекс],Centrum[Transport co invoice no/ 
Номер инвойса ТК],"",0,1)</f>
        <v/>
      </c>
    </row>
    <row r="106" spans="1:26" s="11" customFormat="1" x14ac:dyDescent="0.3">
      <c r="A106" s="14">
        <v>102</v>
      </c>
      <c r="B106" s="11" t="str">
        <f>_xlfn.XLOOKUP($A106,Centrum[Индекс],Centrum[Carrier/ Перевозчик],"",0,1)</f>
        <v/>
      </c>
      <c r="C106" s="11" t="str">
        <f>_xlfn.XLOOKUP($A106,Centrum[Индекс],Centrum[Country /  Страна],"",0,1)</f>
        <v/>
      </c>
      <c r="D106" s="11" t="str">
        <f>_xlfn.XLOOKUP($A106,Centrum[Индекс],Centrum[Container num./ 
№ контейнера],"",0,1)</f>
        <v/>
      </c>
      <c r="E106" s="11" t="str">
        <f>_xlfn.XLOOKUP($A106,Centrum[Индекс],Centrum[Supplier/
Поставщик],"",0,1)</f>
        <v/>
      </c>
      <c r="F106" s="11" t="str">
        <f>_xlfn.XLOOKUP($A106,Centrum[Индекс],Centrum[Shippers invoice no/ 
Номер инвойса поставщика],"",1)</f>
        <v/>
      </c>
      <c r="G106" s="15" t="str">
        <f>_xlfn.XLOOKUP($A106,Centrum[Индекс],Centrum[Invoice value / Стоимость груза в к-ре по инвойсу],"",0,1)</f>
        <v/>
      </c>
      <c r="H106" s="14" t="s">
        <v>40</v>
      </c>
      <c r="I106" s="11" t="str">
        <f>_xlfn.XLOOKUP($A106,Centrum[Индекс],Centrum[CBM on the shipper/ 
CBM по поставщику],"",0,1)</f>
        <v/>
      </c>
      <c r="J106" s="16" t="str">
        <f>_xlfn.XLOOKUP($A106,Centrum[Индекс],Centrum[Gross weight of cont// 
Гросс.вес по конт.],"",0,1)</f>
        <v/>
      </c>
      <c r="K106" s="17" t="str">
        <f>_xlfn.XLOOKUP($A106,Centrum[Индекс],Centrum[Route/ Маршрут (TSR/TCR)],"",0,1)</f>
        <v/>
      </c>
      <c r="L106" s="11" t="str">
        <f>_xlfn.XLOOKUP($A106,Centrum[Индекс],Centrum[Условия поставки],"",0,1)</f>
        <v/>
      </c>
      <c r="M106" s="11" t="str">
        <f>_xlfn.XLOOKUP($A106,Centrum[Индекс],Centrum[№ HBL date / 
№/ дата коносамента],"",0,1)</f>
        <v/>
      </c>
      <c r="N106" s="11" t="str">
        <f>_xlfn.XLOOKUP($A106,Centrum[Индекс],Centrum[№ MBL / 
№/ коносамента],"",0,1)</f>
        <v/>
      </c>
      <c r="O106" s="8" t="e">
        <f>(_xlfn.XLOOKUP($A106,Centrum[Индекс],Centrum[Date on board / Дата погрузки на судно],"",0,1))*1</f>
        <v>#VALUE!</v>
      </c>
      <c r="P106" s="8" t="e">
        <f>(_xlfn.XLOOKUP($A106,Centrum[Индекс],Centrum[Date of arrival to Sary-Agach/ Дата прибытия на Сары-Агач],"",0,1))*1</f>
        <v>#VALUE!</v>
      </c>
      <c r="Q106" s="14" t="str">
        <f>_xlfn.XLOOKUP($A106,Centrum[Индекс],Centrum[Container type/ 
Тип контейнера],"",0,1)</f>
        <v/>
      </c>
      <c r="R106" s="16">
        <f>_xlfn.XLOOKUP($A106,Centrum[Индекс],Centrum[Transportation cost per supplier/ 
Cтоимость перевозки по поставщикам],0,0,1)</f>
        <v>0</v>
      </c>
      <c r="S106" s="16">
        <f>Шаблон_Формулы!$T106-Шаблон_Формулы!$R106</f>
        <v>0</v>
      </c>
      <c r="T106" s="16">
        <f>_xlfn.XLOOKUP($A106,Centrum[Индекс],Centrum[Transportation total amount / Общая стоимость перевозки],0,0,1)</f>
        <v>0</v>
      </c>
      <c r="U106" s="12" cm="1">
        <f t="array" ref="U10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06" s="16">
        <f>_xlfn.XLOOKUP(Шаблон_Формулы[[#This Row],[21]],Курс_USD[Дата],Курс_USD[Курс],,0,1)</f>
        <v>11445.03</v>
      </c>
      <c r="W106" s="16">
        <f>Шаблон_Формулы!$T106*Шаблон_Формулы!$V106</f>
        <v>0</v>
      </c>
      <c r="Y106" s="16">
        <f>Шаблон_Формулы!$W106+Шаблон_Формулы!$X106</f>
        <v>0</v>
      </c>
      <c r="Z106" s="14" t="str">
        <f>_xlfn.XLOOKUP($A106,Centrum[Индекс],Centrum[Transport co invoice no/ 
Номер инвойса ТК],"",0,1)</f>
        <v/>
      </c>
    </row>
    <row r="107" spans="1:26" s="11" customFormat="1" x14ac:dyDescent="0.3">
      <c r="A107" s="14">
        <v>103</v>
      </c>
      <c r="B107" s="11" t="str">
        <f>_xlfn.XLOOKUP($A107,Centrum[Индекс],Centrum[Carrier/ Перевозчик],"",0,1)</f>
        <v/>
      </c>
      <c r="C107" s="11" t="str">
        <f>_xlfn.XLOOKUP($A107,Centrum[Индекс],Centrum[Country /  Страна],"",0,1)</f>
        <v/>
      </c>
      <c r="D107" s="11" t="str">
        <f>_xlfn.XLOOKUP($A107,Centrum[Индекс],Centrum[Container num./ 
№ контейнера],"",0,1)</f>
        <v/>
      </c>
      <c r="E107" s="11" t="str">
        <f>_xlfn.XLOOKUP($A107,Centrum[Индекс],Centrum[Supplier/
Поставщик],"",0,1)</f>
        <v/>
      </c>
      <c r="F107" s="11" t="str">
        <f>_xlfn.XLOOKUP($A107,Centrum[Индекс],Centrum[Shippers invoice no/ 
Номер инвойса поставщика],"",1)</f>
        <v/>
      </c>
      <c r="G107" s="15" t="str">
        <f>_xlfn.XLOOKUP($A107,Centrum[Индекс],Centrum[Invoice value / Стоимость груза в к-ре по инвойсу],"",0,1)</f>
        <v/>
      </c>
      <c r="H107" s="14" t="s">
        <v>40</v>
      </c>
      <c r="I107" s="11" t="str">
        <f>_xlfn.XLOOKUP($A107,Centrum[Индекс],Centrum[CBM on the shipper/ 
CBM по поставщику],"",0,1)</f>
        <v/>
      </c>
      <c r="J107" s="16" t="str">
        <f>_xlfn.XLOOKUP($A107,Centrum[Индекс],Centrum[Gross weight of cont// 
Гросс.вес по конт.],"",0,1)</f>
        <v/>
      </c>
      <c r="K107" s="17" t="str">
        <f>_xlfn.XLOOKUP($A107,Centrum[Индекс],Centrum[Route/ Маршрут (TSR/TCR)],"",0,1)</f>
        <v/>
      </c>
      <c r="L107" s="11" t="str">
        <f>_xlfn.XLOOKUP($A107,Centrum[Индекс],Centrum[Условия поставки],"",0,1)</f>
        <v/>
      </c>
      <c r="M107" s="11" t="str">
        <f>_xlfn.XLOOKUP($A107,Centrum[Индекс],Centrum[№ HBL date / 
№/ дата коносамента],"",0,1)</f>
        <v/>
      </c>
      <c r="N107" s="11" t="str">
        <f>_xlfn.XLOOKUP($A107,Centrum[Индекс],Centrum[№ MBL / 
№/ коносамента],"",0,1)</f>
        <v/>
      </c>
      <c r="O107" s="8" t="e">
        <f>(_xlfn.XLOOKUP($A107,Centrum[Индекс],Centrum[Date on board / Дата погрузки на судно],"",0,1))*1</f>
        <v>#VALUE!</v>
      </c>
      <c r="P107" s="8" t="e">
        <f>(_xlfn.XLOOKUP($A107,Centrum[Индекс],Centrum[Date of arrival to Sary-Agach/ Дата прибытия на Сары-Агач],"",0,1))*1</f>
        <v>#VALUE!</v>
      </c>
      <c r="Q107" s="14" t="str">
        <f>_xlfn.XLOOKUP($A107,Centrum[Индекс],Centrum[Container type/ 
Тип контейнера],"",0,1)</f>
        <v/>
      </c>
      <c r="R107" s="16">
        <f>_xlfn.XLOOKUP($A107,Centrum[Индекс],Centrum[Transportation cost per supplier/ 
Cтоимость перевозки по поставщикам],0,0,1)</f>
        <v>0</v>
      </c>
      <c r="S107" s="16">
        <f>Шаблон_Формулы!$T107-Шаблон_Формулы!$R107</f>
        <v>0</v>
      </c>
      <c r="T107" s="16">
        <f>_xlfn.XLOOKUP($A107,Centrum[Индекс],Centrum[Transportation total amount / Общая стоимость перевозки],0,0,1)</f>
        <v>0</v>
      </c>
      <c r="U107" s="12" cm="1">
        <f t="array" ref="U10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07" s="16">
        <f>_xlfn.XLOOKUP(Шаблон_Формулы[[#This Row],[21]],Курс_USD[Дата],Курс_USD[Курс],,0,1)</f>
        <v>11445.03</v>
      </c>
      <c r="W107" s="16">
        <f>Шаблон_Формулы!$T107*Шаблон_Формулы!$V107</f>
        <v>0</v>
      </c>
      <c r="Y107" s="16">
        <f>Шаблон_Формулы!$W107+Шаблон_Формулы!$X107</f>
        <v>0</v>
      </c>
      <c r="Z107" s="14" t="str">
        <f>_xlfn.XLOOKUP($A107,Centrum[Индекс],Centrum[Transport co invoice no/ 
Номер инвойса ТК],"",0,1)</f>
        <v/>
      </c>
    </row>
    <row r="108" spans="1:26" s="11" customFormat="1" x14ac:dyDescent="0.3">
      <c r="A108" s="14">
        <v>104</v>
      </c>
      <c r="B108" s="11" t="str">
        <f>_xlfn.XLOOKUP($A108,Centrum[Индекс],Centrum[Carrier/ Перевозчик],"",0,1)</f>
        <v/>
      </c>
      <c r="C108" s="11" t="str">
        <f>_xlfn.XLOOKUP($A108,Centrum[Индекс],Centrum[Country /  Страна],"",0,1)</f>
        <v/>
      </c>
      <c r="D108" s="11" t="str">
        <f>_xlfn.XLOOKUP($A108,Centrum[Индекс],Centrum[Container num./ 
№ контейнера],"",0,1)</f>
        <v/>
      </c>
      <c r="E108" s="11" t="str">
        <f>_xlfn.XLOOKUP($A108,Centrum[Индекс],Centrum[Supplier/
Поставщик],"",0,1)</f>
        <v/>
      </c>
      <c r="F108" s="11" t="str">
        <f>_xlfn.XLOOKUP($A108,Centrum[Индекс],Centrum[Shippers invoice no/ 
Номер инвойса поставщика],"",1)</f>
        <v/>
      </c>
      <c r="G108" s="15" t="str">
        <f>_xlfn.XLOOKUP($A108,Centrum[Индекс],Centrum[Invoice value / Стоимость груза в к-ре по инвойсу],"",0,1)</f>
        <v/>
      </c>
      <c r="H108" s="14" t="s">
        <v>40</v>
      </c>
      <c r="I108" s="11" t="str">
        <f>_xlfn.XLOOKUP($A108,Centrum[Индекс],Centrum[CBM on the shipper/ 
CBM по поставщику],"",0,1)</f>
        <v/>
      </c>
      <c r="J108" s="16" t="str">
        <f>_xlfn.XLOOKUP($A108,Centrum[Индекс],Centrum[Gross weight of cont// 
Гросс.вес по конт.],"",0,1)</f>
        <v/>
      </c>
      <c r="K108" s="17" t="str">
        <f>_xlfn.XLOOKUP($A108,Centrum[Индекс],Centrum[Route/ Маршрут (TSR/TCR)],"",0,1)</f>
        <v/>
      </c>
      <c r="L108" s="11" t="str">
        <f>_xlfn.XLOOKUP($A108,Centrum[Индекс],Centrum[Условия поставки],"",0,1)</f>
        <v/>
      </c>
      <c r="M108" s="11" t="str">
        <f>_xlfn.XLOOKUP($A108,Centrum[Индекс],Centrum[№ HBL date / 
№/ дата коносамента],"",0,1)</f>
        <v/>
      </c>
      <c r="N108" s="11" t="str">
        <f>_xlfn.XLOOKUP($A108,Centrum[Индекс],Centrum[№ MBL / 
№/ коносамента],"",0,1)</f>
        <v/>
      </c>
      <c r="O108" s="8" t="e">
        <f>(_xlfn.XLOOKUP($A108,Centrum[Индекс],Centrum[Date on board / Дата погрузки на судно],"",0,1))*1</f>
        <v>#VALUE!</v>
      </c>
      <c r="P108" s="8" t="e">
        <f>(_xlfn.XLOOKUP($A108,Centrum[Индекс],Centrum[Date of arrival to Sary-Agach/ Дата прибытия на Сары-Агач],"",0,1))*1</f>
        <v>#VALUE!</v>
      </c>
      <c r="Q108" s="14" t="str">
        <f>_xlfn.XLOOKUP($A108,Centrum[Индекс],Centrum[Container type/ 
Тип контейнера],"",0,1)</f>
        <v/>
      </c>
      <c r="R108" s="16">
        <f>_xlfn.XLOOKUP($A108,Centrum[Индекс],Centrum[Transportation cost per supplier/ 
Cтоимость перевозки по поставщикам],0,0,1)</f>
        <v>0</v>
      </c>
      <c r="S108" s="16">
        <f>Шаблон_Формулы!$T108-Шаблон_Формулы!$R108</f>
        <v>0</v>
      </c>
      <c r="T108" s="16">
        <f>_xlfn.XLOOKUP($A108,Centrum[Индекс],Centrum[Transportation total amount / Общая стоимость перевозки],0,0,1)</f>
        <v>0</v>
      </c>
      <c r="U108" s="12" cm="1">
        <f t="array" ref="U10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08" s="16">
        <f>_xlfn.XLOOKUP(Шаблон_Формулы[[#This Row],[21]],Курс_USD[Дата],Курс_USD[Курс],,0,1)</f>
        <v>11445.03</v>
      </c>
      <c r="W108" s="16">
        <f>Шаблон_Формулы!$T108*Шаблон_Формулы!$V108</f>
        <v>0</v>
      </c>
      <c r="Y108" s="16">
        <f>Шаблон_Формулы!$W108+Шаблон_Формулы!$X108</f>
        <v>0</v>
      </c>
      <c r="Z108" s="14" t="str">
        <f>_xlfn.XLOOKUP($A108,Centrum[Индекс],Centrum[Transport co invoice no/ 
Номер инвойса ТК],"",0,1)</f>
        <v/>
      </c>
    </row>
    <row r="109" spans="1:26" s="11" customFormat="1" x14ac:dyDescent="0.3">
      <c r="A109" s="14">
        <v>105</v>
      </c>
      <c r="B109" s="11" t="str">
        <f>_xlfn.XLOOKUP($A109,Centrum[Индекс],Centrum[Carrier/ Перевозчик],"",0,1)</f>
        <v/>
      </c>
      <c r="C109" s="11" t="str">
        <f>_xlfn.XLOOKUP($A109,Centrum[Индекс],Centrum[Country /  Страна],"",0,1)</f>
        <v/>
      </c>
      <c r="D109" s="11" t="str">
        <f>_xlfn.XLOOKUP($A109,Centrum[Индекс],Centrum[Container num./ 
№ контейнера],"",0,1)</f>
        <v/>
      </c>
      <c r="E109" s="11" t="str">
        <f>_xlfn.XLOOKUP($A109,Centrum[Индекс],Centrum[Supplier/
Поставщик],"",0,1)</f>
        <v/>
      </c>
      <c r="F109" s="11" t="str">
        <f>_xlfn.XLOOKUP($A109,Centrum[Индекс],Centrum[Shippers invoice no/ 
Номер инвойса поставщика],"",1)</f>
        <v/>
      </c>
      <c r="G109" s="15" t="str">
        <f>_xlfn.XLOOKUP($A109,Centrum[Индекс],Centrum[Invoice value / Стоимость груза в к-ре по инвойсу],"",0,1)</f>
        <v/>
      </c>
      <c r="H109" s="14" t="s">
        <v>40</v>
      </c>
      <c r="I109" s="11" t="str">
        <f>_xlfn.XLOOKUP($A109,Centrum[Индекс],Centrum[CBM on the shipper/ 
CBM по поставщику],"",0,1)</f>
        <v/>
      </c>
      <c r="J109" s="16" t="str">
        <f>_xlfn.XLOOKUP($A109,Centrum[Индекс],Centrum[Gross weight of cont// 
Гросс.вес по конт.],"",0,1)</f>
        <v/>
      </c>
      <c r="K109" s="17" t="str">
        <f>_xlfn.XLOOKUP($A109,Centrum[Индекс],Centrum[Route/ Маршрут (TSR/TCR)],"",0,1)</f>
        <v/>
      </c>
      <c r="L109" s="11" t="str">
        <f>_xlfn.XLOOKUP($A109,Centrum[Индекс],Centrum[Условия поставки],"",0,1)</f>
        <v/>
      </c>
      <c r="M109" s="11" t="str">
        <f>_xlfn.XLOOKUP($A109,Centrum[Индекс],Centrum[№ HBL date / 
№/ дата коносамента],"",0,1)</f>
        <v/>
      </c>
      <c r="N109" s="11" t="str">
        <f>_xlfn.XLOOKUP($A109,Centrum[Индекс],Centrum[№ MBL / 
№/ коносамента],"",0,1)</f>
        <v/>
      </c>
      <c r="O109" s="8" t="e">
        <f>(_xlfn.XLOOKUP($A109,Centrum[Индекс],Centrum[Date on board / Дата погрузки на судно],"",0,1))*1</f>
        <v>#VALUE!</v>
      </c>
      <c r="P109" s="8" t="e">
        <f>(_xlfn.XLOOKUP($A109,Centrum[Индекс],Centrum[Date of arrival to Sary-Agach/ Дата прибытия на Сары-Агач],"",0,1))*1</f>
        <v>#VALUE!</v>
      </c>
      <c r="Q109" s="14" t="str">
        <f>_xlfn.XLOOKUP($A109,Centrum[Индекс],Centrum[Container type/ 
Тип контейнера],"",0,1)</f>
        <v/>
      </c>
      <c r="R109" s="16">
        <f>_xlfn.XLOOKUP($A109,Centrum[Индекс],Centrum[Transportation cost per supplier/ 
Cтоимость перевозки по поставщикам],0,0,1)</f>
        <v>0</v>
      </c>
      <c r="S109" s="16">
        <f>Шаблон_Формулы!$T109-Шаблон_Формулы!$R109</f>
        <v>0</v>
      </c>
      <c r="T109" s="16">
        <f>_xlfn.XLOOKUP($A109,Centrum[Индекс],Centrum[Transportation total amount / Общая стоимость перевозки],0,0,1)</f>
        <v>0</v>
      </c>
      <c r="U109" s="12" cm="1">
        <f t="array" ref="U10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09" s="16">
        <f>_xlfn.XLOOKUP(Шаблон_Формулы[[#This Row],[21]],Курс_USD[Дата],Курс_USD[Курс],,0,1)</f>
        <v>11445.03</v>
      </c>
      <c r="W109" s="16">
        <f>Шаблон_Формулы!$T109*Шаблон_Формулы!$V109</f>
        <v>0</v>
      </c>
      <c r="Y109" s="16">
        <f>Шаблон_Формулы!$W109+Шаблон_Формулы!$X109</f>
        <v>0</v>
      </c>
      <c r="Z109" s="14" t="str">
        <f>_xlfn.XLOOKUP($A109,Centrum[Индекс],Centrum[Transport co invoice no/ 
Номер инвойса ТК],"",0,1)</f>
        <v/>
      </c>
    </row>
    <row r="110" spans="1:26" s="11" customFormat="1" x14ac:dyDescent="0.3">
      <c r="A110" s="14">
        <v>106</v>
      </c>
      <c r="B110" s="11" t="str">
        <f>_xlfn.XLOOKUP($A110,Centrum[Индекс],Centrum[Carrier/ Перевозчик],"",0,1)</f>
        <v/>
      </c>
      <c r="C110" s="11" t="str">
        <f>_xlfn.XLOOKUP($A110,Centrum[Индекс],Centrum[Country /  Страна],"",0,1)</f>
        <v/>
      </c>
      <c r="D110" s="11" t="str">
        <f>_xlfn.XLOOKUP($A110,Centrum[Индекс],Centrum[Container num./ 
№ контейнера],"",0,1)</f>
        <v/>
      </c>
      <c r="E110" s="11" t="str">
        <f>_xlfn.XLOOKUP($A110,Centrum[Индекс],Centrum[Supplier/
Поставщик],"",0,1)</f>
        <v/>
      </c>
      <c r="F110" s="11" t="str">
        <f>_xlfn.XLOOKUP($A110,Centrum[Индекс],Centrum[Shippers invoice no/ 
Номер инвойса поставщика],"",1)</f>
        <v/>
      </c>
      <c r="G110" s="15" t="str">
        <f>_xlfn.XLOOKUP($A110,Centrum[Индекс],Centrum[Invoice value / Стоимость груза в к-ре по инвойсу],"",0,1)</f>
        <v/>
      </c>
      <c r="H110" s="14" t="s">
        <v>40</v>
      </c>
      <c r="I110" s="11" t="str">
        <f>_xlfn.XLOOKUP($A110,Centrum[Индекс],Centrum[CBM on the shipper/ 
CBM по поставщику],"",0,1)</f>
        <v/>
      </c>
      <c r="J110" s="16" t="str">
        <f>_xlfn.XLOOKUP($A110,Centrum[Индекс],Centrum[Gross weight of cont// 
Гросс.вес по конт.],"",0,1)</f>
        <v/>
      </c>
      <c r="K110" s="17" t="str">
        <f>_xlfn.XLOOKUP($A110,Centrum[Индекс],Centrum[Route/ Маршрут (TSR/TCR)],"",0,1)</f>
        <v/>
      </c>
      <c r="L110" s="11" t="str">
        <f>_xlfn.XLOOKUP($A110,Centrum[Индекс],Centrum[Условия поставки],"",0,1)</f>
        <v/>
      </c>
      <c r="M110" s="11" t="str">
        <f>_xlfn.XLOOKUP($A110,Centrum[Индекс],Centrum[№ HBL date / 
№/ дата коносамента],"",0,1)</f>
        <v/>
      </c>
      <c r="N110" s="11" t="str">
        <f>_xlfn.XLOOKUP($A110,Centrum[Индекс],Centrum[№ MBL / 
№/ коносамента],"",0,1)</f>
        <v/>
      </c>
      <c r="O110" s="8" t="e">
        <f>(_xlfn.XLOOKUP($A110,Centrum[Индекс],Centrum[Date on board / Дата погрузки на судно],"",0,1))*1</f>
        <v>#VALUE!</v>
      </c>
      <c r="P110" s="8" t="e">
        <f>(_xlfn.XLOOKUP($A110,Centrum[Индекс],Centrum[Date of arrival to Sary-Agach/ Дата прибытия на Сары-Агач],"",0,1))*1</f>
        <v>#VALUE!</v>
      </c>
      <c r="Q110" s="14" t="str">
        <f>_xlfn.XLOOKUP($A110,Centrum[Индекс],Centrum[Container type/ 
Тип контейнера],"",0,1)</f>
        <v/>
      </c>
      <c r="R110" s="16">
        <f>_xlfn.XLOOKUP($A110,Centrum[Индекс],Centrum[Transportation cost per supplier/ 
Cтоимость перевозки по поставщикам],0,0,1)</f>
        <v>0</v>
      </c>
      <c r="S110" s="16">
        <f>Шаблон_Формулы!$T110-Шаблон_Формулы!$R110</f>
        <v>0</v>
      </c>
      <c r="T110" s="16">
        <f>_xlfn.XLOOKUP($A110,Centrum[Индекс],Centrum[Transportation total amount / Общая стоимость перевозки],0,0,1)</f>
        <v>0</v>
      </c>
      <c r="U110" s="12" cm="1">
        <f t="array" ref="U11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10" s="16">
        <f>_xlfn.XLOOKUP(Шаблон_Формулы[[#This Row],[21]],Курс_USD[Дата],Курс_USD[Курс],,0,1)</f>
        <v>11445.03</v>
      </c>
      <c r="W110" s="16">
        <f>Шаблон_Формулы!$T110*Шаблон_Формулы!$V110</f>
        <v>0</v>
      </c>
      <c r="Y110" s="16">
        <f>Шаблон_Формулы!$W110+Шаблон_Формулы!$X110</f>
        <v>0</v>
      </c>
      <c r="Z110" s="14" t="str">
        <f>_xlfn.XLOOKUP($A110,Centrum[Индекс],Centrum[Transport co invoice no/ 
Номер инвойса ТК],"",0,1)</f>
        <v/>
      </c>
    </row>
    <row r="111" spans="1:26" s="11" customFormat="1" x14ac:dyDescent="0.3">
      <c r="A111" s="14">
        <v>107</v>
      </c>
      <c r="B111" s="11" t="str">
        <f>_xlfn.XLOOKUP($A111,Centrum[Индекс],Centrum[Carrier/ Перевозчик],"",0,1)</f>
        <v/>
      </c>
      <c r="C111" s="11" t="str">
        <f>_xlfn.XLOOKUP($A111,Centrum[Индекс],Centrum[Country /  Страна],"",0,1)</f>
        <v/>
      </c>
      <c r="D111" s="11" t="str">
        <f>_xlfn.XLOOKUP($A111,Centrum[Индекс],Centrum[Container num./ 
№ контейнера],"",0,1)</f>
        <v/>
      </c>
      <c r="E111" s="11" t="str">
        <f>_xlfn.XLOOKUP($A111,Centrum[Индекс],Centrum[Supplier/
Поставщик],"",0,1)</f>
        <v/>
      </c>
      <c r="F111" s="11" t="str">
        <f>_xlfn.XLOOKUP($A111,Centrum[Индекс],Centrum[Shippers invoice no/ 
Номер инвойса поставщика],"",1)</f>
        <v/>
      </c>
      <c r="G111" s="15" t="str">
        <f>_xlfn.XLOOKUP($A111,Centrum[Индекс],Centrum[Invoice value / Стоимость груза в к-ре по инвойсу],"",0,1)</f>
        <v/>
      </c>
      <c r="H111" s="14" t="s">
        <v>40</v>
      </c>
      <c r="I111" s="11" t="str">
        <f>_xlfn.XLOOKUP($A111,Centrum[Индекс],Centrum[CBM on the shipper/ 
CBM по поставщику],"",0,1)</f>
        <v/>
      </c>
      <c r="J111" s="16" t="str">
        <f>_xlfn.XLOOKUP($A111,Centrum[Индекс],Centrum[Gross weight of cont// 
Гросс.вес по конт.],"",0,1)</f>
        <v/>
      </c>
      <c r="K111" s="17" t="str">
        <f>_xlfn.XLOOKUP($A111,Centrum[Индекс],Centrum[Route/ Маршрут (TSR/TCR)],"",0,1)</f>
        <v/>
      </c>
      <c r="L111" s="11" t="str">
        <f>_xlfn.XLOOKUP($A111,Centrum[Индекс],Centrum[Условия поставки],"",0,1)</f>
        <v/>
      </c>
      <c r="M111" s="11" t="str">
        <f>_xlfn.XLOOKUP($A111,Centrum[Индекс],Centrum[№ HBL date / 
№/ дата коносамента],"",0,1)</f>
        <v/>
      </c>
      <c r="N111" s="11" t="str">
        <f>_xlfn.XLOOKUP($A111,Centrum[Индекс],Centrum[№ MBL / 
№/ коносамента],"",0,1)</f>
        <v/>
      </c>
      <c r="O111" s="8" t="e">
        <f>(_xlfn.XLOOKUP($A111,Centrum[Индекс],Centrum[Date on board / Дата погрузки на судно],"",0,1))*1</f>
        <v>#VALUE!</v>
      </c>
      <c r="P111" s="8" t="e">
        <f>(_xlfn.XLOOKUP($A111,Centrum[Индекс],Centrum[Date of arrival to Sary-Agach/ Дата прибытия на Сары-Агач],"",0,1))*1</f>
        <v>#VALUE!</v>
      </c>
      <c r="Q111" s="14" t="str">
        <f>_xlfn.XLOOKUP($A111,Centrum[Индекс],Centrum[Container type/ 
Тип контейнера],"",0,1)</f>
        <v/>
      </c>
      <c r="R111" s="16">
        <f>_xlfn.XLOOKUP($A111,Centrum[Индекс],Centrum[Transportation cost per supplier/ 
Cтоимость перевозки по поставщикам],0,0,1)</f>
        <v>0</v>
      </c>
      <c r="S111" s="16">
        <f>Шаблон_Формулы!$T111-Шаблон_Формулы!$R111</f>
        <v>0</v>
      </c>
      <c r="T111" s="16">
        <f>_xlfn.XLOOKUP($A111,Centrum[Индекс],Centrum[Transportation total amount / Общая стоимость перевозки],0,0,1)</f>
        <v>0</v>
      </c>
      <c r="U111" s="12" cm="1">
        <f t="array" ref="U11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11" s="16">
        <f>_xlfn.XLOOKUP(Шаблон_Формулы[[#This Row],[21]],Курс_USD[Дата],Курс_USD[Курс],,0,1)</f>
        <v>11445.03</v>
      </c>
      <c r="W111" s="16">
        <f>Шаблон_Формулы!$T111*Шаблон_Формулы!$V111</f>
        <v>0</v>
      </c>
      <c r="Y111" s="16">
        <f>Шаблон_Формулы!$W111+Шаблон_Формулы!$X111</f>
        <v>0</v>
      </c>
      <c r="Z111" s="14" t="str">
        <f>_xlfn.XLOOKUP($A111,Centrum[Индекс],Centrum[Transport co invoice no/ 
Номер инвойса ТК],"",0,1)</f>
        <v/>
      </c>
    </row>
    <row r="112" spans="1:26" s="11" customFormat="1" x14ac:dyDescent="0.3">
      <c r="A112" s="14">
        <v>108</v>
      </c>
      <c r="B112" s="11" t="str">
        <f>_xlfn.XLOOKUP($A112,Centrum[Индекс],Centrum[Carrier/ Перевозчик],"",0,1)</f>
        <v/>
      </c>
      <c r="C112" s="11" t="str">
        <f>_xlfn.XLOOKUP($A112,Centrum[Индекс],Centrum[Country /  Страна],"",0,1)</f>
        <v/>
      </c>
      <c r="D112" s="11" t="str">
        <f>_xlfn.XLOOKUP($A112,Centrum[Индекс],Centrum[Container num./ 
№ контейнера],"",0,1)</f>
        <v/>
      </c>
      <c r="E112" s="11" t="str">
        <f>_xlfn.XLOOKUP($A112,Centrum[Индекс],Centrum[Supplier/
Поставщик],"",0,1)</f>
        <v/>
      </c>
      <c r="F112" s="11" t="str">
        <f>_xlfn.XLOOKUP($A112,Centrum[Индекс],Centrum[Shippers invoice no/ 
Номер инвойса поставщика],"",1)</f>
        <v/>
      </c>
      <c r="G112" s="15" t="str">
        <f>_xlfn.XLOOKUP($A112,Centrum[Индекс],Centrum[Invoice value / Стоимость груза в к-ре по инвойсу],"",0,1)</f>
        <v/>
      </c>
      <c r="H112" s="14" t="s">
        <v>40</v>
      </c>
      <c r="I112" s="11" t="str">
        <f>_xlfn.XLOOKUP($A112,Centrum[Индекс],Centrum[CBM on the shipper/ 
CBM по поставщику],"",0,1)</f>
        <v/>
      </c>
      <c r="J112" s="16" t="str">
        <f>_xlfn.XLOOKUP($A112,Centrum[Индекс],Centrum[Gross weight of cont// 
Гросс.вес по конт.],"",0,1)</f>
        <v/>
      </c>
      <c r="K112" s="17" t="str">
        <f>_xlfn.XLOOKUP($A112,Centrum[Индекс],Centrum[Route/ Маршрут (TSR/TCR)],"",0,1)</f>
        <v/>
      </c>
      <c r="L112" s="11" t="str">
        <f>_xlfn.XLOOKUP($A112,Centrum[Индекс],Centrum[Условия поставки],"",0,1)</f>
        <v/>
      </c>
      <c r="M112" s="11" t="str">
        <f>_xlfn.XLOOKUP($A112,Centrum[Индекс],Centrum[№ HBL date / 
№/ дата коносамента],"",0,1)</f>
        <v/>
      </c>
      <c r="N112" s="11" t="str">
        <f>_xlfn.XLOOKUP($A112,Centrum[Индекс],Centrum[№ MBL / 
№/ коносамента],"",0,1)</f>
        <v/>
      </c>
      <c r="O112" s="8" t="e">
        <f>(_xlfn.XLOOKUP($A112,Centrum[Индекс],Centrum[Date on board / Дата погрузки на судно],"",0,1))*1</f>
        <v>#VALUE!</v>
      </c>
      <c r="P112" s="8" t="e">
        <f>(_xlfn.XLOOKUP($A112,Centrum[Индекс],Centrum[Date of arrival to Sary-Agach/ Дата прибытия на Сары-Агач],"",0,1))*1</f>
        <v>#VALUE!</v>
      </c>
      <c r="Q112" s="14" t="str">
        <f>_xlfn.XLOOKUP($A112,Centrum[Индекс],Centrum[Container type/ 
Тип контейнера],"",0,1)</f>
        <v/>
      </c>
      <c r="R112" s="16">
        <f>_xlfn.XLOOKUP($A112,Centrum[Индекс],Centrum[Transportation cost per supplier/ 
Cтоимость перевозки по поставщикам],0,0,1)</f>
        <v>0</v>
      </c>
      <c r="S112" s="16">
        <f>Шаблон_Формулы!$T112-Шаблон_Формулы!$R112</f>
        <v>0</v>
      </c>
      <c r="T112" s="16">
        <f>_xlfn.XLOOKUP($A112,Centrum[Индекс],Centrum[Transportation total amount / Общая стоимость перевозки],0,0,1)</f>
        <v>0</v>
      </c>
      <c r="U112" s="12" cm="1">
        <f t="array" ref="U11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12" s="16">
        <f>_xlfn.XLOOKUP(Шаблон_Формулы[[#This Row],[21]],Курс_USD[Дата],Курс_USD[Курс],,0,1)</f>
        <v>11445.03</v>
      </c>
      <c r="W112" s="16">
        <f>Шаблон_Формулы!$T112*Шаблон_Формулы!$V112</f>
        <v>0</v>
      </c>
      <c r="Y112" s="16">
        <f>Шаблон_Формулы!$W112+Шаблон_Формулы!$X112</f>
        <v>0</v>
      </c>
      <c r="Z112" s="14" t="str">
        <f>_xlfn.XLOOKUP($A112,Centrum[Индекс],Centrum[Transport co invoice no/ 
Номер инвойса ТК],"",0,1)</f>
        <v/>
      </c>
    </row>
    <row r="113" spans="1:26" s="11" customFormat="1" x14ac:dyDescent="0.3">
      <c r="A113" s="14">
        <v>109</v>
      </c>
      <c r="B113" s="11" t="str">
        <f>_xlfn.XLOOKUP($A113,Centrum[Индекс],Centrum[Carrier/ Перевозчик],"",0,1)</f>
        <v/>
      </c>
      <c r="C113" s="11" t="str">
        <f>_xlfn.XLOOKUP($A113,Centrum[Индекс],Centrum[Country /  Страна],"",0,1)</f>
        <v/>
      </c>
      <c r="D113" s="11" t="str">
        <f>_xlfn.XLOOKUP($A113,Centrum[Индекс],Centrum[Container num./ 
№ контейнера],"",0,1)</f>
        <v/>
      </c>
      <c r="E113" s="11" t="str">
        <f>_xlfn.XLOOKUP($A113,Centrum[Индекс],Centrum[Supplier/
Поставщик],"",0,1)</f>
        <v/>
      </c>
      <c r="F113" s="11" t="str">
        <f>_xlfn.XLOOKUP($A113,Centrum[Индекс],Centrum[Shippers invoice no/ 
Номер инвойса поставщика],"",1)</f>
        <v/>
      </c>
      <c r="G113" s="15" t="str">
        <f>_xlfn.XLOOKUP($A113,Centrum[Индекс],Centrum[Invoice value / Стоимость груза в к-ре по инвойсу],"",0,1)</f>
        <v/>
      </c>
      <c r="H113" s="14" t="s">
        <v>40</v>
      </c>
      <c r="I113" s="11" t="str">
        <f>_xlfn.XLOOKUP($A113,Centrum[Индекс],Centrum[CBM on the shipper/ 
CBM по поставщику],"",0,1)</f>
        <v/>
      </c>
      <c r="J113" s="16" t="str">
        <f>_xlfn.XLOOKUP($A113,Centrum[Индекс],Centrum[Gross weight of cont// 
Гросс.вес по конт.],"",0,1)</f>
        <v/>
      </c>
      <c r="K113" s="17" t="str">
        <f>_xlfn.XLOOKUP($A113,Centrum[Индекс],Centrum[Route/ Маршрут (TSR/TCR)],"",0,1)</f>
        <v/>
      </c>
      <c r="L113" s="11" t="str">
        <f>_xlfn.XLOOKUP($A113,Centrum[Индекс],Centrum[Условия поставки],"",0,1)</f>
        <v/>
      </c>
      <c r="M113" s="11" t="str">
        <f>_xlfn.XLOOKUP($A113,Centrum[Индекс],Centrum[№ HBL date / 
№/ дата коносамента],"",0,1)</f>
        <v/>
      </c>
      <c r="N113" s="11" t="str">
        <f>_xlfn.XLOOKUP($A113,Centrum[Индекс],Centrum[№ MBL / 
№/ коносамента],"",0,1)</f>
        <v/>
      </c>
      <c r="O113" s="8" t="e">
        <f>(_xlfn.XLOOKUP($A113,Centrum[Индекс],Centrum[Date on board / Дата погрузки на судно],"",0,1))*1</f>
        <v>#VALUE!</v>
      </c>
      <c r="P113" s="8" t="e">
        <f>(_xlfn.XLOOKUP($A113,Centrum[Индекс],Centrum[Date of arrival to Sary-Agach/ Дата прибытия на Сары-Агач],"",0,1))*1</f>
        <v>#VALUE!</v>
      </c>
      <c r="Q113" s="14" t="str">
        <f>_xlfn.XLOOKUP($A113,Centrum[Индекс],Centrum[Container type/ 
Тип контейнера],"",0,1)</f>
        <v/>
      </c>
      <c r="R113" s="16">
        <f>_xlfn.XLOOKUP($A113,Centrum[Индекс],Centrum[Transportation cost per supplier/ 
Cтоимость перевозки по поставщикам],0,0,1)</f>
        <v>0</v>
      </c>
      <c r="S113" s="16">
        <f>Шаблон_Формулы!$T113-Шаблон_Формулы!$R113</f>
        <v>0</v>
      </c>
      <c r="T113" s="16">
        <f>_xlfn.XLOOKUP($A113,Centrum[Индекс],Centrum[Transportation total amount / Общая стоимость перевозки],0,0,1)</f>
        <v>0</v>
      </c>
      <c r="U113" s="12" cm="1">
        <f t="array" ref="U11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13" s="16">
        <f>_xlfn.XLOOKUP(Шаблон_Формулы[[#This Row],[21]],Курс_USD[Дата],Курс_USD[Курс],,0,1)</f>
        <v>11445.03</v>
      </c>
      <c r="W113" s="16">
        <f>Шаблон_Формулы!$T113*Шаблон_Формулы!$V113</f>
        <v>0</v>
      </c>
      <c r="Y113" s="16">
        <f>Шаблон_Формулы!$W113+Шаблон_Формулы!$X113</f>
        <v>0</v>
      </c>
      <c r="Z113" s="14" t="str">
        <f>_xlfn.XLOOKUP($A113,Centrum[Индекс],Centrum[Transport co invoice no/ 
Номер инвойса ТК],"",0,1)</f>
        <v/>
      </c>
    </row>
    <row r="114" spans="1:26" s="11" customFormat="1" x14ac:dyDescent="0.3">
      <c r="A114" s="14">
        <v>110</v>
      </c>
      <c r="B114" s="11" t="str">
        <f>_xlfn.XLOOKUP($A114,Centrum[Индекс],Centrum[Carrier/ Перевозчик],"",0,1)</f>
        <v/>
      </c>
      <c r="C114" s="11" t="str">
        <f>_xlfn.XLOOKUP($A114,Centrum[Индекс],Centrum[Country /  Страна],"",0,1)</f>
        <v/>
      </c>
      <c r="D114" s="11" t="str">
        <f>_xlfn.XLOOKUP($A114,Centrum[Индекс],Centrum[Container num./ 
№ контейнера],"",0,1)</f>
        <v/>
      </c>
      <c r="E114" s="11" t="str">
        <f>_xlfn.XLOOKUP($A114,Centrum[Индекс],Centrum[Supplier/
Поставщик],"",0,1)</f>
        <v/>
      </c>
      <c r="F114" s="11" t="str">
        <f>_xlfn.XLOOKUP($A114,Centrum[Индекс],Centrum[Shippers invoice no/ 
Номер инвойса поставщика],"",1)</f>
        <v/>
      </c>
      <c r="G114" s="15" t="str">
        <f>_xlfn.XLOOKUP($A114,Centrum[Индекс],Centrum[Invoice value / Стоимость груза в к-ре по инвойсу],"",0,1)</f>
        <v/>
      </c>
      <c r="H114" s="14" t="s">
        <v>40</v>
      </c>
      <c r="I114" s="11" t="str">
        <f>_xlfn.XLOOKUP($A114,Centrum[Индекс],Centrum[CBM on the shipper/ 
CBM по поставщику],"",0,1)</f>
        <v/>
      </c>
      <c r="J114" s="16" t="str">
        <f>_xlfn.XLOOKUP($A114,Centrum[Индекс],Centrum[Gross weight of cont// 
Гросс.вес по конт.],"",0,1)</f>
        <v/>
      </c>
      <c r="K114" s="17" t="str">
        <f>_xlfn.XLOOKUP($A114,Centrum[Индекс],Centrum[Route/ Маршрут (TSR/TCR)],"",0,1)</f>
        <v/>
      </c>
      <c r="L114" s="11" t="str">
        <f>_xlfn.XLOOKUP($A114,Centrum[Индекс],Centrum[Условия поставки],"",0,1)</f>
        <v/>
      </c>
      <c r="M114" s="11" t="str">
        <f>_xlfn.XLOOKUP($A114,Centrum[Индекс],Centrum[№ HBL date / 
№/ дата коносамента],"",0,1)</f>
        <v/>
      </c>
      <c r="N114" s="11" t="str">
        <f>_xlfn.XLOOKUP($A114,Centrum[Индекс],Centrum[№ MBL / 
№/ коносамента],"",0,1)</f>
        <v/>
      </c>
      <c r="O114" s="8" t="e">
        <f>(_xlfn.XLOOKUP($A114,Centrum[Индекс],Centrum[Date on board / Дата погрузки на судно],"",0,1))*1</f>
        <v>#VALUE!</v>
      </c>
      <c r="P114" s="8" t="e">
        <f>(_xlfn.XLOOKUP($A114,Centrum[Индекс],Centrum[Date of arrival to Sary-Agach/ Дата прибытия на Сары-Агач],"",0,1))*1</f>
        <v>#VALUE!</v>
      </c>
      <c r="Q114" s="14" t="str">
        <f>_xlfn.XLOOKUP($A114,Centrum[Индекс],Centrum[Container type/ 
Тип контейнера],"",0,1)</f>
        <v/>
      </c>
      <c r="R114" s="16">
        <f>_xlfn.XLOOKUP($A114,Centrum[Индекс],Centrum[Transportation cost per supplier/ 
Cтоимость перевозки по поставщикам],0,0,1)</f>
        <v>0</v>
      </c>
      <c r="S114" s="16">
        <f>Шаблон_Формулы!$T114-Шаблон_Формулы!$R114</f>
        <v>0</v>
      </c>
      <c r="T114" s="16">
        <f>_xlfn.XLOOKUP($A114,Centrum[Индекс],Centrum[Transportation total amount / Общая стоимость перевозки],0,0,1)</f>
        <v>0</v>
      </c>
      <c r="U114" s="12" cm="1">
        <f t="array" ref="U11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14" s="16">
        <f>_xlfn.XLOOKUP(Шаблон_Формулы[[#This Row],[21]],Курс_USD[Дата],Курс_USD[Курс],,0,1)</f>
        <v>11445.03</v>
      </c>
      <c r="W114" s="16">
        <f>Шаблон_Формулы!$T114*Шаблон_Формулы!$V114</f>
        <v>0</v>
      </c>
      <c r="Y114" s="16">
        <f>Шаблон_Формулы!$W114+Шаблон_Формулы!$X114</f>
        <v>0</v>
      </c>
      <c r="Z114" s="14" t="str">
        <f>_xlfn.XLOOKUP($A114,Centrum[Индекс],Centrum[Transport co invoice no/ 
Номер инвойса ТК],"",0,1)</f>
        <v/>
      </c>
    </row>
    <row r="115" spans="1:26" s="11" customFormat="1" x14ac:dyDescent="0.3">
      <c r="A115" s="14">
        <v>111</v>
      </c>
      <c r="B115" s="11" t="str">
        <f>_xlfn.XLOOKUP($A115,Centrum[Индекс],Centrum[Carrier/ Перевозчик],"",0,1)</f>
        <v/>
      </c>
      <c r="C115" s="11" t="str">
        <f>_xlfn.XLOOKUP($A115,Centrum[Индекс],Centrum[Country /  Страна],"",0,1)</f>
        <v/>
      </c>
      <c r="D115" s="11" t="str">
        <f>_xlfn.XLOOKUP($A115,Centrum[Индекс],Centrum[Container num./ 
№ контейнера],"",0,1)</f>
        <v/>
      </c>
      <c r="E115" s="11" t="str">
        <f>_xlfn.XLOOKUP($A115,Centrum[Индекс],Centrum[Supplier/
Поставщик],"",0,1)</f>
        <v/>
      </c>
      <c r="F115" s="11" t="str">
        <f>_xlfn.XLOOKUP($A115,Centrum[Индекс],Centrum[Shippers invoice no/ 
Номер инвойса поставщика],"",1)</f>
        <v/>
      </c>
      <c r="G115" s="15" t="str">
        <f>_xlfn.XLOOKUP($A115,Centrum[Индекс],Centrum[Invoice value / Стоимость груза в к-ре по инвойсу],"",0,1)</f>
        <v/>
      </c>
      <c r="H115" s="14" t="s">
        <v>40</v>
      </c>
      <c r="I115" s="11" t="str">
        <f>_xlfn.XLOOKUP($A115,Centrum[Индекс],Centrum[CBM on the shipper/ 
CBM по поставщику],"",0,1)</f>
        <v/>
      </c>
      <c r="J115" s="16" t="str">
        <f>_xlfn.XLOOKUP($A115,Centrum[Индекс],Centrum[Gross weight of cont// 
Гросс.вес по конт.],"",0,1)</f>
        <v/>
      </c>
      <c r="K115" s="17" t="str">
        <f>_xlfn.XLOOKUP($A115,Centrum[Индекс],Centrum[Route/ Маршрут (TSR/TCR)],"",0,1)</f>
        <v/>
      </c>
      <c r="L115" s="11" t="str">
        <f>_xlfn.XLOOKUP($A115,Centrum[Индекс],Centrum[Условия поставки],"",0,1)</f>
        <v/>
      </c>
      <c r="M115" s="11" t="str">
        <f>_xlfn.XLOOKUP($A115,Centrum[Индекс],Centrum[№ HBL date / 
№/ дата коносамента],"",0,1)</f>
        <v/>
      </c>
      <c r="N115" s="11" t="str">
        <f>_xlfn.XLOOKUP($A115,Centrum[Индекс],Centrum[№ MBL / 
№/ коносамента],"",0,1)</f>
        <v/>
      </c>
      <c r="O115" s="8" t="e">
        <f>(_xlfn.XLOOKUP($A115,Centrum[Индекс],Centrum[Date on board / Дата погрузки на судно],"",0,1))*1</f>
        <v>#VALUE!</v>
      </c>
      <c r="P115" s="8" t="e">
        <f>(_xlfn.XLOOKUP($A115,Centrum[Индекс],Centrum[Date of arrival to Sary-Agach/ Дата прибытия на Сары-Агач],"",0,1))*1</f>
        <v>#VALUE!</v>
      </c>
      <c r="Q115" s="14" t="str">
        <f>_xlfn.XLOOKUP($A115,Centrum[Индекс],Centrum[Container type/ 
Тип контейнера],"",0,1)</f>
        <v/>
      </c>
      <c r="R115" s="16">
        <f>_xlfn.XLOOKUP($A115,Centrum[Индекс],Centrum[Transportation cost per supplier/ 
Cтоимость перевозки по поставщикам],0,0,1)</f>
        <v>0</v>
      </c>
      <c r="S115" s="16">
        <f>Шаблон_Формулы!$T115-Шаблон_Формулы!$R115</f>
        <v>0</v>
      </c>
      <c r="T115" s="16">
        <f>_xlfn.XLOOKUP($A115,Centrum[Индекс],Centrum[Transportation total amount / Общая стоимость перевозки],0,0,1)</f>
        <v>0</v>
      </c>
      <c r="U115" s="12" cm="1">
        <f t="array" ref="U11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15" s="16">
        <f>_xlfn.XLOOKUP(Шаблон_Формулы[[#This Row],[21]],Курс_USD[Дата],Курс_USD[Курс],,0,1)</f>
        <v>11445.03</v>
      </c>
      <c r="W115" s="16">
        <f>Шаблон_Формулы!$T115*Шаблон_Формулы!$V115</f>
        <v>0</v>
      </c>
      <c r="Y115" s="16">
        <f>Шаблон_Формулы!$W115+Шаблон_Формулы!$X115</f>
        <v>0</v>
      </c>
      <c r="Z115" s="14" t="str">
        <f>_xlfn.XLOOKUP($A115,Centrum[Индекс],Centrum[Transport co invoice no/ 
Номер инвойса ТК],"",0,1)</f>
        <v/>
      </c>
    </row>
    <row r="116" spans="1:26" s="11" customFormat="1" x14ac:dyDescent="0.3">
      <c r="A116" s="14">
        <v>112</v>
      </c>
      <c r="B116" s="11" t="str">
        <f>_xlfn.XLOOKUP($A116,Centrum[Индекс],Centrum[Carrier/ Перевозчик],"",0,1)</f>
        <v/>
      </c>
      <c r="C116" s="11" t="str">
        <f>_xlfn.XLOOKUP($A116,Centrum[Индекс],Centrum[Country /  Страна],"",0,1)</f>
        <v/>
      </c>
      <c r="D116" s="11" t="str">
        <f>_xlfn.XLOOKUP($A116,Centrum[Индекс],Centrum[Container num./ 
№ контейнера],"",0,1)</f>
        <v/>
      </c>
      <c r="E116" s="11" t="str">
        <f>_xlfn.XLOOKUP($A116,Centrum[Индекс],Centrum[Supplier/
Поставщик],"",0,1)</f>
        <v/>
      </c>
      <c r="F116" s="11" t="str">
        <f>_xlfn.XLOOKUP($A116,Centrum[Индекс],Centrum[Shippers invoice no/ 
Номер инвойса поставщика],"",1)</f>
        <v/>
      </c>
      <c r="G116" s="15" t="str">
        <f>_xlfn.XLOOKUP($A116,Centrum[Индекс],Centrum[Invoice value / Стоимость груза в к-ре по инвойсу],"",0,1)</f>
        <v/>
      </c>
      <c r="H116" s="14" t="s">
        <v>40</v>
      </c>
      <c r="I116" s="11" t="str">
        <f>_xlfn.XLOOKUP($A116,Centrum[Индекс],Centrum[CBM on the shipper/ 
CBM по поставщику],"",0,1)</f>
        <v/>
      </c>
      <c r="J116" s="16" t="str">
        <f>_xlfn.XLOOKUP($A116,Centrum[Индекс],Centrum[Gross weight of cont// 
Гросс.вес по конт.],"",0,1)</f>
        <v/>
      </c>
      <c r="K116" s="17" t="str">
        <f>_xlfn.XLOOKUP($A116,Centrum[Индекс],Centrum[Route/ Маршрут (TSR/TCR)],"",0,1)</f>
        <v/>
      </c>
      <c r="L116" s="11" t="str">
        <f>_xlfn.XLOOKUP($A116,Centrum[Индекс],Centrum[Условия поставки],"",0,1)</f>
        <v/>
      </c>
      <c r="M116" s="11" t="str">
        <f>_xlfn.XLOOKUP($A116,Centrum[Индекс],Centrum[№ HBL date / 
№/ дата коносамента],"",0,1)</f>
        <v/>
      </c>
      <c r="N116" s="11" t="str">
        <f>_xlfn.XLOOKUP($A116,Centrum[Индекс],Centrum[№ MBL / 
№/ коносамента],"",0,1)</f>
        <v/>
      </c>
      <c r="O116" s="8" t="e">
        <f>(_xlfn.XLOOKUP($A116,Centrum[Индекс],Centrum[Date on board / Дата погрузки на судно],"",0,1))*1</f>
        <v>#VALUE!</v>
      </c>
      <c r="P116" s="8" t="e">
        <f>(_xlfn.XLOOKUP($A116,Centrum[Индекс],Centrum[Date of arrival to Sary-Agach/ Дата прибытия на Сары-Агач],"",0,1))*1</f>
        <v>#VALUE!</v>
      </c>
      <c r="Q116" s="14" t="str">
        <f>_xlfn.XLOOKUP($A116,Centrum[Индекс],Centrum[Container type/ 
Тип контейнера],"",0,1)</f>
        <v/>
      </c>
      <c r="R116" s="16">
        <f>_xlfn.XLOOKUP($A116,Centrum[Индекс],Centrum[Transportation cost per supplier/ 
Cтоимость перевозки по поставщикам],0,0,1)</f>
        <v>0</v>
      </c>
      <c r="S116" s="16">
        <f>Шаблон_Формулы!$T116-Шаблон_Формулы!$R116</f>
        <v>0</v>
      </c>
      <c r="T116" s="16">
        <f>_xlfn.XLOOKUP($A116,Centrum[Индекс],Centrum[Transportation total amount / Общая стоимость перевозки],0,0,1)</f>
        <v>0</v>
      </c>
      <c r="U116" s="12" cm="1">
        <f t="array" ref="U11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16" s="16">
        <f>_xlfn.XLOOKUP(Шаблон_Формулы[[#This Row],[21]],Курс_USD[Дата],Курс_USD[Курс],,0,1)</f>
        <v>11445.03</v>
      </c>
      <c r="W116" s="16">
        <f>Шаблон_Формулы!$T116*Шаблон_Формулы!$V116</f>
        <v>0</v>
      </c>
      <c r="Y116" s="16">
        <f>Шаблон_Формулы!$W116+Шаблон_Формулы!$X116</f>
        <v>0</v>
      </c>
      <c r="Z116" s="14" t="str">
        <f>_xlfn.XLOOKUP($A116,Centrum[Индекс],Centrum[Transport co invoice no/ 
Номер инвойса ТК],"",0,1)</f>
        <v/>
      </c>
    </row>
    <row r="117" spans="1:26" s="11" customFormat="1" x14ac:dyDescent="0.3">
      <c r="A117" s="14">
        <v>113</v>
      </c>
      <c r="B117" s="11" t="str">
        <f>_xlfn.XLOOKUP($A117,Centrum[Индекс],Centrum[Carrier/ Перевозчик],"",0,1)</f>
        <v/>
      </c>
      <c r="C117" s="11" t="str">
        <f>_xlfn.XLOOKUP($A117,Centrum[Индекс],Centrum[Country /  Страна],"",0,1)</f>
        <v/>
      </c>
      <c r="D117" s="11" t="str">
        <f>_xlfn.XLOOKUP($A117,Centrum[Индекс],Centrum[Container num./ 
№ контейнера],"",0,1)</f>
        <v/>
      </c>
      <c r="E117" s="11" t="str">
        <f>_xlfn.XLOOKUP($A117,Centrum[Индекс],Centrum[Supplier/
Поставщик],"",0,1)</f>
        <v/>
      </c>
      <c r="F117" s="11" t="str">
        <f>_xlfn.XLOOKUP($A117,Centrum[Индекс],Centrum[Shippers invoice no/ 
Номер инвойса поставщика],"",1)</f>
        <v/>
      </c>
      <c r="G117" s="15" t="str">
        <f>_xlfn.XLOOKUP($A117,Centrum[Индекс],Centrum[Invoice value / Стоимость груза в к-ре по инвойсу],"",0,1)</f>
        <v/>
      </c>
      <c r="H117" s="14" t="s">
        <v>40</v>
      </c>
      <c r="I117" s="11" t="str">
        <f>_xlfn.XLOOKUP($A117,Centrum[Индекс],Centrum[CBM on the shipper/ 
CBM по поставщику],"",0,1)</f>
        <v/>
      </c>
      <c r="J117" s="16" t="str">
        <f>_xlfn.XLOOKUP($A117,Centrum[Индекс],Centrum[Gross weight of cont// 
Гросс.вес по конт.],"",0,1)</f>
        <v/>
      </c>
      <c r="K117" s="17" t="str">
        <f>_xlfn.XLOOKUP($A117,Centrum[Индекс],Centrum[Route/ Маршрут (TSR/TCR)],"",0,1)</f>
        <v/>
      </c>
      <c r="L117" s="11" t="str">
        <f>_xlfn.XLOOKUP($A117,Centrum[Индекс],Centrum[Условия поставки],"",0,1)</f>
        <v/>
      </c>
      <c r="M117" s="11" t="str">
        <f>_xlfn.XLOOKUP($A117,Centrum[Индекс],Centrum[№ HBL date / 
№/ дата коносамента],"",0,1)</f>
        <v/>
      </c>
      <c r="N117" s="11" t="str">
        <f>_xlfn.XLOOKUP($A117,Centrum[Индекс],Centrum[№ MBL / 
№/ коносамента],"",0,1)</f>
        <v/>
      </c>
      <c r="O117" s="8" t="e">
        <f>(_xlfn.XLOOKUP($A117,Centrum[Индекс],Centrum[Date on board / Дата погрузки на судно],"",0,1))*1</f>
        <v>#VALUE!</v>
      </c>
      <c r="P117" s="8" t="e">
        <f>(_xlfn.XLOOKUP($A117,Centrum[Индекс],Centrum[Date of arrival to Sary-Agach/ Дата прибытия на Сары-Агач],"",0,1))*1</f>
        <v>#VALUE!</v>
      </c>
      <c r="Q117" s="14" t="str">
        <f>_xlfn.XLOOKUP($A117,Centrum[Индекс],Centrum[Container type/ 
Тип контейнера],"",0,1)</f>
        <v/>
      </c>
      <c r="R117" s="16">
        <f>_xlfn.XLOOKUP($A117,Centrum[Индекс],Centrum[Transportation cost per supplier/ 
Cтоимость перевозки по поставщикам],0,0,1)</f>
        <v>0</v>
      </c>
      <c r="S117" s="16">
        <f>Шаблон_Формулы!$T117-Шаблон_Формулы!$R117</f>
        <v>0</v>
      </c>
      <c r="T117" s="16">
        <f>_xlfn.XLOOKUP($A117,Centrum[Индекс],Centrum[Transportation total amount / Общая стоимость перевозки],0,0,1)</f>
        <v>0</v>
      </c>
      <c r="U117" s="12" cm="1">
        <f t="array" ref="U11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17" s="16">
        <f>_xlfn.XLOOKUP(Шаблон_Формулы[[#This Row],[21]],Курс_USD[Дата],Курс_USD[Курс],,0,1)</f>
        <v>11445.03</v>
      </c>
      <c r="W117" s="16">
        <f>Шаблон_Формулы!$T117*Шаблон_Формулы!$V117</f>
        <v>0</v>
      </c>
      <c r="Y117" s="16">
        <f>Шаблон_Формулы!$W117+Шаблон_Формулы!$X117</f>
        <v>0</v>
      </c>
      <c r="Z117" s="14" t="str">
        <f>_xlfn.XLOOKUP($A117,Centrum[Индекс],Centrum[Transport co invoice no/ 
Номер инвойса ТК],"",0,1)</f>
        <v/>
      </c>
    </row>
    <row r="118" spans="1:26" s="11" customFormat="1" x14ac:dyDescent="0.3">
      <c r="A118" s="14">
        <v>114</v>
      </c>
      <c r="B118" s="11" t="str">
        <f>_xlfn.XLOOKUP($A118,Centrum[Индекс],Centrum[Carrier/ Перевозчик],"",0,1)</f>
        <v/>
      </c>
      <c r="C118" s="11" t="str">
        <f>_xlfn.XLOOKUP($A118,Centrum[Индекс],Centrum[Country /  Страна],"",0,1)</f>
        <v/>
      </c>
      <c r="D118" s="11" t="str">
        <f>_xlfn.XLOOKUP($A118,Centrum[Индекс],Centrum[Container num./ 
№ контейнера],"",0,1)</f>
        <v/>
      </c>
      <c r="E118" s="11" t="str">
        <f>_xlfn.XLOOKUP($A118,Centrum[Индекс],Centrum[Supplier/
Поставщик],"",0,1)</f>
        <v/>
      </c>
      <c r="F118" s="11" t="str">
        <f>_xlfn.XLOOKUP($A118,Centrum[Индекс],Centrum[Shippers invoice no/ 
Номер инвойса поставщика],"",1)</f>
        <v/>
      </c>
      <c r="G118" s="15" t="str">
        <f>_xlfn.XLOOKUP($A118,Centrum[Индекс],Centrum[Invoice value / Стоимость груза в к-ре по инвойсу],"",0,1)</f>
        <v/>
      </c>
      <c r="H118" s="14" t="s">
        <v>40</v>
      </c>
      <c r="I118" s="11" t="str">
        <f>_xlfn.XLOOKUP($A118,Centrum[Индекс],Centrum[CBM on the shipper/ 
CBM по поставщику],"",0,1)</f>
        <v/>
      </c>
      <c r="J118" s="16" t="str">
        <f>_xlfn.XLOOKUP($A118,Centrum[Индекс],Centrum[Gross weight of cont// 
Гросс.вес по конт.],"",0,1)</f>
        <v/>
      </c>
      <c r="K118" s="17" t="str">
        <f>_xlfn.XLOOKUP($A118,Centrum[Индекс],Centrum[Route/ Маршрут (TSR/TCR)],"",0,1)</f>
        <v/>
      </c>
      <c r="L118" s="11" t="str">
        <f>_xlfn.XLOOKUP($A118,Centrum[Индекс],Centrum[Условия поставки],"",0,1)</f>
        <v/>
      </c>
      <c r="M118" s="11" t="str">
        <f>_xlfn.XLOOKUP($A118,Centrum[Индекс],Centrum[№ HBL date / 
№/ дата коносамента],"",0,1)</f>
        <v/>
      </c>
      <c r="N118" s="11" t="str">
        <f>_xlfn.XLOOKUP($A118,Centrum[Индекс],Centrum[№ MBL / 
№/ коносамента],"",0,1)</f>
        <v/>
      </c>
      <c r="O118" s="8" t="e">
        <f>(_xlfn.XLOOKUP($A118,Centrum[Индекс],Centrum[Date on board / Дата погрузки на судно],"",0,1))*1</f>
        <v>#VALUE!</v>
      </c>
      <c r="P118" s="8" t="e">
        <f>(_xlfn.XLOOKUP($A118,Centrum[Индекс],Centrum[Date of arrival to Sary-Agach/ Дата прибытия на Сары-Агач],"",0,1))*1</f>
        <v>#VALUE!</v>
      </c>
      <c r="Q118" s="14" t="str">
        <f>_xlfn.XLOOKUP($A118,Centrum[Индекс],Centrum[Container type/ 
Тип контейнера],"",0,1)</f>
        <v/>
      </c>
      <c r="R118" s="16">
        <f>_xlfn.XLOOKUP($A118,Centrum[Индекс],Centrum[Transportation cost per supplier/ 
Cтоимость перевозки по поставщикам],0,0,1)</f>
        <v>0</v>
      </c>
      <c r="S118" s="16">
        <f>Шаблон_Формулы!$T118-Шаблон_Формулы!$R118</f>
        <v>0</v>
      </c>
      <c r="T118" s="16">
        <f>_xlfn.XLOOKUP($A118,Centrum[Индекс],Centrum[Transportation total amount / Общая стоимость перевозки],0,0,1)</f>
        <v>0</v>
      </c>
      <c r="U118" s="12" cm="1">
        <f t="array" ref="U11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18" s="16">
        <f>_xlfn.XLOOKUP(Шаблон_Формулы[[#This Row],[21]],Курс_USD[Дата],Курс_USD[Курс],,0,1)</f>
        <v>11445.03</v>
      </c>
      <c r="W118" s="16">
        <f>Шаблон_Формулы!$T118*Шаблон_Формулы!$V118</f>
        <v>0</v>
      </c>
      <c r="Y118" s="16">
        <f>Шаблон_Формулы!$W118+Шаблон_Формулы!$X118</f>
        <v>0</v>
      </c>
      <c r="Z118" s="14" t="str">
        <f>_xlfn.XLOOKUP($A118,Centrum[Индекс],Centrum[Transport co invoice no/ 
Номер инвойса ТК],"",0,1)</f>
        <v/>
      </c>
    </row>
    <row r="119" spans="1:26" s="11" customFormat="1" x14ac:dyDescent="0.3">
      <c r="A119" s="14">
        <v>115</v>
      </c>
      <c r="B119" s="11" t="str">
        <f>_xlfn.XLOOKUP($A119,Centrum[Индекс],Centrum[Carrier/ Перевозчик],"",0,1)</f>
        <v/>
      </c>
      <c r="C119" s="11" t="str">
        <f>_xlfn.XLOOKUP($A119,Centrum[Индекс],Centrum[Country /  Страна],"",0,1)</f>
        <v/>
      </c>
      <c r="D119" s="11" t="str">
        <f>_xlfn.XLOOKUP($A119,Centrum[Индекс],Centrum[Container num./ 
№ контейнера],"",0,1)</f>
        <v/>
      </c>
      <c r="E119" s="11" t="str">
        <f>_xlfn.XLOOKUP($A119,Centrum[Индекс],Centrum[Supplier/
Поставщик],"",0,1)</f>
        <v/>
      </c>
      <c r="F119" s="11" t="str">
        <f>_xlfn.XLOOKUP($A119,Centrum[Индекс],Centrum[Shippers invoice no/ 
Номер инвойса поставщика],"",1)</f>
        <v/>
      </c>
      <c r="G119" s="15" t="str">
        <f>_xlfn.XLOOKUP($A119,Centrum[Индекс],Centrum[Invoice value / Стоимость груза в к-ре по инвойсу],"",0,1)</f>
        <v/>
      </c>
      <c r="H119" s="14" t="s">
        <v>40</v>
      </c>
      <c r="I119" s="11" t="str">
        <f>_xlfn.XLOOKUP($A119,Centrum[Индекс],Centrum[CBM on the shipper/ 
CBM по поставщику],"",0,1)</f>
        <v/>
      </c>
      <c r="J119" s="16" t="str">
        <f>_xlfn.XLOOKUP($A119,Centrum[Индекс],Centrum[Gross weight of cont// 
Гросс.вес по конт.],"",0,1)</f>
        <v/>
      </c>
      <c r="K119" s="17" t="str">
        <f>_xlfn.XLOOKUP($A119,Centrum[Индекс],Centrum[Route/ Маршрут (TSR/TCR)],"",0,1)</f>
        <v/>
      </c>
      <c r="L119" s="11" t="str">
        <f>_xlfn.XLOOKUP($A119,Centrum[Индекс],Centrum[Условия поставки],"",0,1)</f>
        <v/>
      </c>
      <c r="M119" s="11" t="str">
        <f>_xlfn.XLOOKUP($A119,Centrum[Индекс],Centrum[№ HBL date / 
№/ дата коносамента],"",0,1)</f>
        <v/>
      </c>
      <c r="N119" s="11" t="str">
        <f>_xlfn.XLOOKUP($A119,Centrum[Индекс],Centrum[№ MBL / 
№/ коносамента],"",0,1)</f>
        <v/>
      </c>
      <c r="O119" s="8" t="e">
        <f>(_xlfn.XLOOKUP($A119,Centrum[Индекс],Centrum[Date on board / Дата погрузки на судно],"",0,1))*1</f>
        <v>#VALUE!</v>
      </c>
      <c r="P119" s="8" t="e">
        <f>(_xlfn.XLOOKUP($A119,Centrum[Индекс],Centrum[Date of arrival to Sary-Agach/ Дата прибытия на Сары-Агач],"",0,1))*1</f>
        <v>#VALUE!</v>
      </c>
      <c r="Q119" s="14" t="str">
        <f>_xlfn.XLOOKUP($A119,Centrum[Индекс],Centrum[Container type/ 
Тип контейнера],"",0,1)</f>
        <v/>
      </c>
      <c r="R119" s="16">
        <f>_xlfn.XLOOKUP($A119,Centrum[Индекс],Centrum[Transportation cost per supplier/ 
Cтоимость перевозки по поставщикам],0,0,1)</f>
        <v>0</v>
      </c>
      <c r="S119" s="16">
        <f>Шаблон_Формулы!$T119-Шаблон_Формулы!$R119</f>
        <v>0</v>
      </c>
      <c r="T119" s="16">
        <f>_xlfn.XLOOKUP($A119,Centrum[Индекс],Centrum[Transportation total amount / Общая стоимость перевозки],0,0,1)</f>
        <v>0</v>
      </c>
      <c r="U119" s="12" cm="1">
        <f t="array" ref="U11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19" s="16">
        <f>_xlfn.XLOOKUP(Шаблон_Формулы[[#This Row],[21]],Курс_USD[Дата],Курс_USD[Курс],,0,1)</f>
        <v>11445.03</v>
      </c>
      <c r="W119" s="16">
        <f>Шаблон_Формулы!$T119*Шаблон_Формулы!$V119</f>
        <v>0</v>
      </c>
      <c r="Y119" s="16">
        <f>Шаблон_Формулы!$W119+Шаблон_Формулы!$X119</f>
        <v>0</v>
      </c>
      <c r="Z119" s="14" t="str">
        <f>_xlfn.XLOOKUP($A119,Centrum[Индекс],Centrum[Transport co invoice no/ 
Номер инвойса ТК],"",0,1)</f>
        <v/>
      </c>
    </row>
    <row r="120" spans="1:26" s="11" customFormat="1" x14ac:dyDescent="0.3">
      <c r="A120" s="14">
        <v>116</v>
      </c>
      <c r="B120" s="11" t="str">
        <f>_xlfn.XLOOKUP($A120,Centrum[Индекс],Centrum[Carrier/ Перевозчик],"",0,1)</f>
        <v/>
      </c>
      <c r="C120" s="11" t="str">
        <f>_xlfn.XLOOKUP($A120,Centrum[Индекс],Centrum[Country /  Страна],"",0,1)</f>
        <v/>
      </c>
      <c r="D120" s="11" t="str">
        <f>_xlfn.XLOOKUP($A120,Centrum[Индекс],Centrum[Container num./ 
№ контейнера],"",0,1)</f>
        <v/>
      </c>
      <c r="E120" s="11" t="str">
        <f>_xlfn.XLOOKUP($A120,Centrum[Индекс],Centrum[Supplier/
Поставщик],"",0,1)</f>
        <v/>
      </c>
      <c r="F120" s="11" t="str">
        <f>_xlfn.XLOOKUP($A120,Centrum[Индекс],Centrum[Shippers invoice no/ 
Номер инвойса поставщика],"",1)</f>
        <v/>
      </c>
      <c r="G120" s="15" t="str">
        <f>_xlfn.XLOOKUP($A120,Centrum[Индекс],Centrum[Invoice value / Стоимость груза в к-ре по инвойсу],"",0,1)</f>
        <v/>
      </c>
      <c r="H120" s="14" t="s">
        <v>40</v>
      </c>
      <c r="I120" s="11" t="str">
        <f>_xlfn.XLOOKUP($A120,Centrum[Индекс],Centrum[CBM on the shipper/ 
CBM по поставщику],"",0,1)</f>
        <v/>
      </c>
      <c r="J120" s="16" t="str">
        <f>_xlfn.XLOOKUP($A120,Centrum[Индекс],Centrum[Gross weight of cont// 
Гросс.вес по конт.],"",0,1)</f>
        <v/>
      </c>
      <c r="K120" s="17" t="str">
        <f>_xlfn.XLOOKUP($A120,Centrum[Индекс],Centrum[Route/ Маршрут (TSR/TCR)],"",0,1)</f>
        <v/>
      </c>
      <c r="L120" s="11" t="str">
        <f>_xlfn.XLOOKUP($A120,Centrum[Индекс],Centrum[Условия поставки],"",0,1)</f>
        <v/>
      </c>
      <c r="M120" s="11" t="str">
        <f>_xlfn.XLOOKUP($A120,Centrum[Индекс],Centrum[№ HBL date / 
№/ дата коносамента],"",0,1)</f>
        <v/>
      </c>
      <c r="N120" s="11" t="str">
        <f>_xlfn.XLOOKUP($A120,Centrum[Индекс],Centrum[№ MBL / 
№/ коносамента],"",0,1)</f>
        <v/>
      </c>
      <c r="O120" s="8" t="e">
        <f>(_xlfn.XLOOKUP($A120,Centrum[Индекс],Centrum[Date on board / Дата погрузки на судно],"",0,1))*1</f>
        <v>#VALUE!</v>
      </c>
      <c r="P120" s="8" t="e">
        <f>(_xlfn.XLOOKUP($A120,Centrum[Индекс],Centrum[Date of arrival to Sary-Agach/ Дата прибытия на Сары-Агач],"",0,1))*1</f>
        <v>#VALUE!</v>
      </c>
      <c r="Q120" s="14" t="str">
        <f>_xlfn.XLOOKUP($A120,Centrum[Индекс],Centrum[Container type/ 
Тип контейнера],"",0,1)</f>
        <v/>
      </c>
      <c r="R120" s="16">
        <f>_xlfn.XLOOKUP($A120,Centrum[Индекс],Centrum[Transportation cost per supplier/ 
Cтоимость перевозки по поставщикам],0,0,1)</f>
        <v>0</v>
      </c>
      <c r="S120" s="16">
        <f>Шаблон_Формулы!$T120-Шаблон_Формулы!$R120</f>
        <v>0</v>
      </c>
      <c r="T120" s="16">
        <f>_xlfn.XLOOKUP($A120,Centrum[Индекс],Centrum[Transportation total amount / Общая стоимость перевозки],0,0,1)</f>
        <v>0</v>
      </c>
      <c r="U120" s="12" cm="1">
        <f t="array" ref="U12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20" s="16">
        <f>_xlfn.XLOOKUP(Шаблон_Формулы[[#This Row],[21]],Курс_USD[Дата],Курс_USD[Курс],,0,1)</f>
        <v>11445.03</v>
      </c>
      <c r="W120" s="16">
        <f>Шаблон_Формулы!$T120*Шаблон_Формулы!$V120</f>
        <v>0</v>
      </c>
      <c r="Y120" s="16">
        <f>Шаблон_Формулы!$W120+Шаблон_Формулы!$X120</f>
        <v>0</v>
      </c>
      <c r="Z120" s="14" t="str">
        <f>_xlfn.XLOOKUP($A120,Centrum[Индекс],Centrum[Transport co invoice no/ 
Номер инвойса ТК],"",0,1)</f>
        <v/>
      </c>
    </row>
    <row r="121" spans="1:26" s="11" customFormat="1" x14ac:dyDescent="0.3">
      <c r="A121" s="14">
        <v>117</v>
      </c>
      <c r="B121" s="11" t="str">
        <f>_xlfn.XLOOKUP($A121,Centrum[Индекс],Centrum[Carrier/ Перевозчик],"",0,1)</f>
        <v/>
      </c>
      <c r="C121" s="11" t="str">
        <f>_xlfn.XLOOKUP($A121,Centrum[Индекс],Centrum[Country /  Страна],"",0,1)</f>
        <v/>
      </c>
      <c r="D121" s="11" t="str">
        <f>_xlfn.XLOOKUP($A121,Centrum[Индекс],Centrum[Container num./ 
№ контейнера],"",0,1)</f>
        <v/>
      </c>
      <c r="E121" s="11" t="str">
        <f>_xlfn.XLOOKUP($A121,Centrum[Индекс],Centrum[Supplier/
Поставщик],"",0,1)</f>
        <v/>
      </c>
      <c r="F121" s="11" t="str">
        <f>_xlfn.XLOOKUP($A121,Centrum[Индекс],Centrum[Shippers invoice no/ 
Номер инвойса поставщика],"",1)</f>
        <v/>
      </c>
      <c r="G121" s="15" t="str">
        <f>_xlfn.XLOOKUP($A121,Centrum[Индекс],Centrum[Invoice value / Стоимость груза в к-ре по инвойсу],"",0,1)</f>
        <v/>
      </c>
      <c r="H121" s="14" t="s">
        <v>40</v>
      </c>
      <c r="I121" s="11" t="str">
        <f>_xlfn.XLOOKUP($A121,Centrum[Индекс],Centrum[CBM on the shipper/ 
CBM по поставщику],"",0,1)</f>
        <v/>
      </c>
      <c r="J121" s="16" t="str">
        <f>_xlfn.XLOOKUP($A121,Centrum[Индекс],Centrum[Gross weight of cont// 
Гросс.вес по конт.],"",0,1)</f>
        <v/>
      </c>
      <c r="K121" s="17" t="str">
        <f>_xlfn.XLOOKUP($A121,Centrum[Индекс],Centrum[Route/ Маршрут (TSR/TCR)],"",0,1)</f>
        <v/>
      </c>
      <c r="L121" s="11" t="str">
        <f>_xlfn.XLOOKUP($A121,Centrum[Индекс],Centrum[Условия поставки],"",0,1)</f>
        <v/>
      </c>
      <c r="M121" s="11" t="str">
        <f>_xlfn.XLOOKUP($A121,Centrum[Индекс],Centrum[№ HBL date / 
№/ дата коносамента],"",0,1)</f>
        <v/>
      </c>
      <c r="N121" s="11" t="str">
        <f>_xlfn.XLOOKUP($A121,Centrum[Индекс],Centrum[№ MBL / 
№/ коносамента],"",0,1)</f>
        <v/>
      </c>
      <c r="O121" s="8" t="e">
        <f>(_xlfn.XLOOKUP($A121,Centrum[Индекс],Centrum[Date on board / Дата погрузки на судно],"",0,1))*1</f>
        <v>#VALUE!</v>
      </c>
      <c r="P121" s="8" t="e">
        <f>(_xlfn.XLOOKUP($A121,Centrum[Индекс],Centrum[Date of arrival to Sary-Agach/ Дата прибытия на Сары-Агач],"",0,1))*1</f>
        <v>#VALUE!</v>
      </c>
      <c r="Q121" s="14" t="str">
        <f>_xlfn.XLOOKUP($A121,Centrum[Индекс],Centrum[Container type/ 
Тип контейнера],"",0,1)</f>
        <v/>
      </c>
      <c r="R121" s="16">
        <f>_xlfn.XLOOKUP($A121,Centrum[Индекс],Centrum[Transportation cost per supplier/ 
Cтоимость перевозки по поставщикам],0,0,1)</f>
        <v>0</v>
      </c>
      <c r="S121" s="16">
        <f>Шаблон_Формулы!$T121-Шаблон_Формулы!$R121</f>
        <v>0</v>
      </c>
      <c r="T121" s="16">
        <f>_xlfn.XLOOKUP($A121,Centrum[Индекс],Centrum[Transportation total amount / Общая стоимость перевозки],0,0,1)</f>
        <v>0</v>
      </c>
      <c r="U121" s="12" cm="1">
        <f t="array" ref="U12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21" s="16">
        <f>_xlfn.XLOOKUP(Шаблон_Формулы[[#This Row],[21]],Курс_USD[Дата],Курс_USD[Курс],,0,1)</f>
        <v>11445.03</v>
      </c>
      <c r="W121" s="16">
        <f>Шаблон_Формулы!$T121*Шаблон_Формулы!$V121</f>
        <v>0</v>
      </c>
      <c r="Y121" s="16">
        <f>Шаблон_Формулы!$W121+Шаблон_Формулы!$X121</f>
        <v>0</v>
      </c>
      <c r="Z121" s="14" t="str">
        <f>_xlfn.XLOOKUP($A121,Centrum[Индекс],Centrum[Transport co invoice no/ 
Номер инвойса ТК],"",0,1)</f>
        <v/>
      </c>
    </row>
    <row r="122" spans="1:26" s="11" customFormat="1" x14ac:dyDescent="0.3">
      <c r="A122" s="14">
        <v>118</v>
      </c>
      <c r="B122" s="11" t="str">
        <f>_xlfn.XLOOKUP($A122,Centrum[Индекс],Centrum[Carrier/ Перевозчик],"",0,1)</f>
        <v/>
      </c>
      <c r="C122" s="11" t="str">
        <f>_xlfn.XLOOKUP($A122,Centrum[Индекс],Centrum[Country /  Страна],"",0,1)</f>
        <v/>
      </c>
      <c r="D122" s="11" t="str">
        <f>_xlfn.XLOOKUP($A122,Centrum[Индекс],Centrum[Container num./ 
№ контейнера],"",0,1)</f>
        <v/>
      </c>
      <c r="E122" s="11" t="str">
        <f>_xlfn.XLOOKUP($A122,Centrum[Индекс],Centrum[Supplier/
Поставщик],"",0,1)</f>
        <v/>
      </c>
      <c r="F122" s="11" t="str">
        <f>_xlfn.XLOOKUP($A122,Centrum[Индекс],Centrum[Shippers invoice no/ 
Номер инвойса поставщика],"",1)</f>
        <v/>
      </c>
      <c r="G122" s="15" t="str">
        <f>_xlfn.XLOOKUP($A122,Centrum[Индекс],Centrum[Invoice value / Стоимость груза в к-ре по инвойсу],"",0,1)</f>
        <v/>
      </c>
      <c r="H122" s="14" t="s">
        <v>40</v>
      </c>
      <c r="I122" s="11" t="str">
        <f>_xlfn.XLOOKUP($A122,Centrum[Индекс],Centrum[CBM on the shipper/ 
CBM по поставщику],"",0,1)</f>
        <v/>
      </c>
      <c r="J122" s="16" t="str">
        <f>_xlfn.XLOOKUP($A122,Centrum[Индекс],Centrum[Gross weight of cont// 
Гросс.вес по конт.],"",0,1)</f>
        <v/>
      </c>
      <c r="K122" s="17" t="str">
        <f>_xlfn.XLOOKUP($A122,Centrum[Индекс],Centrum[Route/ Маршрут (TSR/TCR)],"",0,1)</f>
        <v/>
      </c>
      <c r="L122" s="11" t="str">
        <f>_xlfn.XLOOKUP($A122,Centrum[Индекс],Centrum[Условия поставки],"",0,1)</f>
        <v/>
      </c>
      <c r="M122" s="11" t="str">
        <f>_xlfn.XLOOKUP($A122,Centrum[Индекс],Centrum[№ HBL date / 
№/ дата коносамента],"",0,1)</f>
        <v/>
      </c>
      <c r="N122" s="11" t="str">
        <f>_xlfn.XLOOKUP($A122,Centrum[Индекс],Centrum[№ MBL / 
№/ коносамента],"",0,1)</f>
        <v/>
      </c>
      <c r="O122" s="8" t="e">
        <f>(_xlfn.XLOOKUP($A122,Centrum[Индекс],Centrum[Date on board / Дата погрузки на судно],"",0,1))*1</f>
        <v>#VALUE!</v>
      </c>
      <c r="P122" s="8" t="e">
        <f>(_xlfn.XLOOKUP($A122,Centrum[Индекс],Centrum[Date of arrival to Sary-Agach/ Дата прибытия на Сары-Агач],"",0,1))*1</f>
        <v>#VALUE!</v>
      </c>
      <c r="Q122" s="14" t="str">
        <f>_xlfn.XLOOKUP($A122,Centrum[Индекс],Centrum[Container type/ 
Тип контейнера],"",0,1)</f>
        <v/>
      </c>
      <c r="R122" s="16">
        <f>_xlfn.XLOOKUP($A122,Centrum[Индекс],Centrum[Transportation cost per supplier/ 
Cтоимость перевозки по поставщикам],0,0,1)</f>
        <v>0</v>
      </c>
      <c r="S122" s="16">
        <f>Шаблон_Формулы!$T122-Шаблон_Формулы!$R122</f>
        <v>0</v>
      </c>
      <c r="T122" s="16">
        <f>_xlfn.XLOOKUP($A122,Centrum[Индекс],Centrum[Transportation total amount / Общая стоимость перевозки],0,0,1)</f>
        <v>0</v>
      </c>
      <c r="U122" s="12" cm="1">
        <f t="array" ref="U12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22" s="16">
        <f>_xlfn.XLOOKUP(Шаблон_Формулы[[#This Row],[21]],Курс_USD[Дата],Курс_USD[Курс],,0,1)</f>
        <v>11445.03</v>
      </c>
      <c r="W122" s="16">
        <f>Шаблон_Формулы!$T122*Шаблон_Формулы!$V122</f>
        <v>0</v>
      </c>
      <c r="Y122" s="16">
        <f>Шаблон_Формулы!$W122+Шаблон_Формулы!$X122</f>
        <v>0</v>
      </c>
      <c r="Z122" s="14" t="str">
        <f>_xlfn.XLOOKUP($A122,Centrum[Индекс],Centrum[Transport co invoice no/ 
Номер инвойса ТК],"",0,1)</f>
        <v/>
      </c>
    </row>
    <row r="123" spans="1:26" s="11" customFormat="1" x14ac:dyDescent="0.3">
      <c r="A123" s="14">
        <v>119</v>
      </c>
      <c r="B123" s="11" t="str">
        <f>_xlfn.XLOOKUP($A123,Centrum[Индекс],Centrum[Carrier/ Перевозчик],"",0,1)</f>
        <v/>
      </c>
      <c r="C123" s="11" t="str">
        <f>_xlfn.XLOOKUP($A123,Centrum[Индекс],Centrum[Country /  Страна],"",0,1)</f>
        <v/>
      </c>
      <c r="D123" s="11" t="str">
        <f>_xlfn.XLOOKUP($A123,Centrum[Индекс],Centrum[Container num./ 
№ контейнера],"",0,1)</f>
        <v/>
      </c>
      <c r="E123" s="11" t="str">
        <f>_xlfn.XLOOKUP($A123,Centrum[Индекс],Centrum[Supplier/
Поставщик],"",0,1)</f>
        <v/>
      </c>
      <c r="F123" s="11" t="str">
        <f>_xlfn.XLOOKUP($A123,Centrum[Индекс],Centrum[Shippers invoice no/ 
Номер инвойса поставщика],"",1)</f>
        <v/>
      </c>
      <c r="G123" s="15" t="str">
        <f>_xlfn.XLOOKUP($A123,Centrum[Индекс],Centrum[Invoice value / Стоимость груза в к-ре по инвойсу],"",0,1)</f>
        <v/>
      </c>
      <c r="H123" s="14" t="s">
        <v>40</v>
      </c>
      <c r="I123" s="11" t="str">
        <f>_xlfn.XLOOKUP($A123,Centrum[Индекс],Centrum[CBM on the shipper/ 
CBM по поставщику],"",0,1)</f>
        <v/>
      </c>
      <c r="J123" s="16" t="str">
        <f>_xlfn.XLOOKUP($A123,Centrum[Индекс],Centrum[Gross weight of cont// 
Гросс.вес по конт.],"",0,1)</f>
        <v/>
      </c>
      <c r="K123" s="17" t="str">
        <f>_xlfn.XLOOKUP($A123,Centrum[Индекс],Centrum[Route/ Маршрут (TSR/TCR)],"",0,1)</f>
        <v/>
      </c>
      <c r="L123" s="11" t="str">
        <f>_xlfn.XLOOKUP($A123,Centrum[Индекс],Centrum[Условия поставки],"",0,1)</f>
        <v/>
      </c>
      <c r="M123" s="11" t="str">
        <f>_xlfn.XLOOKUP($A123,Centrum[Индекс],Centrum[№ HBL date / 
№/ дата коносамента],"",0,1)</f>
        <v/>
      </c>
      <c r="N123" s="11" t="str">
        <f>_xlfn.XLOOKUP($A123,Centrum[Индекс],Centrum[№ MBL / 
№/ коносамента],"",0,1)</f>
        <v/>
      </c>
      <c r="O123" s="8" t="e">
        <f>(_xlfn.XLOOKUP($A123,Centrum[Индекс],Centrum[Date on board / Дата погрузки на судно],"",0,1))*1</f>
        <v>#VALUE!</v>
      </c>
      <c r="P123" s="8" t="e">
        <f>(_xlfn.XLOOKUP($A123,Centrum[Индекс],Centrum[Date of arrival to Sary-Agach/ Дата прибытия на Сары-Агач],"",0,1))*1</f>
        <v>#VALUE!</v>
      </c>
      <c r="Q123" s="14" t="str">
        <f>_xlfn.XLOOKUP($A123,Centrum[Индекс],Centrum[Container type/ 
Тип контейнера],"",0,1)</f>
        <v/>
      </c>
      <c r="R123" s="16">
        <f>_xlfn.XLOOKUP($A123,Centrum[Индекс],Centrum[Transportation cost per supplier/ 
Cтоимость перевозки по поставщикам],0,0,1)</f>
        <v>0</v>
      </c>
      <c r="S123" s="16">
        <f>Шаблон_Формулы!$T123-Шаблон_Формулы!$R123</f>
        <v>0</v>
      </c>
      <c r="T123" s="16">
        <f>_xlfn.XLOOKUP($A123,Centrum[Индекс],Centrum[Transportation total amount / Общая стоимость перевозки],0,0,1)</f>
        <v>0</v>
      </c>
      <c r="U123" s="12" cm="1">
        <f t="array" ref="U12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23" s="16">
        <f>_xlfn.XLOOKUP(Шаблон_Формулы[[#This Row],[21]],Курс_USD[Дата],Курс_USD[Курс],,0,1)</f>
        <v>11445.03</v>
      </c>
      <c r="W123" s="16">
        <f>Шаблон_Формулы!$T123*Шаблон_Формулы!$V123</f>
        <v>0</v>
      </c>
      <c r="Y123" s="16">
        <f>Шаблон_Формулы!$W123+Шаблон_Формулы!$X123</f>
        <v>0</v>
      </c>
      <c r="Z123" s="14" t="str">
        <f>_xlfn.XLOOKUP($A123,Centrum[Индекс],Centrum[Transport co invoice no/ 
Номер инвойса ТК],"",0,1)</f>
        <v/>
      </c>
    </row>
    <row r="124" spans="1:26" s="11" customFormat="1" x14ac:dyDescent="0.3">
      <c r="A124" s="14">
        <v>120</v>
      </c>
      <c r="B124" s="11" t="str">
        <f>_xlfn.XLOOKUP($A124,Centrum[Индекс],Centrum[Carrier/ Перевозчик],"",0,1)</f>
        <v/>
      </c>
      <c r="C124" s="11" t="str">
        <f>_xlfn.XLOOKUP($A124,Centrum[Индекс],Centrum[Country /  Страна],"",0,1)</f>
        <v/>
      </c>
      <c r="D124" s="11" t="str">
        <f>_xlfn.XLOOKUP($A124,Centrum[Индекс],Centrum[Container num./ 
№ контейнера],"",0,1)</f>
        <v/>
      </c>
      <c r="E124" s="11" t="str">
        <f>_xlfn.XLOOKUP($A124,Centrum[Индекс],Centrum[Supplier/
Поставщик],"",0,1)</f>
        <v/>
      </c>
      <c r="F124" s="11" t="str">
        <f>_xlfn.XLOOKUP($A124,Centrum[Индекс],Centrum[Shippers invoice no/ 
Номер инвойса поставщика],"",1)</f>
        <v/>
      </c>
      <c r="G124" s="15" t="str">
        <f>_xlfn.XLOOKUP($A124,Centrum[Индекс],Centrum[Invoice value / Стоимость груза в к-ре по инвойсу],"",0,1)</f>
        <v/>
      </c>
      <c r="H124" s="14" t="s">
        <v>40</v>
      </c>
      <c r="I124" s="11" t="str">
        <f>_xlfn.XLOOKUP($A124,Centrum[Индекс],Centrum[CBM on the shipper/ 
CBM по поставщику],"",0,1)</f>
        <v/>
      </c>
      <c r="J124" s="16" t="str">
        <f>_xlfn.XLOOKUP($A124,Centrum[Индекс],Centrum[Gross weight of cont// 
Гросс.вес по конт.],"",0,1)</f>
        <v/>
      </c>
      <c r="K124" s="17" t="str">
        <f>_xlfn.XLOOKUP($A124,Centrum[Индекс],Centrum[Route/ Маршрут (TSR/TCR)],"",0,1)</f>
        <v/>
      </c>
      <c r="L124" s="11" t="str">
        <f>_xlfn.XLOOKUP($A124,Centrum[Индекс],Centrum[Условия поставки],"",0,1)</f>
        <v/>
      </c>
      <c r="M124" s="11" t="str">
        <f>_xlfn.XLOOKUP($A124,Centrum[Индекс],Centrum[№ HBL date / 
№/ дата коносамента],"",0,1)</f>
        <v/>
      </c>
      <c r="N124" s="11" t="str">
        <f>_xlfn.XLOOKUP($A124,Centrum[Индекс],Centrum[№ MBL / 
№/ коносамента],"",0,1)</f>
        <v/>
      </c>
      <c r="O124" s="8" t="e">
        <f>(_xlfn.XLOOKUP($A124,Centrum[Индекс],Centrum[Date on board / Дата погрузки на судно],"",0,1))*1</f>
        <v>#VALUE!</v>
      </c>
      <c r="P124" s="8" t="e">
        <f>(_xlfn.XLOOKUP($A124,Centrum[Индекс],Centrum[Date of arrival to Sary-Agach/ Дата прибытия на Сары-Агач],"",0,1))*1</f>
        <v>#VALUE!</v>
      </c>
      <c r="Q124" s="14" t="str">
        <f>_xlfn.XLOOKUP($A124,Centrum[Индекс],Centrum[Container type/ 
Тип контейнера],"",0,1)</f>
        <v/>
      </c>
      <c r="R124" s="16">
        <f>_xlfn.XLOOKUP($A124,Centrum[Индекс],Centrum[Transportation cost per supplier/ 
Cтоимость перевозки по поставщикам],0,0,1)</f>
        <v>0</v>
      </c>
      <c r="S124" s="16">
        <f>Шаблон_Формулы!$T124-Шаблон_Формулы!$R124</f>
        <v>0</v>
      </c>
      <c r="T124" s="16">
        <f>_xlfn.XLOOKUP($A124,Centrum[Индекс],Centrum[Transportation total amount / Общая стоимость перевозки],0,0,1)</f>
        <v>0</v>
      </c>
      <c r="U124" s="12" cm="1">
        <f t="array" ref="U12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24" s="16">
        <f>_xlfn.XLOOKUP(Шаблон_Формулы[[#This Row],[21]],Курс_USD[Дата],Курс_USD[Курс],,0,1)</f>
        <v>11445.03</v>
      </c>
      <c r="W124" s="16">
        <f>Шаблон_Формулы!$T124*Шаблон_Формулы!$V124</f>
        <v>0</v>
      </c>
      <c r="Y124" s="16">
        <f>Шаблон_Формулы!$W124+Шаблон_Формулы!$X124</f>
        <v>0</v>
      </c>
      <c r="Z124" s="14" t="str">
        <f>_xlfn.XLOOKUP($A124,Centrum[Индекс],Centrum[Transport co invoice no/ 
Номер инвойса ТК],"",0,1)</f>
        <v/>
      </c>
    </row>
    <row r="125" spans="1:26" s="11" customFormat="1" x14ac:dyDescent="0.3">
      <c r="A125" s="14">
        <v>121</v>
      </c>
      <c r="B125" s="11" t="str">
        <f>_xlfn.XLOOKUP($A125,Centrum[Индекс],Centrum[Carrier/ Перевозчик],"",0,1)</f>
        <v/>
      </c>
      <c r="C125" s="11" t="str">
        <f>_xlfn.XLOOKUP($A125,Centrum[Индекс],Centrum[Country /  Страна],"",0,1)</f>
        <v/>
      </c>
      <c r="D125" s="11" t="str">
        <f>_xlfn.XLOOKUP($A125,Centrum[Индекс],Centrum[Container num./ 
№ контейнера],"",0,1)</f>
        <v/>
      </c>
      <c r="E125" s="11" t="str">
        <f>_xlfn.XLOOKUP($A125,Centrum[Индекс],Centrum[Supplier/
Поставщик],"",0,1)</f>
        <v/>
      </c>
      <c r="F125" s="11" t="str">
        <f>_xlfn.XLOOKUP($A125,Centrum[Индекс],Centrum[Shippers invoice no/ 
Номер инвойса поставщика],"",1)</f>
        <v/>
      </c>
      <c r="G125" s="15" t="str">
        <f>_xlfn.XLOOKUP($A125,Centrum[Индекс],Centrum[Invoice value / Стоимость груза в к-ре по инвойсу],"",0,1)</f>
        <v/>
      </c>
      <c r="H125" s="14" t="s">
        <v>40</v>
      </c>
      <c r="I125" s="11" t="str">
        <f>_xlfn.XLOOKUP($A125,Centrum[Индекс],Centrum[CBM on the shipper/ 
CBM по поставщику],"",0,1)</f>
        <v/>
      </c>
      <c r="J125" s="16" t="str">
        <f>_xlfn.XLOOKUP($A125,Centrum[Индекс],Centrum[Gross weight of cont// 
Гросс.вес по конт.],"",0,1)</f>
        <v/>
      </c>
      <c r="K125" s="17" t="str">
        <f>_xlfn.XLOOKUP($A125,Centrum[Индекс],Centrum[Route/ Маршрут (TSR/TCR)],"",0,1)</f>
        <v/>
      </c>
      <c r="L125" s="11" t="str">
        <f>_xlfn.XLOOKUP($A125,Centrum[Индекс],Centrum[Условия поставки],"",0,1)</f>
        <v/>
      </c>
      <c r="M125" s="11" t="str">
        <f>_xlfn.XLOOKUP($A125,Centrum[Индекс],Centrum[№ HBL date / 
№/ дата коносамента],"",0,1)</f>
        <v/>
      </c>
      <c r="N125" s="11" t="str">
        <f>_xlfn.XLOOKUP($A125,Centrum[Индекс],Centrum[№ MBL / 
№/ коносамента],"",0,1)</f>
        <v/>
      </c>
      <c r="O125" s="8" t="e">
        <f>(_xlfn.XLOOKUP($A125,Centrum[Индекс],Centrum[Date on board / Дата погрузки на судно],"",0,1))*1</f>
        <v>#VALUE!</v>
      </c>
      <c r="P125" s="8" t="e">
        <f>(_xlfn.XLOOKUP($A125,Centrum[Индекс],Centrum[Date of arrival to Sary-Agach/ Дата прибытия на Сары-Агач],"",0,1))*1</f>
        <v>#VALUE!</v>
      </c>
      <c r="Q125" s="14" t="str">
        <f>_xlfn.XLOOKUP($A125,Centrum[Индекс],Centrum[Container type/ 
Тип контейнера],"",0,1)</f>
        <v/>
      </c>
      <c r="R125" s="16">
        <f>_xlfn.XLOOKUP($A125,Centrum[Индекс],Centrum[Transportation cost per supplier/ 
Cтоимость перевозки по поставщикам],0,0,1)</f>
        <v>0</v>
      </c>
      <c r="S125" s="16">
        <f>Шаблон_Формулы!$T125-Шаблон_Формулы!$R125</f>
        <v>0</v>
      </c>
      <c r="T125" s="16">
        <f>_xlfn.XLOOKUP($A125,Centrum[Индекс],Centrum[Transportation total amount / Общая стоимость перевозки],0,0,1)</f>
        <v>0</v>
      </c>
      <c r="U125" s="12" cm="1">
        <f t="array" ref="U12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25" s="16">
        <f>_xlfn.XLOOKUP(Шаблон_Формулы[[#This Row],[21]],Курс_USD[Дата],Курс_USD[Курс],,0,1)</f>
        <v>11445.03</v>
      </c>
      <c r="W125" s="16">
        <f>Шаблон_Формулы!$T125*Шаблон_Формулы!$V125</f>
        <v>0</v>
      </c>
      <c r="Y125" s="16">
        <f>Шаблон_Формулы!$W125+Шаблон_Формулы!$X125</f>
        <v>0</v>
      </c>
      <c r="Z125" s="14" t="str">
        <f>_xlfn.XLOOKUP($A125,Centrum[Индекс],Centrum[Transport co invoice no/ 
Номер инвойса ТК],"",0,1)</f>
        <v/>
      </c>
    </row>
    <row r="126" spans="1:26" s="11" customFormat="1" x14ac:dyDescent="0.3">
      <c r="A126" s="14">
        <v>122</v>
      </c>
      <c r="B126" s="11" t="str">
        <f>_xlfn.XLOOKUP($A126,Centrum[Индекс],Centrum[Carrier/ Перевозчик],"",0,1)</f>
        <v/>
      </c>
      <c r="C126" s="11" t="str">
        <f>_xlfn.XLOOKUP($A126,Centrum[Индекс],Centrum[Country /  Страна],"",0,1)</f>
        <v/>
      </c>
      <c r="D126" s="11" t="str">
        <f>_xlfn.XLOOKUP($A126,Centrum[Индекс],Centrum[Container num./ 
№ контейнера],"",0,1)</f>
        <v/>
      </c>
      <c r="E126" s="11" t="str">
        <f>_xlfn.XLOOKUP($A126,Centrum[Индекс],Centrum[Supplier/
Поставщик],"",0,1)</f>
        <v/>
      </c>
      <c r="F126" s="11" t="str">
        <f>_xlfn.XLOOKUP($A126,Centrum[Индекс],Centrum[Shippers invoice no/ 
Номер инвойса поставщика],"",1)</f>
        <v/>
      </c>
      <c r="G126" s="15" t="str">
        <f>_xlfn.XLOOKUP($A126,Centrum[Индекс],Centrum[Invoice value / Стоимость груза в к-ре по инвойсу],"",0,1)</f>
        <v/>
      </c>
      <c r="H126" s="14" t="s">
        <v>40</v>
      </c>
      <c r="I126" s="11" t="str">
        <f>_xlfn.XLOOKUP($A126,Centrum[Индекс],Centrum[CBM on the shipper/ 
CBM по поставщику],"",0,1)</f>
        <v/>
      </c>
      <c r="J126" s="16" t="str">
        <f>_xlfn.XLOOKUP($A126,Centrum[Индекс],Centrum[Gross weight of cont// 
Гросс.вес по конт.],"",0,1)</f>
        <v/>
      </c>
      <c r="K126" s="17" t="str">
        <f>_xlfn.XLOOKUP($A126,Centrum[Индекс],Centrum[Route/ Маршрут (TSR/TCR)],"",0,1)</f>
        <v/>
      </c>
      <c r="L126" s="11" t="str">
        <f>_xlfn.XLOOKUP($A126,Centrum[Индекс],Centrum[Условия поставки],"",0,1)</f>
        <v/>
      </c>
      <c r="M126" s="11" t="str">
        <f>_xlfn.XLOOKUP($A126,Centrum[Индекс],Centrum[№ HBL date / 
№/ дата коносамента],"",0,1)</f>
        <v/>
      </c>
      <c r="N126" s="11" t="str">
        <f>_xlfn.XLOOKUP($A126,Centrum[Индекс],Centrum[№ MBL / 
№/ коносамента],"",0,1)</f>
        <v/>
      </c>
      <c r="O126" s="8" t="e">
        <f>(_xlfn.XLOOKUP($A126,Centrum[Индекс],Centrum[Date on board / Дата погрузки на судно],"",0,1))*1</f>
        <v>#VALUE!</v>
      </c>
      <c r="P126" s="8" t="e">
        <f>(_xlfn.XLOOKUP($A126,Centrum[Индекс],Centrum[Date of arrival to Sary-Agach/ Дата прибытия на Сары-Агач],"",0,1))*1</f>
        <v>#VALUE!</v>
      </c>
      <c r="Q126" s="14" t="str">
        <f>_xlfn.XLOOKUP($A126,Centrum[Индекс],Centrum[Container type/ 
Тип контейнера],"",0,1)</f>
        <v/>
      </c>
      <c r="R126" s="16">
        <f>_xlfn.XLOOKUP($A126,Centrum[Индекс],Centrum[Transportation cost per supplier/ 
Cтоимость перевозки по поставщикам],0,0,1)</f>
        <v>0</v>
      </c>
      <c r="S126" s="16">
        <f>Шаблон_Формулы!$T126-Шаблон_Формулы!$R126</f>
        <v>0</v>
      </c>
      <c r="T126" s="16">
        <f>_xlfn.XLOOKUP($A126,Centrum[Индекс],Centrum[Transportation total amount / Общая стоимость перевозки],0,0,1)</f>
        <v>0</v>
      </c>
      <c r="U126" s="12" cm="1">
        <f t="array" ref="U12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26" s="16">
        <f>_xlfn.XLOOKUP(Шаблон_Формулы[[#This Row],[21]],Курс_USD[Дата],Курс_USD[Курс],,0,1)</f>
        <v>11445.03</v>
      </c>
      <c r="W126" s="16">
        <f>Шаблон_Формулы!$T126*Шаблон_Формулы!$V126</f>
        <v>0</v>
      </c>
      <c r="Y126" s="16">
        <f>Шаблон_Формулы!$W126+Шаблон_Формулы!$X126</f>
        <v>0</v>
      </c>
      <c r="Z126" s="14" t="str">
        <f>_xlfn.XLOOKUP($A126,Centrum[Индекс],Centrum[Transport co invoice no/ 
Номер инвойса ТК],"",0,1)</f>
        <v/>
      </c>
    </row>
    <row r="127" spans="1:26" s="11" customFormat="1" x14ac:dyDescent="0.3">
      <c r="A127" s="14">
        <v>123</v>
      </c>
      <c r="B127" s="11" t="str">
        <f>_xlfn.XLOOKUP($A127,Centrum[Индекс],Centrum[Carrier/ Перевозчик],"",0,1)</f>
        <v/>
      </c>
      <c r="C127" s="11" t="str">
        <f>_xlfn.XLOOKUP($A127,Centrum[Индекс],Centrum[Country /  Страна],"",0,1)</f>
        <v/>
      </c>
      <c r="D127" s="11" t="str">
        <f>_xlfn.XLOOKUP($A127,Centrum[Индекс],Centrum[Container num./ 
№ контейнера],"",0,1)</f>
        <v/>
      </c>
      <c r="E127" s="11" t="str">
        <f>_xlfn.XLOOKUP($A127,Centrum[Индекс],Centrum[Supplier/
Поставщик],"",0,1)</f>
        <v/>
      </c>
      <c r="F127" s="11" t="str">
        <f>_xlfn.XLOOKUP($A127,Centrum[Индекс],Centrum[Shippers invoice no/ 
Номер инвойса поставщика],"",1)</f>
        <v/>
      </c>
      <c r="G127" s="15" t="str">
        <f>_xlfn.XLOOKUP($A127,Centrum[Индекс],Centrum[Invoice value / Стоимость груза в к-ре по инвойсу],"",0,1)</f>
        <v/>
      </c>
      <c r="H127" s="14" t="s">
        <v>40</v>
      </c>
      <c r="I127" s="11" t="str">
        <f>_xlfn.XLOOKUP($A127,Centrum[Индекс],Centrum[CBM on the shipper/ 
CBM по поставщику],"",0,1)</f>
        <v/>
      </c>
      <c r="J127" s="16" t="str">
        <f>_xlfn.XLOOKUP($A127,Centrum[Индекс],Centrum[Gross weight of cont// 
Гросс.вес по конт.],"",0,1)</f>
        <v/>
      </c>
      <c r="K127" s="17" t="str">
        <f>_xlfn.XLOOKUP($A127,Centrum[Индекс],Centrum[Route/ Маршрут (TSR/TCR)],"",0,1)</f>
        <v/>
      </c>
      <c r="L127" s="11" t="str">
        <f>_xlfn.XLOOKUP($A127,Centrum[Индекс],Centrum[Условия поставки],"",0,1)</f>
        <v/>
      </c>
      <c r="M127" s="11" t="str">
        <f>_xlfn.XLOOKUP($A127,Centrum[Индекс],Centrum[№ HBL date / 
№/ дата коносамента],"",0,1)</f>
        <v/>
      </c>
      <c r="N127" s="11" t="str">
        <f>_xlfn.XLOOKUP($A127,Centrum[Индекс],Centrum[№ MBL / 
№/ коносамента],"",0,1)</f>
        <v/>
      </c>
      <c r="O127" s="8" t="e">
        <f>(_xlfn.XLOOKUP($A127,Centrum[Индекс],Centrum[Date on board / Дата погрузки на судно],"",0,1))*1</f>
        <v>#VALUE!</v>
      </c>
      <c r="P127" s="8" t="e">
        <f>(_xlfn.XLOOKUP($A127,Centrum[Индекс],Centrum[Date of arrival to Sary-Agach/ Дата прибытия на Сары-Агач],"",0,1))*1</f>
        <v>#VALUE!</v>
      </c>
      <c r="Q127" s="14" t="str">
        <f>_xlfn.XLOOKUP($A127,Centrum[Индекс],Centrum[Container type/ 
Тип контейнера],"",0,1)</f>
        <v/>
      </c>
      <c r="R127" s="16">
        <f>_xlfn.XLOOKUP($A127,Centrum[Индекс],Centrum[Transportation cost per supplier/ 
Cтоимость перевозки по поставщикам],0,0,1)</f>
        <v>0</v>
      </c>
      <c r="S127" s="16">
        <f>Шаблон_Формулы!$T127-Шаблон_Формулы!$R127</f>
        <v>0</v>
      </c>
      <c r="T127" s="16">
        <f>_xlfn.XLOOKUP($A127,Centrum[Индекс],Centrum[Transportation total amount / Общая стоимость перевозки],0,0,1)</f>
        <v>0</v>
      </c>
      <c r="U127" s="12" cm="1">
        <f t="array" ref="U12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27" s="16">
        <f>_xlfn.XLOOKUP(Шаблон_Формулы[[#This Row],[21]],Курс_USD[Дата],Курс_USD[Курс],,0,1)</f>
        <v>11445.03</v>
      </c>
      <c r="W127" s="16">
        <f>Шаблон_Формулы!$T127*Шаблон_Формулы!$V127</f>
        <v>0</v>
      </c>
      <c r="Y127" s="16">
        <f>Шаблон_Формулы!$W127+Шаблон_Формулы!$X127</f>
        <v>0</v>
      </c>
      <c r="Z127" s="14" t="str">
        <f>_xlfn.XLOOKUP($A127,Centrum[Индекс],Centrum[Transport co invoice no/ 
Номер инвойса ТК],"",0,1)</f>
        <v/>
      </c>
    </row>
    <row r="128" spans="1:26" s="11" customFormat="1" x14ac:dyDescent="0.3">
      <c r="A128" s="14">
        <v>124</v>
      </c>
      <c r="B128" s="11" t="str">
        <f>_xlfn.XLOOKUP($A128,Centrum[Индекс],Centrum[Carrier/ Перевозчик],"",0,1)</f>
        <v/>
      </c>
      <c r="C128" s="11" t="str">
        <f>_xlfn.XLOOKUP($A128,Centrum[Индекс],Centrum[Country /  Страна],"",0,1)</f>
        <v/>
      </c>
      <c r="D128" s="11" t="str">
        <f>_xlfn.XLOOKUP($A128,Centrum[Индекс],Centrum[Container num./ 
№ контейнера],"",0,1)</f>
        <v/>
      </c>
      <c r="E128" s="11" t="str">
        <f>_xlfn.XLOOKUP($A128,Centrum[Индекс],Centrum[Supplier/
Поставщик],"",0,1)</f>
        <v/>
      </c>
      <c r="F128" s="11" t="str">
        <f>_xlfn.XLOOKUP($A128,Centrum[Индекс],Centrum[Shippers invoice no/ 
Номер инвойса поставщика],"",1)</f>
        <v/>
      </c>
      <c r="G128" s="15" t="str">
        <f>_xlfn.XLOOKUP($A128,Centrum[Индекс],Centrum[Invoice value / Стоимость груза в к-ре по инвойсу],"",0,1)</f>
        <v/>
      </c>
      <c r="H128" s="14" t="s">
        <v>40</v>
      </c>
      <c r="I128" s="11" t="str">
        <f>_xlfn.XLOOKUP($A128,Centrum[Индекс],Centrum[CBM on the shipper/ 
CBM по поставщику],"",0,1)</f>
        <v/>
      </c>
      <c r="J128" s="16" t="str">
        <f>_xlfn.XLOOKUP($A128,Centrum[Индекс],Centrum[Gross weight of cont// 
Гросс.вес по конт.],"",0,1)</f>
        <v/>
      </c>
      <c r="K128" s="17" t="str">
        <f>_xlfn.XLOOKUP($A128,Centrum[Индекс],Centrum[Route/ Маршрут (TSR/TCR)],"",0,1)</f>
        <v/>
      </c>
      <c r="L128" s="11" t="str">
        <f>_xlfn.XLOOKUP($A128,Centrum[Индекс],Centrum[Условия поставки],"",0,1)</f>
        <v/>
      </c>
      <c r="M128" s="11" t="str">
        <f>_xlfn.XLOOKUP($A128,Centrum[Индекс],Centrum[№ HBL date / 
№/ дата коносамента],"",0,1)</f>
        <v/>
      </c>
      <c r="N128" s="11" t="str">
        <f>_xlfn.XLOOKUP($A128,Centrum[Индекс],Centrum[№ MBL / 
№/ коносамента],"",0,1)</f>
        <v/>
      </c>
      <c r="O128" s="8" t="e">
        <f>(_xlfn.XLOOKUP($A128,Centrum[Индекс],Centrum[Date on board / Дата погрузки на судно],"",0,1))*1</f>
        <v>#VALUE!</v>
      </c>
      <c r="P128" s="8" t="e">
        <f>(_xlfn.XLOOKUP($A128,Centrum[Индекс],Centrum[Date of arrival to Sary-Agach/ Дата прибытия на Сары-Агач],"",0,1))*1</f>
        <v>#VALUE!</v>
      </c>
      <c r="Q128" s="14" t="str">
        <f>_xlfn.XLOOKUP($A128,Centrum[Индекс],Centrum[Container type/ 
Тип контейнера],"",0,1)</f>
        <v/>
      </c>
      <c r="R128" s="16">
        <f>_xlfn.XLOOKUP($A128,Centrum[Индекс],Centrum[Transportation cost per supplier/ 
Cтоимость перевозки по поставщикам],0,0,1)</f>
        <v>0</v>
      </c>
      <c r="S128" s="16">
        <f>Шаблон_Формулы!$T128-Шаблон_Формулы!$R128</f>
        <v>0</v>
      </c>
      <c r="T128" s="16">
        <f>_xlfn.XLOOKUP($A128,Centrum[Индекс],Centrum[Transportation total amount / Общая стоимость перевозки],0,0,1)</f>
        <v>0</v>
      </c>
      <c r="U128" s="12" cm="1">
        <f t="array" ref="U12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28" s="16">
        <f>_xlfn.XLOOKUP(Шаблон_Формулы[[#This Row],[21]],Курс_USD[Дата],Курс_USD[Курс],,0,1)</f>
        <v>11445.03</v>
      </c>
      <c r="W128" s="16">
        <f>Шаблон_Формулы!$T128*Шаблон_Формулы!$V128</f>
        <v>0</v>
      </c>
      <c r="Y128" s="16">
        <f>Шаблон_Формулы!$W128+Шаблон_Формулы!$X128</f>
        <v>0</v>
      </c>
      <c r="Z128" s="14" t="str">
        <f>_xlfn.XLOOKUP($A128,Centrum[Индекс],Centrum[Transport co invoice no/ 
Номер инвойса ТК],"",0,1)</f>
        <v/>
      </c>
    </row>
    <row r="129" spans="1:26" s="11" customFormat="1" x14ac:dyDescent="0.3">
      <c r="A129" s="14">
        <v>125</v>
      </c>
      <c r="B129" s="11" t="str">
        <f>_xlfn.XLOOKUP($A129,Centrum[Индекс],Centrum[Carrier/ Перевозчик],"",0,1)</f>
        <v/>
      </c>
      <c r="C129" s="11" t="str">
        <f>_xlfn.XLOOKUP($A129,Centrum[Индекс],Centrum[Country /  Страна],"",0,1)</f>
        <v/>
      </c>
      <c r="D129" s="11" t="str">
        <f>_xlfn.XLOOKUP($A129,Centrum[Индекс],Centrum[Container num./ 
№ контейнера],"",0,1)</f>
        <v/>
      </c>
      <c r="E129" s="11" t="str">
        <f>_xlfn.XLOOKUP($A129,Centrum[Индекс],Centrum[Supplier/
Поставщик],"",0,1)</f>
        <v/>
      </c>
      <c r="F129" s="11" t="str">
        <f>_xlfn.XLOOKUP($A129,Centrum[Индекс],Centrum[Shippers invoice no/ 
Номер инвойса поставщика],"",1)</f>
        <v/>
      </c>
      <c r="G129" s="15" t="str">
        <f>_xlfn.XLOOKUP($A129,Centrum[Индекс],Centrum[Invoice value / Стоимость груза в к-ре по инвойсу],"",0,1)</f>
        <v/>
      </c>
      <c r="H129" s="14" t="s">
        <v>40</v>
      </c>
      <c r="I129" s="11" t="str">
        <f>_xlfn.XLOOKUP($A129,Centrum[Индекс],Centrum[CBM on the shipper/ 
CBM по поставщику],"",0,1)</f>
        <v/>
      </c>
      <c r="J129" s="16" t="str">
        <f>_xlfn.XLOOKUP($A129,Centrum[Индекс],Centrum[Gross weight of cont// 
Гросс.вес по конт.],"",0,1)</f>
        <v/>
      </c>
      <c r="K129" s="17" t="str">
        <f>_xlfn.XLOOKUP($A129,Centrum[Индекс],Centrum[Route/ Маршрут (TSR/TCR)],"",0,1)</f>
        <v/>
      </c>
      <c r="L129" s="11" t="str">
        <f>_xlfn.XLOOKUP($A129,Centrum[Индекс],Centrum[Условия поставки],"",0,1)</f>
        <v/>
      </c>
      <c r="M129" s="11" t="str">
        <f>_xlfn.XLOOKUP($A129,Centrum[Индекс],Centrum[№ HBL date / 
№/ дата коносамента],"",0,1)</f>
        <v/>
      </c>
      <c r="N129" s="11" t="str">
        <f>_xlfn.XLOOKUP($A129,Centrum[Индекс],Centrum[№ MBL / 
№/ коносамента],"",0,1)</f>
        <v/>
      </c>
      <c r="O129" s="8" t="e">
        <f>(_xlfn.XLOOKUP($A129,Centrum[Индекс],Centrum[Date on board / Дата погрузки на судно],"",0,1))*1</f>
        <v>#VALUE!</v>
      </c>
      <c r="P129" s="8" t="e">
        <f>(_xlfn.XLOOKUP($A129,Centrum[Индекс],Centrum[Date of arrival to Sary-Agach/ Дата прибытия на Сары-Агач],"",0,1))*1</f>
        <v>#VALUE!</v>
      </c>
      <c r="Q129" s="14" t="str">
        <f>_xlfn.XLOOKUP($A129,Centrum[Индекс],Centrum[Container type/ 
Тип контейнера],"",0,1)</f>
        <v/>
      </c>
      <c r="R129" s="16">
        <f>_xlfn.XLOOKUP($A129,Centrum[Индекс],Centrum[Transportation cost per supplier/ 
Cтоимость перевозки по поставщикам],0,0,1)</f>
        <v>0</v>
      </c>
      <c r="S129" s="16">
        <f>Шаблон_Формулы!$T129-Шаблон_Формулы!$R129</f>
        <v>0</v>
      </c>
      <c r="T129" s="16">
        <f>_xlfn.XLOOKUP($A129,Centrum[Индекс],Centrum[Transportation total amount / Общая стоимость перевозки],0,0,1)</f>
        <v>0</v>
      </c>
      <c r="U129" s="12" cm="1">
        <f t="array" ref="U12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29" s="16">
        <f>_xlfn.XLOOKUP(Шаблон_Формулы[[#This Row],[21]],Курс_USD[Дата],Курс_USD[Курс],,0,1)</f>
        <v>11445.03</v>
      </c>
      <c r="W129" s="16">
        <f>Шаблон_Формулы!$T129*Шаблон_Формулы!$V129</f>
        <v>0</v>
      </c>
      <c r="Y129" s="16">
        <f>Шаблон_Формулы!$W129+Шаблон_Формулы!$X129</f>
        <v>0</v>
      </c>
      <c r="Z129" s="14" t="str">
        <f>_xlfn.XLOOKUP($A129,Centrum[Индекс],Centrum[Transport co invoice no/ 
Номер инвойса ТК],"",0,1)</f>
        <v/>
      </c>
    </row>
    <row r="130" spans="1:26" s="11" customFormat="1" x14ac:dyDescent="0.3">
      <c r="A130" s="14">
        <v>126</v>
      </c>
      <c r="B130" s="11" t="str">
        <f>_xlfn.XLOOKUP($A130,Centrum[Индекс],Centrum[Carrier/ Перевозчик],"",0,1)</f>
        <v/>
      </c>
      <c r="C130" s="11" t="str">
        <f>_xlfn.XLOOKUP($A130,Centrum[Индекс],Centrum[Country /  Страна],"",0,1)</f>
        <v/>
      </c>
      <c r="D130" s="11" t="str">
        <f>_xlfn.XLOOKUP($A130,Centrum[Индекс],Centrum[Container num./ 
№ контейнера],"",0,1)</f>
        <v/>
      </c>
      <c r="E130" s="11" t="str">
        <f>_xlfn.XLOOKUP($A130,Centrum[Индекс],Centrum[Supplier/
Поставщик],"",0,1)</f>
        <v/>
      </c>
      <c r="F130" s="11" t="str">
        <f>_xlfn.XLOOKUP($A130,Centrum[Индекс],Centrum[Shippers invoice no/ 
Номер инвойса поставщика],"",1)</f>
        <v/>
      </c>
      <c r="G130" s="15" t="str">
        <f>_xlfn.XLOOKUP($A130,Centrum[Индекс],Centrum[Invoice value / Стоимость груза в к-ре по инвойсу],"",0,1)</f>
        <v/>
      </c>
      <c r="H130" s="14" t="s">
        <v>40</v>
      </c>
      <c r="I130" s="11" t="str">
        <f>_xlfn.XLOOKUP($A130,Centrum[Индекс],Centrum[CBM on the shipper/ 
CBM по поставщику],"",0,1)</f>
        <v/>
      </c>
      <c r="J130" s="16" t="str">
        <f>_xlfn.XLOOKUP($A130,Centrum[Индекс],Centrum[Gross weight of cont// 
Гросс.вес по конт.],"",0,1)</f>
        <v/>
      </c>
      <c r="K130" s="17" t="str">
        <f>_xlfn.XLOOKUP($A130,Centrum[Индекс],Centrum[Route/ Маршрут (TSR/TCR)],"",0,1)</f>
        <v/>
      </c>
      <c r="L130" s="11" t="str">
        <f>_xlfn.XLOOKUP($A130,Centrum[Индекс],Centrum[Условия поставки],"",0,1)</f>
        <v/>
      </c>
      <c r="M130" s="11" t="str">
        <f>_xlfn.XLOOKUP($A130,Centrum[Индекс],Centrum[№ HBL date / 
№/ дата коносамента],"",0,1)</f>
        <v/>
      </c>
      <c r="N130" s="11" t="str">
        <f>_xlfn.XLOOKUP($A130,Centrum[Индекс],Centrum[№ MBL / 
№/ коносамента],"",0,1)</f>
        <v/>
      </c>
      <c r="O130" s="8" t="e">
        <f>(_xlfn.XLOOKUP($A130,Centrum[Индекс],Centrum[Date on board / Дата погрузки на судно],"",0,1))*1</f>
        <v>#VALUE!</v>
      </c>
      <c r="P130" s="8" t="e">
        <f>(_xlfn.XLOOKUP($A130,Centrum[Индекс],Centrum[Date of arrival to Sary-Agach/ Дата прибытия на Сары-Агач],"",0,1))*1</f>
        <v>#VALUE!</v>
      </c>
      <c r="Q130" s="14" t="str">
        <f>_xlfn.XLOOKUP($A130,Centrum[Индекс],Centrum[Container type/ 
Тип контейнера],"",0,1)</f>
        <v/>
      </c>
      <c r="R130" s="16">
        <f>_xlfn.XLOOKUP($A130,Centrum[Индекс],Centrum[Transportation cost per supplier/ 
Cтоимость перевозки по поставщикам],0,0,1)</f>
        <v>0</v>
      </c>
      <c r="S130" s="16">
        <f>Шаблон_Формулы!$T130-Шаблон_Формулы!$R130</f>
        <v>0</v>
      </c>
      <c r="T130" s="16">
        <f>_xlfn.XLOOKUP($A130,Centrum[Индекс],Centrum[Transportation total amount / Общая стоимость перевозки],0,0,1)</f>
        <v>0</v>
      </c>
      <c r="U130" s="12" cm="1">
        <f t="array" ref="U13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30" s="16">
        <f>_xlfn.XLOOKUP(Шаблон_Формулы[[#This Row],[21]],Курс_USD[Дата],Курс_USD[Курс],,0,1)</f>
        <v>11445.03</v>
      </c>
      <c r="W130" s="16">
        <f>Шаблон_Формулы!$T130*Шаблон_Формулы!$V130</f>
        <v>0</v>
      </c>
      <c r="Y130" s="16">
        <f>Шаблон_Формулы!$W130+Шаблон_Формулы!$X130</f>
        <v>0</v>
      </c>
      <c r="Z130" s="14" t="str">
        <f>_xlfn.XLOOKUP($A130,Centrum[Индекс],Centrum[Transport co invoice no/ 
Номер инвойса ТК],"",0,1)</f>
        <v/>
      </c>
    </row>
    <row r="131" spans="1:26" s="11" customFormat="1" x14ac:dyDescent="0.3">
      <c r="A131" s="14">
        <v>127</v>
      </c>
      <c r="B131" s="11" t="str">
        <f>_xlfn.XLOOKUP($A131,Centrum[Индекс],Centrum[Carrier/ Перевозчик],"",0,1)</f>
        <v/>
      </c>
      <c r="C131" s="11" t="str">
        <f>_xlfn.XLOOKUP($A131,Centrum[Индекс],Centrum[Country /  Страна],"",0,1)</f>
        <v/>
      </c>
      <c r="D131" s="11" t="str">
        <f>_xlfn.XLOOKUP($A131,Centrum[Индекс],Centrum[Container num./ 
№ контейнера],"",0,1)</f>
        <v/>
      </c>
      <c r="E131" s="11" t="str">
        <f>_xlfn.XLOOKUP($A131,Centrum[Индекс],Centrum[Supplier/
Поставщик],"",0,1)</f>
        <v/>
      </c>
      <c r="F131" s="11" t="str">
        <f>_xlfn.XLOOKUP($A131,Centrum[Индекс],Centrum[Shippers invoice no/ 
Номер инвойса поставщика],"",1)</f>
        <v/>
      </c>
      <c r="G131" s="15" t="str">
        <f>_xlfn.XLOOKUP($A131,Centrum[Индекс],Centrum[Invoice value / Стоимость груза в к-ре по инвойсу],"",0,1)</f>
        <v/>
      </c>
      <c r="H131" s="14" t="s">
        <v>40</v>
      </c>
      <c r="I131" s="11" t="str">
        <f>_xlfn.XLOOKUP($A131,Centrum[Индекс],Centrum[CBM on the shipper/ 
CBM по поставщику],"",0,1)</f>
        <v/>
      </c>
      <c r="J131" s="16" t="str">
        <f>_xlfn.XLOOKUP($A131,Centrum[Индекс],Centrum[Gross weight of cont// 
Гросс.вес по конт.],"",0,1)</f>
        <v/>
      </c>
      <c r="K131" s="17" t="str">
        <f>_xlfn.XLOOKUP($A131,Centrum[Индекс],Centrum[Route/ Маршрут (TSR/TCR)],"",0,1)</f>
        <v/>
      </c>
      <c r="L131" s="11" t="str">
        <f>_xlfn.XLOOKUP($A131,Centrum[Индекс],Centrum[Условия поставки],"",0,1)</f>
        <v/>
      </c>
      <c r="M131" s="11" t="str">
        <f>_xlfn.XLOOKUP($A131,Centrum[Индекс],Centrum[№ HBL date / 
№/ дата коносамента],"",0,1)</f>
        <v/>
      </c>
      <c r="N131" s="11" t="str">
        <f>_xlfn.XLOOKUP($A131,Centrum[Индекс],Centrum[№ MBL / 
№/ коносамента],"",0,1)</f>
        <v/>
      </c>
      <c r="O131" s="8" t="e">
        <f>(_xlfn.XLOOKUP($A131,Centrum[Индекс],Centrum[Date on board / Дата погрузки на судно],"",0,1))*1</f>
        <v>#VALUE!</v>
      </c>
      <c r="P131" s="8" t="e">
        <f>(_xlfn.XLOOKUP($A131,Centrum[Индекс],Centrum[Date of arrival to Sary-Agach/ Дата прибытия на Сары-Агач],"",0,1))*1</f>
        <v>#VALUE!</v>
      </c>
      <c r="Q131" s="14" t="str">
        <f>_xlfn.XLOOKUP($A131,Centrum[Индекс],Centrum[Container type/ 
Тип контейнера],"",0,1)</f>
        <v/>
      </c>
      <c r="R131" s="16">
        <f>_xlfn.XLOOKUP($A131,Centrum[Индекс],Centrum[Transportation cost per supplier/ 
Cтоимость перевозки по поставщикам],0,0,1)</f>
        <v>0</v>
      </c>
      <c r="S131" s="16">
        <f>Шаблон_Формулы!$T131-Шаблон_Формулы!$R131</f>
        <v>0</v>
      </c>
      <c r="T131" s="16">
        <f>_xlfn.XLOOKUP($A131,Centrum[Индекс],Centrum[Transportation total amount / Общая стоимость перевозки],0,0,1)</f>
        <v>0</v>
      </c>
      <c r="U131" s="12" cm="1">
        <f t="array" ref="U13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31" s="16">
        <f>_xlfn.XLOOKUP(Шаблон_Формулы[[#This Row],[21]],Курс_USD[Дата],Курс_USD[Курс],,0,1)</f>
        <v>11445.03</v>
      </c>
      <c r="W131" s="16">
        <f>Шаблон_Формулы!$T131*Шаблон_Формулы!$V131</f>
        <v>0</v>
      </c>
      <c r="Y131" s="16">
        <f>Шаблон_Формулы!$W131+Шаблон_Формулы!$X131</f>
        <v>0</v>
      </c>
      <c r="Z131" s="14" t="str">
        <f>_xlfn.XLOOKUP($A131,Centrum[Индекс],Centrum[Transport co invoice no/ 
Номер инвойса ТК],"",0,1)</f>
        <v/>
      </c>
    </row>
    <row r="132" spans="1:26" s="11" customFormat="1" x14ac:dyDescent="0.3">
      <c r="A132" s="14">
        <v>128</v>
      </c>
      <c r="B132" s="11" t="str">
        <f>_xlfn.XLOOKUP($A132,Centrum[Индекс],Centrum[Carrier/ Перевозчик],"",0,1)</f>
        <v/>
      </c>
      <c r="C132" s="11" t="str">
        <f>_xlfn.XLOOKUP($A132,Centrum[Индекс],Centrum[Country /  Страна],"",0,1)</f>
        <v/>
      </c>
      <c r="D132" s="11" t="str">
        <f>_xlfn.XLOOKUP($A132,Centrum[Индекс],Centrum[Container num./ 
№ контейнера],"",0,1)</f>
        <v/>
      </c>
      <c r="E132" s="11" t="str">
        <f>_xlfn.XLOOKUP($A132,Centrum[Индекс],Centrum[Supplier/
Поставщик],"",0,1)</f>
        <v/>
      </c>
      <c r="F132" s="11" t="str">
        <f>_xlfn.XLOOKUP($A132,Centrum[Индекс],Centrum[Shippers invoice no/ 
Номер инвойса поставщика],"",1)</f>
        <v/>
      </c>
      <c r="G132" s="15" t="str">
        <f>_xlfn.XLOOKUP($A132,Centrum[Индекс],Centrum[Invoice value / Стоимость груза в к-ре по инвойсу],"",0,1)</f>
        <v/>
      </c>
      <c r="H132" s="14" t="s">
        <v>40</v>
      </c>
      <c r="I132" s="11" t="str">
        <f>_xlfn.XLOOKUP($A132,Centrum[Индекс],Centrum[CBM on the shipper/ 
CBM по поставщику],"",0,1)</f>
        <v/>
      </c>
      <c r="J132" s="16" t="str">
        <f>_xlfn.XLOOKUP($A132,Centrum[Индекс],Centrum[Gross weight of cont// 
Гросс.вес по конт.],"",0,1)</f>
        <v/>
      </c>
      <c r="K132" s="17" t="str">
        <f>_xlfn.XLOOKUP($A132,Centrum[Индекс],Centrum[Route/ Маршрут (TSR/TCR)],"",0,1)</f>
        <v/>
      </c>
      <c r="L132" s="11" t="str">
        <f>_xlfn.XLOOKUP($A132,Centrum[Индекс],Centrum[Условия поставки],"",0,1)</f>
        <v/>
      </c>
      <c r="M132" s="11" t="str">
        <f>_xlfn.XLOOKUP($A132,Centrum[Индекс],Centrum[№ HBL date / 
№/ дата коносамента],"",0,1)</f>
        <v/>
      </c>
      <c r="N132" s="11" t="str">
        <f>_xlfn.XLOOKUP($A132,Centrum[Индекс],Centrum[№ MBL / 
№/ коносамента],"",0,1)</f>
        <v/>
      </c>
      <c r="O132" s="8" t="e">
        <f>(_xlfn.XLOOKUP($A132,Centrum[Индекс],Centrum[Date on board / Дата погрузки на судно],"",0,1))*1</f>
        <v>#VALUE!</v>
      </c>
      <c r="P132" s="8" t="e">
        <f>(_xlfn.XLOOKUP($A132,Centrum[Индекс],Centrum[Date of arrival to Sary-Agach/ Дата прибытия на Сары-Агач],"",0,1))*1</f>
        <v>#VALUE!</v>
      </c>
      <c r="Q132" s="14" t="str">
        <f>_xlfn.XLOOKUP($A132,Centrum[Индекс],Centrum[Container type/ 
Тип контейнера],"",0,1)</f>
        <v/>
      </c>
      <c r="R132" s="16">
        <f>_xlfn.XLOOKUP($A132,Centrum[Индекс],Centrum[Transportation cost per supplier/ 
Cтоимость перевозки по поставщикам],0,0,1)</f>
        <v>0</v>
      </c>
      <c r="S132" s="16">
        <f>Шаблон_Формулы!$T132-Шаблон_Формулы!$R132</f>
        <v>0</v>
      </c>
      <c r="T132" s="16">
        <f>_xlfn.XLOOKUP($A132,Centrum[Индекс],Centrum[Transportation total amount / Общая стоимость перевозки],0,0,1)</f>
        <v>0</v>
      </c>
      <c r="U132" s="12" cm="1">
        <f t="array" ref="U13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32" s="16">
        <f>_xlfn.XLOOKUP(Шаблон_Формулы[[#This Row],[21]],Курс_USD[Дата],Курс_USD[Курс],,0,1)</f>
        <v>11445.03</v>
      </c>
      <c r="W132" s="16">
        <f>Шаблон_Формулы!$T132*Шаблон_Формулы!$V132</f>
        <v>0</v>
      </c>
      <c r="Y132" s="16">
        <f>Шаблон_Формулы!$W132+Шаблон_Формулы!$X132</f>
        <v>0</v>
      </c>
      <c r="Z132" s="14" t="str">
        <f>_xlfn.XLOOKUP($A132,Centrum[Индекс],Centrum[Transport co invoice no/ 
Номер инвойса ТК],"",0,1)</f>
        <v/>
      </c>
    </row>
    <row r="133" spans="1:26" s="11" customFormat="1" x14ac:dyDescent="0.3">
      <c r="A133" s="14">
        <v>129</v>
      </c>
      <c r="B133" s="11" t="str">
        <f>_xlfn.XLOOKUP($A133,Centrum[Индекс],Centrum[Carrier/ Перевозчик],"",0,1)</f>
        <v/>
      </c>
      <c r="C133" s="11" t="str">
        <f>_xlfn.XLOOKUP($A133,Centrum[Индекс],Centrum[Country /  Страна],"",0,1)</f>
        <v/>
      </c>
      <c r="D133" s="11" t="str">
        <f>_xlfn.XLOOKUP($A133,Centrum[Индекс],Centrum[Container num./ 
№ контейнера],"",0,1)</f>
        <v/>
      </c>
      <c r="E133" s="11" t="str">
        <f>_xlfn.XLOOKUP($A133,Centrum[Индекс],Centrum[Supplier/
Поставщик],"",0,1)</f>
        <v/>
      </c>
      <c r="F133" s="11" t="str">
        <f>_xlfn.XLOOKUP($A133,Centrum[Индекс],Centrum[Shippers invoice no/ 
Номер инвойса поставщика],"",1)</f>
        <v/>
      </c>
      <c r="G133" s="15" t="str">
        <f>_xlfn.XLOOKUP($A133,Centrum[Индекс],Centrum[Invoice value / Стоимость груза в к-ре по инвойсу],"",0,1)</f>
        <v/>
      </c>
      <c r="H133" s="14" t="s">
        <v>40</v>
      </c>
      <c r="I133" s="11" t="str">
        <f>_xlfn.XLOOKUP($A133,Centrum[Индекс],Centrum[CBM on the shipper/ 
CBM по поставщику],"",0,1)</f>
        <v/>
      </c>
      <c r="J133" s="16" t="str">
        <f>_xlfn.XLOOKUP($A133,Centrum[Индекс],Centrum[Gross weight of cont// 
Гросс.вес по конт.],"",0,1)</f>
        <v/>
      </c>
      <c r="K133" s="17" t="str">
        <f>_xlfn.XLOOKUP($A133,Centrum[Индекс],Centrum[Route/ Маршрут (TSR/TCR)],"",0,1)</f>
        <v/>
      </c>
      <c r="L133" s="11" t="str">
        <f>_xlfn.XLOOKUP($A133,Centrum[Индекс],Centrum[Условия поставки],"",0,1)</f>
        <v/>
      </c>
      <c r="M133" s="11" t="str">
        <f>_xlfn.XLOOKUP($A133,Centrum[Индекс],Centrum[№ HBL date / 
№/ дата коносамента],"",0,1)</f>
        <v/>
      </c>
      <c r="N133" s="11" t="str">
        <f>_xlfn.XLOOKUP($A133,Centrum[Индекс],Centrum[№ MBL / 
№/ коносамента],"",0,1)</f>
        <v/>
      </c>
      <c r="O133" s="8" t="e">
        <f>(_xlfn.XLOOKUP($A133,Centrum[Индекс],Centrum[Date on board / Дата погрузки на судно],"",0,1))*1</f>
        <v>#VALUE!</v>
      </c>
      <c r="P133" s="8" t="e">
        <f>(_xlfn.XLOOKUP($A133,Centrum[Индекс],Centrum[Date of arrival to Sary-Agach/ Дата прибытия на Сары-Агач],"",0,1))*1</f>
        <v>#VALUE!</v>
      </c>
      <c r="Q133" s="14" t="str">
        <f>_xlfn.XLOOKUP($A133,Centrum[Индекс],Centrum[Container type/ 
Тип контейнера],"",0,1)</f>
        <v/>
      </c>
      <c r="R133" s="16">
        <f>_xlfn.XLOOKUP($A133,Centrum[Индекс],Centrum[Transportation cost per supplier/ 
Cтоимость перевозки по поставщикам],0,0,1)</f>
        <v>0</v>
      </c>
      <c r="S133" s="16">
        <f>Шаблон_Формулы!$T133-Шаблон_Формулы!$R133</f>
        <v>0</v>
      </c>
      <c r="T133" s="16">
        <f>_xlfn.XLOOKUP($A133,Centrum[Индекс],Centrum[Transportation total amount / Общая стоимость перевозки],0,0,1)</f>
        <v>0</v>
      </c>
      <c r="U133" s="12" cm="1">
        <f t="array" ref="U13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33" s="16">
        <f>_xlfn.XLOOKUP(Шаблон_Формулы[[#This Row],[21]],Курс_USD[Дата],Курс_USD[Курс],,0,1)</f>
        <v>11445.03</v>
      </c>
      <c r="W133" s="16">
        <f>Шаблон_Формулы!$T133*Шаблон_Формулы!$V133</f>
        <v>0</v>
      </c>
      <c r="Y133" s="16">
        <f>Шаблон_Формулы!$W133+Шаблон_Формулы!$X133</f>
        <v>0</v>
      </c>
      <c r="Z133" s="14" t="str">
        <f>_xlfn.XLOOKUP($A133,Centrum[Индекс],Centrum[Transport co invoice no/ 
Номер инвойса ТК],"",0,1)</f>
        <v/>
      </c>
    </row>
    <row r="134" spans="1:26" s="11" customFormat="1" x14ac:dyDescent="0.3">
      <c r="A134" s="14">
        <v>130</v>
      </c>
      <c r="B134" s="11" t="str">
        <f>_xlfn.XLOOKUP($A134,Centrum[Индекс],Centrum[Carrier/ Перевозчик],"",0,1)</f>
        <v/>
      </c>
      <c r="C134" s="11" t="str">
        <f>_xlfn.XLOOKUP($A134,Centrum[Индекс],Centrum[Country /  Страна],"",0,1)</f>
        <v/>
      </c>
      <c r="D134" s="11" t="str">
        <f>_xlfn.XLOOKUP($A134,Centrum[Индекс],Centrum[Container num./ 
№ контейнера],"",0,1)</f>
        <v/>
      </c>
      <c r="E134" s="11" t="str">
        <f>_xlfn.XLOOKUP($A134,Centrum[Индекс],Centrum[Supplier/
Поставщик],"",0,1)</f>
        <v/>
      </c>
      <c r="F134" s="11" t="str">
        <f>_xlfn.XLOOKUP($A134,Centrum[Индекс],Centrum[Shippers invoice no/ 
Номер инвойса поставщика],"",1)</f>
        <v/>
      </c>
      <c r="G134" s="15" t="str">
        <f>_xlfn.XLOOKUP($A134,Centrum[Индекс],Centrum[Invoice value / Стоимость груза в к-ре по инвойсу],"",0,1)</f>
        <v/>
      </c>
      <c r="H134" s="14" t="s">
        <v>40</v>
      </c>
      <c r="I134" s="11" t="str">
        <f>_xlfn.XLOOKUP($A134,Centrum[Индекс],Centrum[CBM on the shipper/ 
CBM по поставщику],"",0,1)</f>
        <v/>
      </c>
      <c r="J134" s="16" t="str">
        <f>_xlfn.XLOOKUP($A134,Centrum[Индекс],Centrum[Gross weight of cont// 
Гросс.вес по конт.],"",0,1)</f>
        <v/>
      </c>
      <c r="K134" s="17" t="str">
        <f>_xlfn.XLOOKUP($A134,Centrum[Индекс],Centrum[Route/ Маршрут (TSR/TCR)],"",0,1)</f>
        <v/>
      </c>
      <c r="L134" s="11" t="str">
        <f>_xlfn.XLOOKUP($A134,Centrum[Индекс],Centrum[Условия поставки],"",0,1)</f>
        <v/>
      </c>
      <c r="M134" s="11" t="str">
        <f>_xlfn.XLOOKUP($A134,Centrum[Индекс],Centrum[№ HBL date / 
№/ дата коносамента],"",0,1)</f>
        <v/>
      </c>
      <c r="N134" s="11" t="str">
        <f>_xlfn.XLOOKUP($A134,Centrum[Индекс],Centrum[№ MBL / 
№/ коносамента],"",0,1)</f>
        <v/>
      </c>
      <c r="O134" s="8" t="e">
        <f>(_xlfn.XLOOKUP($A134,Centrum[Индекс],Centrum[Date on board / Дата погрузки на судно],"",0,1))*1</f>
        <v>#VALUE!</v>
      </c>
      <c r="P134" s="8" t="e">
        <f>(_xlfn.XLOOKUP($A134,Centrum[Индекс],Centrum[Date of arrival to Sary-Agach/ Дата прибытия на Сары-Агач],"",0,1))*1</f>
        <v>#VALUE!</v>
      </c>
      <c r="Q134" s="14" t="str">
        <f>_xlfn.XLOOKUP($A134,Centrum[Индекс],Centrum[Container type/ 
Тип контейнера],"",0,1)</f>
        <v/>
      </c>
      <c r="R134" s="16">
        <f>_xlfn.XLOOKUP($A134,Centrum[Индекс],Centrum[Transportation cost per supplier/ 
Cтоимость перевозки по поставщикам],0,0,1)</f>
        <v>0</v>
      </c>
      <c r="S134" s="16">
        <f>Шаблон_Формулы!$T134-Шаблон_Формулы!$R134</f>
        <v>0</v>
      </c>
      <c r="T134" s="16">
        <f>_xlfn.XLOOKUP($A134,Centrum[Индекс],Centrum[Transportation total amount / Общая стоимость перевозки],0,0,1)</f>
        <v>0</v>
      </c>
      <c r="U134" s="12" cm="1">
        <f t="array" ref="U13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34" s="16">
        <f>_xlfn.XLOOKUP(Шаблон_Формулы[[#This Row],[21]],Курс_USD[Дата],Курс_USD[Курс],,0,1)</f>
        <v>11445.03</v>
      </c>
      <c r="W134" s="16">
        <f>Шаблон_Формулы!$T134*Шаблон_Формулы!$V134</f>
        <v>0</v>
      </c>
      <c r="Y134" s="16">
        <f>Шаблон_Формулы!$W134+Шаблон_Формулы!$X134</f>
        <v>0</v>
      </c>
      <c r="Z134" s="14" t="str">
        <f>_xlfn.XLOOKUP($A134,Centrum[Индекс],Centrum[Transport co invoice no/ 
Номер инвойса ТК],"",0,1)</f>
        <v/>
      </c>
    </row>
    <row r="135" spans="1:26" s="11" customFormat="1" x14ac:dyDescent="0.3">
      <c r="A135" s="14">
        <v>131</v>
      </c>
      <c r="B135" s="11" t="str">
        <f>_xlfn.XLOOKUP($A135,Centrum[Индекс],Centrum[Carrier/ Перевозчик],"",0,1)</f>
        <v/>
      </c>
      <c r="C135" s="11" t="str">
        <f>_xlfn.XLOOKUP($A135,Centrum[Индекс],Centrum[Country /  Страна],"",0,1)</f>
        <v/>
      </c>
      <c r="D135" s="11" t="str">
        <f>_xlfn.XLOOKUP($A135,Centrum[Индекс],Centrum[Container num./ 
№ контейнера],"",0,1)</f>
        <v/>
      </c>
      <c r="E135" s="11" t="str">
        <f>_xlfn.XLOOKUP($A135,Centrum[Индекс],Centrum[Supplier/
Поставщик],"",0,1)</f>
        <v/>
      </c>
      <c r="F135" s="11" t="str">
        <f>_xlfn.XLOOKUP($A135,Centrum[Индекс],Centrum[Shippers invoice no/ 
Номер инвойса поставщика],"",1)</f>
        <v/>
      </c>
      <c r="G135" s="15" t="str">
        <f>_xlfn.XLOOKUP($A135,Centrum[Индекс],Centrum[Invoice value / Стоимость груза в к-ре по инвойсу],"",0,1)</f>
        <v/>
      </c>
      <c r="H135" s="14" t="s">
        <v>40</v>
      </c>
      <c r="I135" s="11" t="str">
        <f>_xlfn.XLOOKUP($A135,Centrum[Индекс],Centrum[CBM on the shipper/ 
CBM по поставщику],"",0,1)</f>
        <v/>
      </c>
      <c r="J135" s="16" t="str">
        <f>_xlfn.XLOOKUP($A135,Centrum[Индекс],Centrum[Gross weight of cont// 
Гросс.вес по конт.],"",0,1)</f>
        <v/>
      </c>
      <c r="K135" s="17" t="str">
        <f>_xlfn.XLOOKUP($A135,Centrum[Индекс],Centrum[Route/ Маршрут (TSR/TCR)],"",0,1)</f>
        <v/>
      </c>
      <c r="L135" s="11" t="str">
        <f>_xlfn.XLOOKUP($A135,Centrum[Индекс],Centrum[Условия поставки],"",0,1)</f>
        <v/>
      </c>
      <c r="M135" s="11" t="str">
        <f>_xlfn.XLOOKUP($A135,Centrum[Индекс],Centrum[№ HBL date / 
№/ дата коносамента],"",0,1)</f>
        <v/>
      </c>
      <c r="N135" s="11" t="str">
        <f>_xlfn.XLOOKUP($A135,Centrum[Индекс],Centrum[№ MBL / 
№/ коносамента],"",0,1)</f>
        <v/>
      </c>
      <c r="O135" s="8" t="e">
        <f>(_xlfn.XLOOKUP($A135,Centrum[Индекс],Centrum[Date on board / Дата погрузки на судно],"",0,1))*1</f>
        <v>#VALUE!</v>
      </c>
      <c r="P135" s="8" t="e">
        <f>(_xlfn.XLOOKUP($A135,Centrum[Индекс],Centrum[Date of arrival to Sary-Agach/ Дата прибытия на Сары-Агач],"",0,1))*1</f>
        <v>#VALUE!</v>
      </c>
      <c r="Q135" s="14" t="str">
        <f>_xlfn.XLOOKUP($A135,Centrum[Индекс],Centrum[Container type/ 
Тип контейнера],"",0,1)</f>
        <v/>
      </c>
      <c r="R135" s="16">
        <f>_xlfn.XLOOKUP($A135,Centrum[Индекс],Centrum[Transportation cost per supplier/ 
Cтоимость перевозки по поставщикам],0,0,1)</f>
        <v>0</v>
      </c>
      <c r="S135" s="16">
        <f>Шаблон_Формулы!$T135-Шаблон_Формулы!$R135</f>
        <v>0</v>
      </c>
      <c r="T135" s="16">
        <f>_xlfn.XLOOKUP($A135,Centrum[Индекс],Centrum[Transportation total amount / Общая стоимость перевозки],0,0,1)</f>
        <v>0</v>
      </c>
      <c r="U135" s="12" cm="1">
        <f t="array" ref="U13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35" s="16">
        <f>_xlfn.XLOOKUP(Шаблон_Формулы[[#This Row],[21]],Курс_USD[Дата],Курс_USD[Курс],,0,1)</f>
        <v>11445.03</v>
      </c>
      <c r="W135" s="16">
        <f>Шаблон_Формулы!$T135*Шаблон_Формулы!$V135</f>
        <v>0</v>
      </c>
      <c r="Y135" s="16">
        <f>Шаблон_Формулы!$W135+Шаблон_Формулы!$X135</f>
        <v>0</v>
      </c>
      <c r="Z135" s="14" t="str">
        <f>_xlfn.XLOOKUP($A135,Centrum[Индекс],Centrum[Transport co invoice no/ 
Номер инвойса ТК],"",0,1)</f>
        <v/>
      </c>
    </row>
    <row r="136" spans="1:26" s="11" customFormat="1" x14ac:dyDescent="0.3">
      <c r="A136" s="14">
        <v>132</v>
      </c>
      <c r="B136" s="11" t="str">
        <f>_xlfn.XLOOKUP($A136,Centrum[Индекс],Centrum[Carrier/ Перевозчик],"",0,1)</f>
        <v/>
      </c>
      <c r="C136" s="11" t="str">
        <f>_xlfn.XLOOKUP($A136,Centrum[Индекс],Centrum[Country /  Страна],"",0,1)</f>
        <v/>
      </c>
      <c r="D136" s="11" t="str">
        <f>_xlfn.XLOOKUP($A136,Centrum[Индекс],Centrum[Container num./ 
№ контейнера],"",0,1)</f>
        <v/>
      </c>
      <c r="E136" s="11" t="str">
        <f>_xlfn.XLOOKUP($A136,Centrum[Индекс],Centrum[Supplier/
Поставщик],"",0,1)</f>
        <v/>
      </c>
      <c r="F136" s="11" t="str">
        <f>_xlfn.XLOOKUP($A136,Centrum[Индекс],Centrum[Shippers invoice no/ 
Номер инвойса поставщика],"",1)</f>
        <v/>
      </c>
      <c r="G136" s="15" t="str">
        <f>_xlfn.XLOOKUP($A136,Centrum[Индекс],Centrum[Invoice value / Стоимость груза в к-ре по инвойсу],"",0,1)</f>
        <v/>
      </c>
      <c r="H136" s="14" t="s">
        <v>40</v>
      </c>
      <c r="I136" s="11" t="str">
        <f>_xlfn.XLOOKUP($A136,Centrum[Индекс],Centrum[CBM on the shipper/ 
CBM по поставщику],"",0,1)</f>
        <v/>
      </c>
      <c r="J136" s="16" t="str">
        <f>_xlfn.XLOOKUP($A136,Centrum[Индекс],Centrum[Gross weight of cont// 
Гросс.вес по конт.],"",0,1)</f>
        <v/>
      </c>
      <c r="K136" s="17" t="str">
        <f>_xlfn.XLOOKUP($A136,Centrum[Индекс],Centrum[Route/ Маршрут (TSR/TCR)],"",0,1)</f>
        <v/>
      </c>
      <c r="L136" s="11" t="str">
        <f>_xlfn.XLOOKUP($A136,Centrum[Индекс],Centrum[Условия поставки],"",0,1)</f>
        <v/>
      </c>
      <c r="M136" s="11" t="str">
        <f>_xlfn.XLOOKUP($A136,Centrum[Индекс],Centrum[№ HBL date / 
№/ дата коносамента],"",0,1)</f>
        <v/>
      </c>
      <c r="N136" s="11" t="str">
        <f>_xlfn.XLOOKUP($A136,Centrum[Индекс],Centrum[№ MBL / 
№/ коносамента],"",0,1)</f>
        <v/>
      </c>
      <c r="O136" s="8" t="e">
        <f>(_xlfn.XLOOKUP($A136,Centrum[Индекс],Centrum[Date on board / Дата погрузки на судно],"",0,1))*1</f>
        <v>#VALUE!</v>
      </c>
      <c r="P136" s="8" t="e">
        <f>(_xlfn.XLOOKUP($A136,Centrum[Индекс],Centrum[Date of arrival to Sary-Agach/ Дата прибытия на Сары-Агач],"",0,1))*1</f>
        <v>#VALUE!</v>
      </c>
      <c r="Q136" s="14" t="str">
        <f>_xlfn.XLOOKUP($A136,Centrum[Индекс],Centrum[Container type/ 
Тип контейнера],"",0,1)</f>
        <v/>
      </c>
      <c r="R136" s="16">
        <f>_xlfn.XLOOKUP($A136,Centrum[Индекс],Centrum[Transportation cost per supplier/ 
Cтоимость перевозки по поставщикам],0,0,1)</f>
        <v>0</v>
      </c>
      <c r="S136" s="16">
        <f>Шаблон_Формулы!$T136-Шаблон_Формулы!$R136</f>
        <v>0</v>
      </c>
      <c r="T136" s="16">
        <f>_xlfn.XLOOKUP($A136,Centrum[Индекс],Centrum[Transportation total amount / Общая стоимость перевозки],0,0,1)</f>
        <v>0</v>
      </c>
      <c r="U136" s="12" cm="1">
        <f t="array" ref="U13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36" s="16">
        <f>_xlfn.XLOOKUP(Шаблон_Формулы[[#This Row],[21]],Курс_USD[Дата],Курс_USD[Курс],,0,1)</f>
        <v>11445.03</v>
      </c>
      <c r="W136" s="16">
        <f>Шаблон_Формулы!$T136*Шаблон_Формулы!$V136</f>
        <v>0</v>
      </c>
      <c r="Y136" s="16">
        <f>Шаблон_Формулы!$W136+Шаблон_Формулы!$X136</f>
        <v>0</v>
      </c>
      <c r="Z136" s="14" t="str">
        <f>_xlfn.XLOOKUP($A136,Centrum[Индекс],Centrum[Transport co invoice no/ 
Номер инвойса ТК],"",0,1)</f>
        <v/>
      </c>
    </row>
    <row r="137" spans="1:26" s="11" customFormat="1" x14ac:dyDescent="0.3">
      <c r="A137" s="14">
        <v>133</v>
      </c>
      <c r="B137" s="11" t="str">
        <f>_xlfn.XLOOKUP($A137,Centrum[Индекс],Centrum[Carrier/ Перевозчик],"",0,1)</f>
        <v/>
      </c>
      <c r="C137" s="11" t="str">
        <f>_xlfn.XLOOKUP($A137,Centrum[Индекс],Centrum[Country /  Страна],"",0,1)</f>
        <v/>
      </c>
      <c r="D137" s="11" t="str">
        <f>_xlfn.XLOOKUP($A137,Centrum[Индекс],Centrum[Container num./ 
№ контейнера],"",0,1)</f>
        <v/>
      </c>
      <c r="E137" s="11" t="str">
        <f>_xlfn.XLOOKUP($A137,Centrum[Индекс],Centrum[Supplier/
Поставщик],"",0,1)</f>
        <v/>
      </c>
      <c r="F137" s="11" t="str">
        <f>_xlfn.XLOOKUP($A137,Centrum[Индекс],Centrum[Shippers invoice no/ 
Номер инвойса поставщика],"",1)</f>
        <v/>
      </c>
      <c r="G137" s="15" t="str">
        <f>_xlfn.XLOOKUP($A137,Centrum[Индекс],Centrum[Invoice value / Стоимость груза в к-ре по инвойсу],"",0,1)</f>
        <v/>
      </c>
      <c r="H137" s="14" t="s">
        <v>40</v>
      </c>
      <c r="I137" s="11" t="str">
        <f>_xlfn.XLOOKUP($A137,Centrum[Индекс],Centrum[CBM on the shipper/ 
CBM по поставщику],"",0,1)</f>
        <v/>
      </c>
      <c r="J137" s="16" t="str">
        <f>_xlfn.XLOOKUP($A137,Centrum[Индекс],Centrum[Gross weight of cont// 
Гросс.вес по конт.],"",0,1)</f>
        <v/>
      </c>
      <c r="K137" s="17" t="str">
        <f>_xlfn.XLOOKUP($A137,Centrum[Индекс],Centrum[Route/ Маршрут (TSR/TCR)],"",0,1)</f>
        <v/>
      </c>
      <c r="L137" s="11" t="str">
        <f>_xlfn.XLOOKUP($A137,Centrum[Индекс],Centrum[Условия поставки],"",0,1)</f>
        <v/>
      </c>
      <c r="M137" s="11" t="str">
        <f>_xlfn.XLOOKUP($A137,Centrum[Индекс],Centrum[№ HBL date / 
№/ дата коносамента],"",0,1)</f>
        <v/>
      </c>
      <c r="N137" s="11" t="str">
        <f>_xlfn.XLOOKUP($A137,Centrum[Индекс],Centrum[№ MBL / 
№/ коносамента],"",0,1)</f>
        <v/>
      </c>
      <c r="O137" s="8" t="e">
        <f>(_xlfn.XLOOKUP($A137,Centrum[Индекс],Centrum[Date on board / Дата погрузки на судно],"",0,1))*1</f>
        <v>#VALUE!</v>
      </c>
      <c r="P137" s="8" t="e">
        <f>(_xlfn.XLOOKUP($A137,Centrum[Индекс],Centrum[Date of arrival to Sary-Agach/ Дата прибытия на Сары-Агач],"",0,1))*1</f>
        <v>#VALUE!</v>
      </c>
      <c r="Q137" s="14" t="str">
        <f>_xlfn.XLOOKUP($A137,Centrum[Индекс],Centrum[Container type/ 
Тип контейнера],"",0,1)</f>
        <v/>
      </c>
      <c r="R137" s="16">
        <f>_xlfn.XLOOKUP($A137,Centrum[Индекс],Centrum[Transportation cost per supplier/ 
Cтоимость перевозки по поставщикам],0,0,1)</f>
        <v>0</v>
      </c>
      <c r="S137" s="16">
        <f>Шаблон_Формулы!$T137-Шаблон_Формулы!$R137</f>
        <v>0</v>
      </c>
      <c r="T137" s="16">
        <f>_xlfn.XLOOKUP($A137,Centrum[Индекс],Centrum[Transportation total amount / Общая стоимость перевозки],0,0,1)</f>
        <v>0</v>
      </c>
      <c r="U137" s="12" cm="1">
        <f t="array" ref="U13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37" s="16">
        <f>_xlfn.XLOOKUP(Шаблон_Формулы[[#This Row],[21]],Курс_USD[Дата],Курс_USD[Курс],,0,1)</f>
        <v>11445.03</v>
      </c>
      <c r="W137" s="16">
        <f>Шаблон_Формулы!$T137*Шаблон_Формулы!$V137</f>
        <v>0</v>
      </c>
      <c r="Y137" s="16">
        <f>Шаблон_Формулы!$W137+Шаблон_Формулы!$X137</f>
        <v>0</v>
      </c>
      <c r="Z137" s="14" t="str">
        <f>_xlfn.XLOOKUP($A137,Centrum[Индекс],Centrum[Transport co invoice no/ 
Номер инвойса ТК],"",0,1)</f>
        <v/>
      </c>
    </row>
    <row r="138" spans="1:26" s="11" customFormat="1" x14ac:dyDescent="0.3">
      <c r="A138" s="14">
        <v>134</v>
      </c>
      <c r="B138" s="11" t="str">
        <f>_xlfn.XLOOKUP($A138,Centrum[Индекс],Centrum[Carrier/ Перевозчик],"",0,1)</f>
        <v/>
      </c>
      <c r="C138" s="11" t="str">
        <f>_xlfn.XLOOKUP($A138,Centrum[Индекс],Centrum[Country /  Страна],"",0,1)</f>
        <v/>
      </c>
      <c r="D138" s="11" t="str">
        <f>_xlfn.XLOOKUP($A138,Centrum[Индекс],Centrum[Container num./ 
№ контейнера],"",0,1)</f>
        <v/>
      </c>
      <c r="E138" s="11" t="str">
        <f>_xlfn.XLOOKUP($A138,Centrum[Индекс],Centrum[Supplier/
Поставщик],"",0,1)</f>
        <v/>
      </c>
      <c r="F138" s="11" t="str">
        <f>_xlfn.XLOOKUP($A138,Centrum[Индекс],Centrum[Shippers invoice no/ 
Номер инвойса поставщика],"",1)</f>
        <v/>
      </c>
      <c r="G138" s="15" t="str">
        <f>_xlfn.XLOOKUP($A138,Centrum[Индекс],Centrum[Invoice value / Стоимость груза в к-ре по инвойсу],"",0,1)</f>
        <v/>
      </c>
      <c r="H138" s="14" t="s">
        <v>40</v>
      </c>
      <c r="I138" s="11" t="str">
        <f>_xlfn.XLOOKUP($A138,Centrum[Индекс],Centrum[CBM on the shipper/ 
CBM по поставщику],"",0,1)</f>
        <v/>
      </c>
      <c r="J138" s="16" t="str">
        <f>_xlfn.XLOOKUP($A138,Centrum[Индекс],Centrum[Gross weight of cont// 
Гросс.вес по конт.],"",0,1)</f>
        <v/>
      </c>
      <c r="K138" s="17" t="str">
        <f>_xlfn.XLOOKUP($A138,Centrum[Индекс],Centrum[Route/ Маршрут (TSR/TCR)],"",0,1)</f>
        <v/>
      </c>
      <c r="L138" s="11" t="str">
        <f>_xlfn.XLOOKUP($A138,Centrum[Индекс],Centrum[Условия поставки],"",0,1)</f>
        <v/>
      </c>
      <c r="M138" s="11" t="str">
        <f>_xlfn.XLOOKUP($A138,Centrum[Индекс],Centrum[№ HBL date / 
№/ дата коносамента],"",0,1)</f>
        <v/>
      </c>
      <c r="N138" s="11" t="str">
        <f>_xlfn.XLOOKUP($A138,Centrum[Индекс],Centrum[№ MBL / 
№/ коносамента],"",0,1)</f>
        <v/>
      </c>
      <c r="O138" s="8" t="e">
        <f>(_xlfn.XLOOKUP($A138,Centrum[Индекс],Centrum[Date on board / Дата погрузки на судно],"",0,1))*1</f>
        <v>#VALUE!</v>
      </c>
      <c r="P138" s="8" t="e">
        <f>(_xlfn.XLOOKUP($A138,Centrum[Индекс],Centrum[Date of arrival to Sary-Agach/ Дата прибытия на Сары-Агач],"",0,1))*1</f>
        <v>#VALUE!</v>
      </c>
      <c r="Q138" s="14" t="str">
        <f>_xlfn.XLOOKUP($A138,Centrum[Индекс],Centrum[Container type/ 
Тип контейнера],"",0,1)</f>
        <v/>
      </c>
      <c r="R138" s="16">
        <f>_xlfn.XLOOKUP($A138,Centrum[Индекс],Centrum[Transportation cost per supplier/ 
Cтоимость перевозки по поставщикам],0,0,1)</f>
        <v>0</v>
      </c>
      <c r="S138" s="16">
        <f>Шаблон_Формулы!$T138-Шаблон_Формулы!$R138</f>
        <v>0</v>
      </c>
      <c r="T138" s="16">
        <f>_xlfn.XLOOKUP($A138,Centrum[Индекс],Centrum[Transportation total amount / Общая стоимость перевозки],0,0,1)</f>
        <v>0</v>
      </c>
      <c r="U138" s="12" cm="1">
        <f t="array" ref="U13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38" s="16">
        <f>_xlfn.XLOOKUP(Шаблон_Формулы[[#This Row],[21]],Курс_USD[Дата],Курс_USD[Курс],,0,1)</f>
        <v>11445.03</v>
      </c>
      <c r="W138" s="16">
        <f>Шаблон_Формулы!$T138*Шаблон_Формулы!$V138</f>
        <v>0</v>
      </c>
      <c r="Y138" s="16">
        <f>Шаблон_Формулы!$W138+Шаблон_Формулы!$X138</f>
        <v>0</v>
      </c>
      <c r="Z138" s="14" t="str">
        <f>_xlfn.XLOOKUP($A138,Centrum[Индекс],Centrum[Transport co invoice no/ 
Номер инвойса ТК],"",0,1)</f>
        <v/>
      </c>
    </row>
    <row r="139" spans="1:26" s="11" customFormat="1" x14ac:dyDescent="0.3">
      <c r="A139" s="14">
        <v>135</v>
      </c>
      <c r="B139" s="11" t="str">
        <f>_xlfn.XLOOKUP($A139,Centrum[Индекс],Centrum[Carrier/ Перевозчик],"",0,1)</f>
        <v/>
      </c>
      <c r="C139" s="11" t="str">
        <f>_xlfn.XLOOKUP($A139,Centrum[Индекс],Centrum[Country /  Страна],"",0,1)</f>
        <v/>
      </c>
      <c r="D139" s="11" t="str">
        <f>_xlfn.XLOOKUP($A139,Centrum[Индекс],Centrum[Container num./ 
№ контейнера],"",0,1)</f>
        <v/>
      </c>
      <c r="E139" s="11" t="str">
        <f>_xlfn.XLOOKUP($A139,Centrum[Индекс],Centrum[Supplier/
Поставщик],"",0,1)</f>
        <v/>
      </c>
      <c r="F139" s="11" t="str">
        <f>_xlfn.XLOOKUP($A139,Centrum[Индекс],Centrum[Shippers invoice no/ 
Номер инвойса поставщика],"",1)</f>
        <v/>
      </c>
      <c r="G139" s="15" t="str">
        <f>_xlfn.XLOOKUP($A139,Centrum[Индекс],Centrum[Invoice value / Стоимость груза в к-ре по инвойсу],"",0,1)</f>
        <v/>
      </c>
      <c r="H139" s="14" t="s">
        <v>40</v>
      </c>
      <c r="I139" s="11" t="str">
        <f>_xlfn.XLOOKUP($A139,Centrum[Индекс],Centrum[CBM on the shipper/ 
CBM по поставщику],"",0,1)</f>
        <v/>
      </c>
      <c r="J139" s="16" t="str">
        <f>_xlfn.XLOOKUP($A139,Centrum[Индекс],Centrum[Gross weight of cont// 
Гросс.вес по конт.],"",0,1)</f>
        <v/>
      </c>
      <c r="K139" s="17" t="str">
        <f>_xlfn.XLOOKUP($A139,Centrum[Индекс],Centrum[Route/ Маршрут (TSR/TCR)],"",0,1)</f>
        <v/>
      </c>
      <c r="L139" s="11" t="str">
        <f>_xlfn.XLOOKUP($A139,Centrum[Индекс],Centrum[Условия поставки],"",0,1)</f>
        <v/>
      </c>
      <c r="M139" s="11" t="str">
        <f>_xlfn.XLOOKUP($A139,Centrum[Индекс],Centrum[№ HBL date / 
№/ дата коносамента],"",0,1)</f>
        <v/>
      </c>
      <c r="N139" s="11" t="str">
        <f>_xlfn.XLOOKUP($A139,Centrum[Индекс],Centrum[№ MBL / 
№/ коносамента],"",0,1)</f>
        <v/>
      </c>
      <c r="O139" s="8" t="e">
        <f>(_xlfn.XLOOKUP($A139,Centrum[Индекс],Centrum[Date on board / Дата погрузки на судно],"",0,1))*1</f>
        <v>#VALUE!</v>
      </c>
      <c r="P139" s="8" t="e">
        <f>(_xlfn.XLOOKUP($A139,Centrum[Индекс],Centrum[Date of arrival to Sary-Agach/ Дата прибытия на Сары-Агач],"",0,1))*1</f>
        <v>#VALUE!</v>
      </c>
      <c r="Q139" s="14" t="str">
        <f>_xlfn.XLOOKUP($A139,Centrum[Индекс],Centrum[Container type/ 
Тип контейнера],"",0,1)</f>
        <v/>
      </c>
      <c r="R139" s="16">
        <f>_xlfn.XLOOKUP($A139,Centrum[Индекс],Centrum[Transportation cost per supplier/ 
Cтоимость перевозки по поставщикам],0,0,1)</f>
        <v>0</v>
      </c>
      <c r="S139" s="16">
        <f>Шаблон_Формулы!$T139-Шаблон_Формулы!$R139</f>
        <v>0</v>
      </c>
      <c r="T139" s="16">
        <f>_xlfn.XLOOKUP($A139,Centrum[Индекс],Centrum[Transportation total amount / Общая стоимость перевозки],0,0,1)</f>
        <v>0</v>
      </c>
      <c r="U139" s="12" cm="1">
        <f t="array" ref="U13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39" s="16">
        <f>_xlfn.XLOOKUP(Шаблон_Формулы[[#This Row],[21]],Курс_USD[Дата],Курс_USD[Курс],,0,1)</f>
        <v>11445.03</v>
      </c>
      <c r="W139" s="16">
        <f>Шаблон_Формулы!$T139*Шаблон_Формулы!$V139</f>
        <v>0</v>
      </c>
      <c r="Y139" s="16">
        <f>Шаблон_Формулы!$W139+Шаблон_Формулы!$X139</f>
        <v>0</v>
      </c>
      <c r="Z139" s="14" t="str">
        <f>_xlfn.XLOOKUP($A139,Centrum[Индекс],Centrum[Transport co invoice no/ 
Номер инвойса ТК],"",0,1)</f>
        <v/>
      </c>
    </row>
    <row r="140" spans="1:26" s="11" customFormat="1" x14ac:dyDescent="0.3">
      <c r="A140" s="14">
        <v>136</v>
      </c>
      <c r="B140" s="11" t="str">
        <f>_xlfn.XLOOKUP($A140,Centrum[Индекс],Centrum[Carrier/ Перевозчик],"",0,1)</f>
        <v/>
      </c>
      <c r="C140" s="11" t="str">
        <f>_xlfn.XLOOKUP($A140,Centrum[Индекс],Centrum[Country /  Страна],"",0,1)</f>
        <v/>
      </c>
      <c r="D140" s="11" t="str">
        <f>_xlfn.XLOOKUP($A140,Centrum[Индекс],Centrum[Container num./ 
№ контейнера],"",0,1)</f>
        <v/>
      </c>
      <c r="E140" s="11" t="str">
        <f>_xlfn.XLOOKUP($A140,Centrum[Индекс],Centrum[Supplier/
Поставщик],"",0,1)</f>
        <v/>
      </c>
      <c r="F140" s="11" t="str">
        <f>_xlfn.XLOOKUP($A140,Centrum[Индекс],Centrum[Shippers invoice no/ 
Номер инвойса поставщика],"",1)</f>
        <v/>
      </c>
      <c r="G140" s="15" t="str">
        <f>_xlfn.XLOOKUP($A140,Centrum[Индекс],Centrum[Invoice value / Стоимость груза в к-ре по инвойсу],"",0,1)</f>
        <v/>
      </c>
      <c r="H140" s="14" t="s">
        <v>40</v>
      </c>
      <c r="I140" s="11" t="str">
        <f>_xlfn.XLOOKUP($A140,Centrum[Индекс],Centrum[CBM on the shipper/ 
CBM по поставщику],"",0,1)</f>
        <v/>
      </c>
      <c r="J140" s="16" t="str">
        <f>_xlfn.XLOOKUP($A140,Centrum[Индекс],Centrum[Gross weight of cont// 
Гросс.вес по конт.],"",0,1)</f>
        <v/>
      </c>
      <c r="K140" s="17" t="str">
        <f>_xlfn.XLOOKUP($A140,Centrum[Индекс],Centrum[Route/ Маршрут (TSR/TCR)],"",0,1)</f>
        <v/>
      </c>
      <c r="L140" s="11" t="str">
        <f>_xlfn.XLOOKUP($A140,Centrum[Индекс],Centrum[Условия поставки],"",0,1)</f>
        <v/>
      </c>
      <c r="M140" s="11" t="str">
        <f>_xlfn.XLOOKUP($A140,Centrum[Индекс],Centrum[№ HBL date / 
№/ дата коносамента],"",0,1)</f>
        <v/>
      </c>
      <c r="N140" s="11" t="str">
        <f>_xlfn.XLOOKUP($A140,Centrum[Индекс],Centrum[№ MBL / 
№/ коносамента],"",0,1)</f>
        <v/>
      </c>
      <c r="O140" s="8" t="e">
        <f>(_xlfn.XLOOKUP($A140,Centrum[Индекс],Centrum[Date on board / Дата погрузки на судно],"",0,1))*1</f>
        <v>#VALUE!</v>
      </c>
      <c r="P140" s="8" t="e">
        <f>(_xlfn.XLOOKUP($A140,Centrum[Индекс],Centrum[Date of arrival to Sary-Agach/ Дата прибытия на Сары-Агач],"",0,1))*1</f>
        <v>#VALUE!</v>
      </c>
      <c r="Q140" s="14" t="str">
        <f>_xlfn.XLOOKUP($A140,Centrum[Индекс],Centrum[Container type/ 
Тип контейнера],"",0,1)</f>
        <v/>
      </c>
      <c r="R140" s="16">
        <f>_xlfn.XLOOKUP($A140,Centrum[Индекс],Centrum[Transportation cost per supplier/ 
Cтоимость перевозки по поставщикам],0,0,1)</f>
        <v>0</v>
      </c>
      <c r="S140" s="16">
        <f>Шаблон_Формулы!$T140-Шаблон_Формулы!$R140</f>
        <v>0</v>
      </c>
      <c r="T140" s="16">
        <f>_xlfn.XLOOKUP($A140,Centrum[Индекс],Centrum[Transportation total amount / Общая стоимость перевозки],0,0,1)</f>
        <v>0</v>
      </c>
      <c r="U140" s="12" cm="1">
        <f t="array" ref="U14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40" s="16">
        <f>_xlfn.XLOOKUP(Шаблон_Формулы[[#This Row],[21]],Курс_USD[Дата],Курс_USD[Курс],,0,1)</f>
        <v>11445.03</v>
      </c>
      <c r="W140" s="16">
        <f>Шаблон_Формулы!$T140*Шаблон_Формулы!$V140</f>
        <v>0</v>
      </c>
      <c r="Y140" s="16">
        <f>Шаблон_Формулы!$W140+Шаблон_Формулы!$X140</f>
        <v>0</v>
      </c>
      <c r="Z140" s="14" t="str">
        <f>_xlfn.XLOOKUP($A140,Centrum[Индекс],Centrum[Transport co invoice no/ 
Номер инвойса ТК],"",0,1)</f>
        <v/>
      </c>
    </row>
    <row r="141" spans="1:26" s="11" customFormat="1" x14ac:dyDescent="0.3">
      <c r="A141" s="14">
        <v>137</v>
      </c>
      <c r="B141" s="11" t="str">
        <f>_xlfn.XLOOKUP($A141,Centrum[Индекс],Centrum[Carrier/ Перевозчик],"",0,1)</f>
        <v/>
      </c>
      <c r="C141" s="11" t="str">
        <f>_xlfn.XLOOKUP($A141,Centrum[Индекс],Centrum[Country /  Страна],"",0,1)</f>
        <v/>
      </c>
      <c r="D141" s="11" t="str">
        <f>_xlfn.XLOOKUP($A141,Centrum[Индекс],Centrum[Container num./ 
№ контейнера],"",0,1)</f>
        <v/>
      </c>
      <c r="E141" s="11" t="str">
        <f>_xlfn.XLOOKUP($A141,Centrum[Индекс],Centrum[Supplier/
Поставщик],"",0,1)</f>
        <v/>
      </c>
      <c r="F141" s="11" t="str">
        <f>_xlfn.XLOOKUP($A141,Centrum[Индекс],Centrum[Shippers invoice no/ 
Номер инвойса поставщика],"",1)</f>
        <v/>
      </c>
      <c r="G141" s="15" t="str">
        <f>_xlfn.XLOOKUP($A141,Centrum[Индекс],Centrum[Invoice value / Стоимость груза в к-ре по инвойсу],"",0,1)</f>
        <v/>
      </c>
      <c r="H141" s="14" t="s">
        <v>40</v>
      </c>
      <c r="I141" s="11" t="str">
        <f>_xlfn.XLOOKUP($A141,Centrum[Индекс],Centrum[CBM on the shipper/ 
CBM по поставщику],"",0,1)</f>
        <v/>
      </c>
      <c r="J141" s="16" t="str">
        <f>_xlfn.XLOOKUP($A141,Centrum[Индекс],Centrum[Gross weight of cont// 
Гросс.вес по конт.],"",0,1)</f>
        <v/>
      </c>
      <c r="K141" s="17" t="str">
        <f>_xlfn.XLOOKUP($A141,Centrum[Индекс],Centrum[Route/ Маршрут (TSR/TCR)],"",0,1)</f>
        <v/>
      </c>
      <c r="L141" s="11" t="str">
        <f>_xlfn.XLOOKUP($A141,Centrum[Индекс],Centrum[Условия поставки],"",0,1)</f>
        <v/>
      </c>
      <c r="M141" s="11" t="str">
        <f>_xlfn.XLOOKUP($A141,Centrum[Индекс],Centrum[№ HBL date / 
№/ дата коносамента],"",0,1)</f>
        <v/>
      </c>
      <c r="N141" s="11" t="str">
        <f>_xlfn.XLOOKUP($A141,Centrum[Индекс],Centrum[№ MBL / 
№/ коносамента],"",0,1)</f>
        <v/>
      </c>
      <c r="O141" s="8" t="e">
        <f>(_xlfn.XLOOKUP($A141,Centrum[Индекс],Centrum[Date on board / Дата погрузки на судно],"",0,1))*1</f>
        <v>#VALUE!</v>
      </c>
      <c r="P141" s="8" t="e">
        <f>(_xlfn.XLOOKUP($A141,Centrum[Индекс],Centrum[Date of arrival to Sary-Agach/ Дата прибытия на Сары-Агач],"",0,1))*1</f>
        <v>#VALUE!</v>
      </c>
      <c r="Q141" s="14" t="str">
        <f>_xlfn.XLOOKUP($A141,Centrum[Индекс],Centrum[Container type/ 
Тип контейнера],"",0,1)</f>
        <v/>
      </c>
      <c r="R141" s="16">
        <f>_xlfn.XLOOKUP($A141,Centrum[Индекс],Centrum[Transportation cost per supplier/ 
Cтоимость перевозки по поставщикам],0,0,1)</f>
        <v>0</v>
      </c>
      <c r="S141" s="16">
        <f>Шаблон_Формулы!$T141-Шаблон_Формулы!$R141</f>
        <v>0</v>
      </c>
      <c r="T141" s="16">
        <f>_xlfn.XLOOKUP($A141,Centrum[Индекс],Centrum[Transportation total amount / Общая стоимость перевозки],0,0,1)</f>
        <v>0</v>
      </c>
      <c r="U141" s="12" cm="1">
        <f t="array" ref="U14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41" s="16">
        <f>_xlfn.XLOOKUP(Шаблон_Формулы[[#This Row],[21]],Курс_USD[Дата],Курс_USD[Курс],,0,1)</f>
        <v>11445.03</v>
      </c>
      <c r="W141" s="16">
        <f>Шаблон_Формулы!$T141*Шаблон_Формулы!$V141</f>
        <v>0</v>
      </c>
      <c r="Y141" s="16">
        <f>Шаблон_Формулы!$W141+Шаблон_Формулы!$X141</f>
        <v>0</v>
      </c>
      <c r="Z141" s="14" t="str">
        <f>_xlfn.XLOOKUP($A141,Centrum[Индекс],Centrum[Transport co invoice no/ 
Номер инвойса ТК],"",0,1)</f>
        <v/>
      </c>
    </row>
    <row r="142" spans="1:26" s="11" customFormat="1" x14ac:dyDescent="0.3">
      <c r="A142" s="14">
        <v>138</v>
      </c>
      <c r="B142" s="11" t="str">
        <f>_xlfn.XLOOKUP($A142,Centrum[Индекс],Centrum[Carrier/ Перевозчик],"",0,1)</f>
        <v/>
      </c>
      <c r="C142" s="11" t="str">
        <f>_xlfn.XLOOKUP($A142,Centrum[Индекс],Centrum[Country /  Страна],"",0,1)</f>
        <v/>
      </c>
      <c r="D142" s="11" t="str">
        <f>_xlfn.XLOOKUP($A142,Centrum[Индекс],Centrum[Container num./ 
№ контейнера],"",0,1)</f>
        <v/>
      </c>
      <c r="E142" s="11" t="str">
        <f>_xlfn.XLOOKUP($A142,Centrum[Индекс],Centrum[Supplier/
Поставщик],"",0,1)</f>
        <v/>
      </c>
      <c r="F142" s="11" t="str">
        <f>_xlfn.XLOOKUP($A142,Centrum[Индекс],Centrum[Shippers invoice no/ 
Номер инвойса поставщика],"",1)</f>
        <v/>
      </c>
      <c r="G142" s="15" t="str">
        <f>_xlfn.XLOOKUP($A142,Centrum[Индекс],Centrum[Invoice value / Стоимость груза в к-ре по инвойсу],"",0,1)</f>
        <v/>
      </c>
      <c r="H142" s="14" t="s">
        <v>40</v>
      </c>
      <c r="I142" s="11" t="str">
        <f>_xlfn.XLOOKUP($A142,Centrum[Индекс],Centrum[CBM on the shipper/ 
CBM по поставщику],"",0,1)</f>
        <v/>
      </c>
      <c r="J142" s="16" t="str">
        <f>_xlfn.XLOOKUP($A142,Centrum[Индекс],Centrum[Gross weight of cont// 
Гросс.вес по конт.],"",0,1)</f>
        <v/>
      </c>
      <c r="K142" s="17" t="str">
        <f>_xlfn.XLOOKUP($A142,Centrum[Индекс],Centrum[Route/ Маршрут (TSR/TCR)],"",0,1)</f>
        <v/>
      </c>
      <c r="L142" s="11" t="str">
        <f>_xlfn.XLOOKUP($A142,Centrum[Индекс],Centrum[Условия поставки],"",0,1)</f>
        <v/>
      </c>
      <c r="M142" s="11" t="str">
        <f>_xlfn.XLOOKUP($A142,Centrum[Индекс],Centrum[№ HBL date / 
№/ дата коносамента],"",0,1)</f>
        <v/>
      </c>
      <c r="N142" s="11" t="str">
        <f>_xlfn.XLOOKUP($A142,Centrum[Индекс],Centrum[№ MBL / 
№/ коносамента],"",0,1)</f>
        <v/>
      </c>
      <c r="O142" s="8" t="e">
        <f>(_xlfn.XLOOKUP($A142,Centrum[Индекс],Centrum[Date on board / Дата погрузки на судно],"",0,1))*1</f>
        <v>#VALUE!</v>
      </c>
      <c r="P142" s="8" t="e">
        <f>(_xlfn.XLOOKUP($A142,Centrum[Индекс],Centrum[Date of arrival to Sary-Agach/ Дата прибытия на Сары-Агач],"",0,1))*1</f>
        <v>#VALUE!</v>
      </c>
      <c r="Q142" s="14" t="str">
        <f>_xlfn.XLOOKUP($A142,Centrum[Индекс],Centrum[Container type/ 
Тип контейнера],"",0,1)</f>
        <v/>
      </c>
      <c r="R142" s="16">
        <f>_xlfn.XLOOKUP($A142,Centrum[Индекс],Centrum[Transportation cost per supplier/ 
Cтоимость перевозки по поставщикам],0,0,1)</f>
        <v>0</v>
      </c>
      <c r="S142" s="16">
        <f>Шаблон_Формулы!$T142-Шаблон_Формулы!$R142</f>
        <v>0</v>
      </c>
      <c r="T142" s="16">
        <f>_xlfn.XLOOKUP($A142,Centrum[Индекс],Centrum[Transportation total amount / Общая стоимость перевозки],0,0,1)</f>
        <v>0</v>
      </c>
      <c r="U142" s="12" cm="1">
        <f t="array" ref="U14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42" s="16">
        <f>_xlfn.XLOOKUP(Шаблон_Формулы[[#This Row],[21]],Курс_USD[Дата],Курс_USD[Курс],,0,1)</f>
        <v>11445.03</v>
      </c>
      <c r="W142" s="16">
        <f>Шаблон_Формулы!$T142*Шаблон_Формулы!$V142</f>
        <v>0</v>
      </c>
      <c r="Y142" s="16">
        <f>Шаблон_Формулы!$W142+Шаблон_Формулы!$X142</f>
        <v>0</v>
      </c>
      <c r="Z142" s="14" t="str">
        <f>_xlfn.XLOOKUP($A142,Centrum[Индекс],Centrum[Transport co invoice no/ 
Номер инвойса ТК],"",0,1)</f>
        <v/>
      </c>
    </row>
    <row r="143" spans="1:26" s="11" customFormat="1" x14ac:dyDescent="0.3">
      <c r="A143" s="14">
        <v>139</v>
      </c>
      <c r="B143" s="11" t="str">
        <f>_xlfn.XLOOKUP($A143,Centrum[Индекс],Centrum[Carrier/ Перевозчик],"",0,1)</f>
        <v/>
      </c>
      <c r="C143" s="11" t="str">
        <f>_xlfn.XLOOKUP($A143,Centrum[Индекс],Centrum[Country /  Страна],"",0,1)</f>
        <v/>
      </c>
      <c r="D143" s="11" t="str">
        <f>_xlfn.XLOOKUP($A143,Centrum[Индекс],Centrum[Container num./ 
№ контейнера],"",0,1)</f>
        <v/>
      </c>
      <c r="E143" s="11" t="str">
        <f>_xlfn.XLOOKUP($A143,Centrum[Индекс],Centrum[Supplier/
Поставщик],"",0,1)</f>
        <v/>
      </c>
      <c r="F143" s="11" t="str">
        <f>_xlfn.XLOOKUP($A143,Centrum[Индекс],Centrum[Shippers invoice no/ 
Номер инвойса поставщика],"",1)</f>
        <v/>
      </c>
      <c r="G143" s="15" t="str">
        <f>_xlfn.XLOOKUP($A143,Centrum[Индекс],Centrum[Invoice value / Стоимость груза в к-ре по инвойсу],"",0,1)</f>
        <v/>
      </c>
      <c r="H143" s="14" t="s">
        <v>40</v>
      </c>
      <c r="I143" s="11" t="str">
        <f>_xlfn.XLOOKUP($A143,Centrum[Индекс],Centrum[CBM on the shipper/ 
CBM по поставщику],"",0,1)</f>
        <v/>
      </c>
      <c r="J143" s="16" t="str">
        <f>_xlfn.XLOOKUP($A143,Centrum[Индекс],Centrum[Gross weight of cont// 
Гросс.вес по конт.],"",0,1)</f>
        <v/>
      </c>
      <c r="K143" s="17" t="str">
        <f>_xlfn.XLOOKUP($A143,Centrum[Индекс],Centrum[Route/ Маршрут (TSR/TCR)],"",0,1)</f>
        <v/>
      </c>
      <c r="L143" s="11" t="str">
        <f>_xlfn.XLOOKUP($A143,Centrum[Индекс],Centrum[Условия поставки],"",0,1)</f>
        <v/>
      </c>
      <c r="M143" s="11" t="str">
        <f>_xlfn.XLOOKUP($A143,Centrum[Индекс],Centrum[№ HBL date / 
№/ дата коносамента],"",0,1)</f>
        <v/>
      </c>
      <c r="N143" s="11" t="str">
        <f>_xlfn.XLOOKUP($A143,Centrum[Индекс],Centrum[№ MBL / 
№/ коносамента],"",0,1)</f>
        <v/>
      </c>
      <c r="O143" s="8" t="e">
        <f>(_xlfn.XLOOKUP($A143,Centrum[Индекс],Centrum[Date on board / Дата погрузки на судно],"",0,1))*1</f>
        <v>#VALUE!</v>
      </c>
      <c r="P143" s="8" t="e">
        <f>(_xlfn.XLOOKUP($A143,Centrum[Индекс],Centrum[Date of arrival to Sary-Agach/ Дата прибытия на Сары-Агач],"",0,1))*1</f>
        <v>#VALUE!</v>
      </c>
      <c r="Q143" s="14" t="str">
        <f>_xlfn.XLOOKUP($A143,Centrum[Индекс],Centrum[Container type/ 
Тип контейнера],"",0,1)</f>
        <v/>
      </c>
      <c r="R143" s="16">
        <f>_xlfn.XLOOKUP($A143,Centrum[Индекс],Centrum[Transportation cost per supplier/ 
Cтоимость перевозки по поставщикам],0,0,1)</f>
        <v>0</v>
      </c>
      <c r="S143" s="16">
        <f>Шаблон_Формулы!$T143-Шаблон_Формулы!$R143</f>
        <v>0</v>
      </c>
      <c r="T143" s="16">
        <f>_xlfn.XLOOKUP($A143,Centrum[Индекс],Centrum[Transportation total amount / Общая стоимость перевозки],0,0,1)</f>
        <v>0</v>
      </c>
      <c r="U143" s="12" cm="1">
        <f t="array" ref="U14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43" s="16">
        <f>_xlfn.XLOOKUP(Шаблон_Формулы[[#This Row],[21]],Курс_USD[Дата],Курс_USD[Курс],,0,1)</f>
        <v>11445.03</v>
      </c>
      <c r="W143" s="16">
        <f>Шаблон_Формулы!$T143*Шаблон_Формулы!$V143</f>
        <v>0</v>
      </c>
      <c r="Y143" s="16">
        <f>Шаблон_Формулы!$W143+Шаблон_Формулы!$X143</f>
        <v>0</v>
      </c>
      <c r="Z143" s="14" t="str">
        <f>_xlfn.XLOOKUP($A143,Centrum[Индекс],Centrum[Transport co invoice no/ 
Номер инвойса ТК],"",0,1)</f>
        <v/>
      </c>
    </row>
    <row r="144" spans="1:26" s="11" customFormat="1" x14ac:dyDescent="0.3">
      <c r="A144" s="14">
        <v>140</v>
      </c>
      <c r="B144" s="11" t="str">
        <f>_xlfn.XLOOKUP($A144,Centrum[Индекс],Centrum[Carrier/ Перевозчик],"",0,1)</f>
        <v/>
      </c>
      <c r="C144" s="11" t="str">
        <f>_xlfn.XLOOKUP($A144,Centrum[Индекс],Centrum[Country /  Страна],"",0,1)</f>
        <v/>
      </c>
      <c r="D144" s="11" t="str">
        <f>_xlfn.XLOOKUP($A144,Centrum[Индекс],Centrum[Container num./ 
№ контейнера],"",0,1)</f>
        <v/>
      </c>
      <c r="E144" s="11" t="str">
        <f>_xlfn.XLOOKUP($A144,Centrum[Индекс],Centrum[Supplier/
Поставщик],"",0,1)</f>
        <v/>
      </c>
      <c r="F144" s="11" t="str">
        <f>_xlfn.XLOOKUP($A144,Centrum[Индекс],Centrum[Shippers invoice no/ 
Номер инвойса поставщика],"",1)</f>
        <v/>
      </c>
      <c r="G144" s="15" t="str">
        <f>_xlfn.XLOOKUP($A144,Centrum[Индекс],Centrum[Invoice value / Стоимость груза в к-ре по инвойсу],"",0,1)</f>
        <v/>
      </c>
      <c r="H144" s="14" t="s">
        <v>40</v>
      </c>
      <c r="I144" s="11" t="str">
        <f>_xlfn.XLOOKUP($A144,Centrum[Индекс],Centrum[CBM on the shipper/ 
CBM по поставщику],"",0,1)</f>
        <v/>
      </c>
      <c r="J144" s="16" t="str">
        <f>_xlfn.XLOOKUP($A144,Centrum[Индекс],Centrum[Gross weight of cont// 
Гросс.вес по конт.],"",0,1)</f>
        <v/>
      </c>
      <c r="K144" s="17" t="str">
        <f>_xlfn.XLOOKUP($A144,Centrum[Индекс],Centrum[Route/ Маршрут (TSR/TCR)],"",0,1)</f>
        <v/>
      </c>
      <c r="L144" s="11" t="str">
        <f>_xlfn.XLOOKUP($A144,Centrum[Индекс],Centrum[Условия поставки],"",0,1)</f>
        <v/>
      </c>
      <c r="M144" s="11" t="str">
        <f>_xlfn.XLOOKUP($A144,Centrum[Индекс],Centrum[№ HBL date / 
№/ дата коносамента],"",0,1)</f>
        <v/>
      </c>
      <c r="N144" s="11" t="str">
        <f>_xlfn.XLOOKUP($A144,Centrum[Индекс],Centrum[№ MBL / 
№/ коносамента],"",0,1)</f>
        <v/>
      </c>
      <c r="O144" s="8" t="e">
        <f>(_xlfn.XLOOKUP($A144,Centrum[Индекс],Centrum[Date on board / Дата погрузки на судно],"",0,1))*1</f>
        <v>#VALUE!</v>
      </c>
      <c r="P144" s="8" t="e">
        <f>(_xlfn.XLOOKUP($A144,Centrum[Индекс],Centrum[Date of arrival to Sary-Agach/ Дата прибытия на Сары-Агач],"",0,1))*1</f>
        <v>#VALUE!</v>
      </c>
      <c r="Q144" s="14" t="str">
        <f>_xlfn.XLOOKUP($A144,Centrum[Индекс],Centrum[Container type/ 
Тип контейнера],"",0,1)</f>
        <v/>
      </c>
      <c r="R144" s="16">
        <f>_xlfn.XLOOKUP($A144,Centrum[Индекс],Centrum[Transportation cost per supplier/ 
Cтоимость перевозки по поставщикам],0,0,1)</f>
        <v>0</v>
      </c>
      <c r="S144" s="16">
        <f>Шаблон_Формулы!$T144-Шаблон_Формулы!$R144</f>
        <v>0</v>
      </c>
      <c r="T144" s="16">
        <f>_xlfn.XLOOKUP($A144,Centrum[Индекс],Centrum[Transportation total amount / Общая стоимость перевозки],0,0,1)</f>
        <v>0</v>
      </c>
      <c r="U144" s="12" cm="1">
        <f t="array" ref="U14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44" s="16">
        <f>_xlfn.XLOOKUP(Шаблон_Формулы[[#This Row],[21]],Курс_USD[Дата],Курс_USD[Курс],,0,1)</f>
        <v>11445.03</v>
      </c>
      <c r="W144" s="16">
        <f>Шаблон_Формулы!$T144*Шаблон_Формулы!$V144</f>
        <v>0</v>
      </c>
      <c r="Y144" s="16">
        <f>Шаблон_Формулы!$W144+Шаблон_Формулы!$X144</f>
        <v>0</v>
      </c>
      <c r="Z144" s="14" t="str">
        <f>_xlfn.XLOOKUP($A144,Centrum[Индекс],Centrum[Transport co invoice no/ 
Номер инвойса ТК],"",0,1)</f>
        <v/>
      </c>
    </row>
    <row r="145" spans="1:26" s="11" customFormat="1" x14ac:dyDescent="0.3">
      <c r="A145" s="14">
        <v>141</v>
      </c>
      <c r="B145" s="11" t="str">
        <f>_xlfn.XLOOKUP($A145,Centrum[Индекс],Centrum[Carrier/ Перевозчик],"",0,1)</f>
        <v/>
      </c>
      <c r="C145" s="11" t="str">
        <f>_xlfn.XLOOKUP($A145,Centrum[Индекс],Centrum[Country /  Страна],"",0,1)</f>
        <v/>
      </c>
      <c r="D145" s="11" t="str">
        <f>_xlfn.XLOOKUP($A145,Centrum[Индекс],Centrum[Container num./ 
№ контейнера],"",0,1)</f>
        <v/>
      </c>
      <c r="E145" s="11" t="str">
        <f>_xlfn.XLOOKUP($A145,Centrum[Индекс],Centrum[Supplier/
Поставщик],"",0,1)</f>
        <v/>
      </c>
      <c r="F145" s="11" t="str">
        <f>_xlfn.XLOOKUP($A145,Centrum[Индекс],Centrum[Shippers invoice no/ 
Номер инвойса поставщика],"",1)</f>
        <v/>
      </c>
      <c r="G145" s="15" t="str">
        <f>_xlfn.XLOOKUP($A145,Centrum[Индекс],Centrum[Invoice value / Стоимость груза в к-ре по инвойсу],"",0,1)</f>
        <v/>
      </c>
      <c r="H145" s="14" t="s">
        <v>40</v>
      </c>
      <c r="I145" s="11" t="str">
        <f>_xlfn.XLOOKUP($A145,Centrum[Индекс],Centrum[CBM on the shipper/ 
CBM по поставщику],"",0,1)</f>
        <v/>
      </c>
      <c r="J145" s="16" t="str">
        <f>_xlfn.XLOOKUP($A145,Centrum[Индекс],Centrum[Gross weight of cont// 
Гросс.вес по конт.],"",0,1)</f>
        <v/>
      </c>
      <c r="K145" s="17" t="str">
        <f>_xlfn.XLOOKUP($A145,Centrum[Индекс],Centrum[Route/ Маршрут (TSR/TCR)],"",0,1)</f>
        <v/>
      </c>
      <c r="L145" s="11" t="str">
        <f>_xlfn.XLOOKUP($A145,Centrum[Индекс],Centrum[Условия поставки],"",0,1)</f>
        <v/>
      </c>
      <c r="M145" s="11" t="str">
        <f>_xlfn.XLOOKUP($A145,Centrum[Индекс],Centrum[№ HBL date / 
№/ дата коносамента],"",0,1)</f>
        <v/>
      </c>
      <c r="N145" s="11" t="str">
        <f>_xlfn.XLOOKUP($A145,Centrum[Индекс],Centrum[№ MBL / 
№/ коносамента],"",0,1)</f>
        <v/>
      </c>
      <c r="O145" s="8" t="e">
        <f>(_xlfn.XLOOKUP($A145,Centrum[Индекс],Centrum[Date on board / Дата погрузки на судно],"",0,1))*1</f>
        <v>#VALUE!</v>
      </c>
      <c r="P145" s="8" t="e">
        <f>(_xlfn.XLOOKUP($A145,Centrum[Индекс],Centrum[Date of arrival to Sary-Agach/ Дата прибытия на Сары-Агач],"",0,1))*1</f>
        <v>#VALUE!</v>
      </c>
      <c r="Q145" s="14" t="str">
        <f>_xlfn.XLOOKUP($A145,Centrum[Индекс],Centrum[Container type/ 
Тип контейнера],"",0,1)</f>
        <v/>
      </c>
      <c r="R145" s="16">
        <f>_xlfn.XLOOKUP($A145,Centrum[Индекс],Centrum[Transportation cost per supplier/ 
Cтоимость перевозки по поставщикам],0,0,1)</f>
        <v>0</v>
      </c>
      <c r="S145" s="16">
        <f>Шаблон_Формулы!$T145-Шаблон_Формулы!$R145</f>
        <v>0</v>
      </c>
      <c r="T145" s="16">
        <f>_xlfn.XLOOKUP($A145,Centrum[Индекс],Centrum[Transportation total amount / Общая стоимость перевозки],0,0,1)</f>
        <v>0</v>
      </c>
      <c r="U145" s="12" cm="1">
        <f t="array" ref="U14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45" s="16">
        <f>_xlfn.XLOOKUP(Шаблон_Формулы[[#This Row],[21]],Курс_USD[Дата],Курс_USD[Курс],,0,1)</f>
        <v>11445.03</v>
      </c>
      <c r="W145" s="16">
        <f>Шаблон_Формулы!$T145*Шаблон_Формулы!$V145</f>
        <v>0</v>
      </c>
      <c r="Y145" s="16">
        <f>Шаблон_Формулы!$W145+Шаблон_Формулы!$X145</f>
        <v>0</v>
      </c>
      <c r="Z145" s="14" t="str">
        <f>_xlfn.XLOOKUP($A145,Centrum[Индекс],Centrum[Transport co invoice no/ 
Номер инвойса ТК],"",0,1)</f>
        <v/>
      </c>
    </row>
    <row r="146" spans="1:26" s="11" customFormat="1" x14ac:dyDescent="0.3">
      <c r="A146" s="14">
        <v>142</v>
      </c>
      <c r="B146" s="11" t="str">
        <f>_xlfn.XLOOKUP($A146,Centrum[Индекс],Centrum[Carrier/ Перевозчик],"",0,1)</f>
        <v/>
      </c>
      <c r="C146" s="11" t="str">
        <f>_xlfn.XLOOKUP($A146,Centrum[Индекс],Centrum[Country /  Страна],"",0,1)</f>
        <v/>
      </c>
      <c r="D146" s="11" t="str">
        <f>_xlfn.XLOOKUP($A146,Centrum[Индекс],Centrum[Container num./ 
№ контейнера],"",0,1)</f>
        <v/>
      </c>
      <c r="E146" s="11" t="str">
        <f>_xlfn.XLOOKUP($A146,Centrum[Индекс],Centrum[Supplier/
Поставщик],"",0,1)</f>
        <v/>
      </c>
      <c r="F146" s="11" t="str">
        <f>_xlfn.XLOOKUP($A146,Centrum[Индекс],Centrum[Shippers invoice no/ 
Номер инвойса поставщика],"",1)</f>
        <v/>
      </c>
      <c r="G146" s="15" t="str">
        <f>_xlfn.XLOOKUP($A146,Centrum[Индекс],Centrum[Invoice value / Стоимость груза в к-ре по инвойсу],"",0,1)</f>
        <v/>
      </c>
      <c r="H146" s="14" t="s">
        <v>40</v>
      </c>
      <c r="I146" s="11" t="str">
        <f>_xlfn.XLOOKUP($A146,Centrum[Индекс],Centrum[CBM on the shipper/ 
CBM по поставщику],"",0,1)</f>
        <v/>
      </c>
      <c r="J146" s="16" t="str">
        <f>_xlfn.XLOOKUP($A146,Centrum[Индекс],Centrum[Gross weight of cont// 
Гросс.вес по конт.],"",0,1)</f>
        <v/>
      </c>
      <c r="K146" s="17" t="str">
        <f>_xlfn.XLOOKUP($A146,Centrum[Индекс],Centrum[Route/ Маршрут (TSR/TCR)],"",0,1)</f>
        <v/>
      </c>
      <c r="L146" s="11" t="str">
        <f>_xlfn.XLOOKUP($A146,Centrum[Индекс],Centrum[Условия поставки],"",0,1)</f>
        <v/>
      </c>
      <c r="M146" s="11" t="str">
        <f>_xlfn.XLOOKUP($A146,Centrum[Индекс],Centrum[№ HBL date / 
№/ дата коносамента],"",0,1)</f>
        <v/>
      </c>
      <c r="N146" s="11" t="str">
        <f>_xlfn.XLOOKUP($A146,Centrum[Индекс],Centrum[№ MBL / 
№/ коносамента],"",0,1)</f>
        <v/>
      </c>
      <c r="O146" s="8" t="e">
        <f>(_xlfn.XLOOKUP($A146,Centrum[Индекс],Centrum[Date on board / Дата погрузки на судно],"",0,1))*1</f>
        <v>#VALUE!</v>
      </c>
      <c r="P146" s="8" t="e">
        <f>(_xlfn.XLOOKUP($A146,Centrum[Индекс],Centrum[Date of arrival to Sary-Agach/ Дата прибытия на Сары-Агач],"",0,1))*1</f>
        <v>#VALUE!</v>
      </c>
      <c r="Q146" s="14" t="str">
        <f>_xlfn.XLOOKUP($A146,Centrum[Индекс],Centrum[Container type/ 
Тип контейнера],"",0,1)</f>
        <v/>
      </c>
      <c r="R146" s="16">
        <f>_xlfn.XLOOKUP($A146,Centrum[Индекс],Centrum[Transportation cost per supplier/ 
Cтоимость перевозки по поставщикам],0,0,1)</f>
        <v>0</v>
      </c>
      <c r="S146" s="16">
        <f>Шаблон_Формулы!$T146-Шаблон_Формулы!$R146</f>
        <v>0</v>
      </c>
      <c r="T146" s="16">
        <f>_xlfn.XLOOKUP($A146,Centrum[Индекс],Centrum[Transportation total amount / Общая стоимость перевозки],0,0,1)</f>
        <v>0</v>
      </c>
      <c r="U146" s="12" cm="1">
        <f t="array" ref="U14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46" s="16">
        <f>_xlfn.XLOOKUP(Шаблон_Формулы[[#This Row],[21]],Курс_USD[Дата],Курс_USD[Курс],,0,1)</f>
        <v>11445.03</v>
      </c>
      <c r="W146" s="16">
        <f>Шаблон_Формулы!$T146*Шаблон_Формулы!$V146</f>
        <v>0</v>
      </c>
      <c r="Y146" s="16">
        <f>Шаблон_Формулы!$W146+Шаблон_Формулы!$X146</f>
        <v>0</v>
      </c>
      <c r="Z146" s="14" t="str">
        <f>_xlfn.XLOOKUP($A146,Centrum[Индекс],Centrum[Transport co invoice no/ 
Номер инвойса ТК],"",0,1)</f>
        <v/>
      </c>
    </row>
    <row r="147" spans="1:26" s="11" customFormat="1" x14ac:dyDescent="0.3">
      <c r="A147" s="14">
        <v>143</v>
      </c>
      <c r="B147" s="11" t="str">
        <f>_xlfn.XLOOKUP($A147,Centrum[Индекс],Centrum[Carrier/ Перевозчик],"",0,1)</f>
        <v/>
      </c>
      <c r="C147" s="11" t="str">
        <f>_xlfn.XLOOKUP($A147,Centrum[Индекс],Centrum[Country /  Страна],"",0,1)</f>
        <v/>
      </c>
      <c r="D147" s="11" t="str">
        <f>_xlfn.XLOOKUP($A147,Centrum[Индекс],Centrum[Container num./ 
№ контейнера],"",0,1)</f>
        <v/>
      </c>
      <c r="E147" s="11" t="str">
        <f>_xlfn.XLOOKUP($A147,Centrum[Индекс],Centrum[Supplier/
Поставщик],"",0,1)</f>
        <v/>
      </c>
      <c r="F147" s="11" t="str">
        <f>_xlfn.XLOOKUP($A147,Centrum[Индекс],Centrum[Shippers invoice no/ 
Номер инвойса поставщика],"",1)</f>
        <v/>
      </c>
      <c r="G147" s="15" t="str">
        <f>_xlfn.XLOOKUP($A147,Centrum[Индекс],Centrum[Invoice value / Стоимость груза в к-ре по инвойсу],"",0,1)</f>
        <v/>
      </c>
      <c r="H147" s="14" t="s">
        <v>40</v>
      </c>
      <c r="I147" s="11" t="str">
        <f>_xlfn.XLOOKUP($A147,Centrum[Индекс],Centrum[CBM on the shipper/ 
CBM по поставщику],"",0,1)</f>
        <v/>
      </c>
      <c r="J147" s="16" t="str">
        <f>_xlfn.XLOOKUP($A147,Centrum[Индекс],Centrum[Gross weight of cont// 
Гросс.вес по конт.],"",0,1)</f>
        <v/>
      </c>
      <c r="K147" s="17" t="str">
        <f>_xlfn.XLOOKUP($A147,Centrum[Индекс],Centrum[Route/ Маршрут (TSR/TCR)],"",0,1)</f>
        <v/>
      </c>
      <c r="L147" s="11" t="str">
        <f>_xlfn.XLOOKUP($A147,Centrum[Индекс],Centrum[Условия поставки],"",0,1)</f>
        <v/>
      </c>
      <c r="M147" s="11" t="str">
        <f>_xlfn.XLOOKUP($A147,Centrum[Индекс],Centrum[№ HBL date / 
№/ дата коносамента],"",0,1)</f>
        <v/>
      </c>
      <c r="N147" s="11" t="str">
        <f>_xlfn.XLOOKUP($A147,Centrum[Индекс],Centrum[№ MBL / 
№/ коносамента],"",0,1)</f>
        <v/>
      </c>
      <c r="O147" s="8" t="e">
        <f>(_xlfn.XLOOKUP($A147,Centrum[Индекс],Centrum[Date on board / Дата погрузки на судно],"",0,1))*1</f>
        <v>#VALUE!</v>
      </c>
      <c r="P147" s="8" t="e">
        <f>(_xlfn.XLOOKUP($A147,Centrum[Индекс],Centrum[Date of arrival to Sary-Agach/ Дата прибытия на Сары-Агач],"",0,1))*1</f>
        <v>#VALUE!</v>
      </c>
      <c r="Q147" s="14" t="str">
        <f>_xlfn.XLOOKUP($A147,Centrum[Индекс],Centrum[Container type/ 
Тип контейнера],"",0,1)</f>
        <v/>
      </c>
      <c r="R147" s="16">
        <f>_xlfn.XLOOKUP($A147,Centrum[Индекс],Centrum[Transportation cost per supplier/ 
Cтоимость перевозки по поставщикам],0,0,1)</f>
        <v>0</v>
      </c>
      <c r="S147" s="16">
        <f>Шаблон_Формулы!$T147-Шаблон_Формулы!$R147</f>
        <v>0</v>
      </c>
      <c r="T147" s="16">
        <f>_xlfn.XLOOKUP($A147,Centrum[Индекс],Centrum[Transportation total amount / Общая стоимость перевозки],0,0,1)</f>
        <v>0</v>
      </c>
      <c r="U147" s="12" cm="1">
        <f t="array" ref="U14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47" s="16">
        <f>_xlfn.XLOOKUP(Шаблон_Формулы[[#This Row],[21]],Курс_USD[Дата],Курс_USD[Курс],,0,1)</f>
        <v>11445.03</v>
      </c>
      <c r="W147" s="16">
        <f>Шаблон_Формулы!$T147*Шаблон_Формулы!$V147</f>
        <v>0</v>
      </c>
      <c r="Y147" s="16">
        <f>Шаблон_Формулы!$W147+Шаблон_Формулы!$X147</f>
        <v>0</v>
      </c>
      <c r="Z147" s="14" t="str">
        <f>_xlfn.XLOOKUP($A147,Centrum[Индекс],Centrum[Transport co invoice no/ 
Номер инвойса ТК],"",0,1)</f>
        <v/>
      </c>
    </row>
    <row r="148" spans="1:26" s="11" customFormat="1" x14ac:dyDescent="0.3">
      <c r="A148" s="14">
        <v>144</v>
      </c>
      <c r="B148" s="11" t="str">
        <f>_xlfn.XLOOKUP($A148,Centrum[Индекс],Centrum[Carrier/ Перевозчик],"",0,1)</f>
        <v/>
      </c>
      <c r="C148" s="11" t="str">
        <f>_xlfn.XLOOKUP($A148,Centrum[Индекс],Centrum[Country /  Страна],"",0,1)</f>
        <v/>
      </c>
      <c r="D148" s="11" t="str">
        <f>_xlfn.XLOOKUP($A148,Centrum[Индекс],Centrum[Container num./ 
№ контейнера],"",0,1)</f>
        <v/>
      </c>
      <c r="E148" s="11" t="str">
        <f>_xlfn.XLOOKUP($A148,Centrum[Индекс],Centrum[Supplier/
Поставщик],"",0,1)</f>
        <v/>
      </c>
      <c r="F148" s="11" t="str">
        <f>_xlfn.XLOOKUP($A148,Centrum[Индекс],Centrum[Shippers invoice no/ 
Номер инвойса поставщика],"",1)</f>
        <v/>
      </c>
      <c r="G148" s="15" t="str">
        <f>_xlfn.XLOOKUP($A148,Centrum[Индекс],Centrum[Invoice value / Стоимость груза в к-ре по инвойсу],"",0,1)</f>
        <v/>
      </c>
      <c r="H148" s="14" t="s">
        <v>40</v>
      </c>
      <c r="I148" s="11" t="str">
        <f>_xlfn.XLOOKUP($A148,Centrum[Индекс],Centrum[CBM on the shipper/ 
CBM по поставщику],"",0,1)</f>
        <v/>
      </c>
      <c r="J148" s="16" t="str">
        <f>_xlfn.XLOOKUP($A148,Centrum[Индекс],Centrum[Gross weight of cont// 
Гросс.вес по конт.],"",0,1)</f>
        <v/>
      </c>
      <c r="K148" s="17" t="str">
        <f>_xlfn.XLOOKUP($A148,Centrum[Индекс],Centrum[Route/ Маршрут (TSR/TCR)],"",0,1)</f>
        <v/>
      </c>
      <c r="L148" s="11" t="str">
        <f>_xlfn.XLOOKUP($A148,Centrum[Индекс],Centrum[Условия поставки],"",0,1)</f>
        <v/>
      </c>
      <c r="M148" s="11" t="str">
        <f>_xlfn.XLOOKUP($A148,Centrum[Индекс],Centrum[№ HBL date / 
№/ дата коносамента],"",0,1)</f>
        <v/>
      </c>
      <c r="N148" s="11" t="str">
        <f>_xlfn.XLOOKUP($A148,Centrum[Индекс],Centrum[№ MBL / 
№/ коносамента],"",0,1)</f>
        <v/>
      </c>
      <c r="O148" s="8" t="e">
        <f>(_xlfn.XLOOKUP($A148,Centrum[Индекс],Centrum[Date on board / Дата погрузки на судно],"",0,1))*1</f>
        <v>#VALUE!</v>
      </c>
      <c r="P148" s="8" t="e">
        <f>(_xlfn.XLOOKUP($A148,Centrum[Индекс],Centrum[Date of arrival to Sary-Agach/ Дата прибытия на Сары-Агач],"",0,1))*1</f>
        <v>#VALUE!</v>
      </c>
      <c r="Q148" s="14" t="str">
        <f>_xlfn.XLOOKUP($A148,Centrum[Индекс],Centrum[Container type/ 
Тип контейнера],"",0,1)</f>
        <v/>
      </c>
      <c r="R148" s="16">
        <f>_xlfn.XLOOKUP($A148,Centrum[Индекс],Centrum[Transportation cost per supplier/ 
Cтоимость перевозки по поставщикам],0,0,1)</f>
        <v>0</v>
      </c>
      <c r="S148" s="16">
        <f>Шаблон_Формулы!$T148-Шаблон_Формулы!$R148</f>
        <v>0</v>
      </c>
      <c r="T148" s="16">
        <f>_xlfn.XLOOKUP($A148,Centrum[Индекс],Centrum[Transportation total amount / Общая стоимость перевозки],0,0,1)</f>
        <v>0</v>
      </c>
      <c r="U148" s="12" cm="1">
        <f t="array" ref="U14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48" s="16">
        <f>_xlfn.XLOOKUP(Шаблон_Формулы[[#This Row],[21]],Курс_USD[Дата],Курс_USD[Курс],,0,1)</f>
        <v>11445.03</v>
      </c>
      <c r="W148" s="16">
        <f>Шаблон_Формулы!$T148*Шаблон_Формулы!$V148</f>
        <v>0</v>
      </c>
      <c r="Y148" s="16">
        <f>Шаблон_Формулы!$W148+Шаблон_Формулы!$X148</f>
        <v>0</v>
      </c>
      <c r="Z148" s="14" t="str">
        <f>_xlfn.XLOOKUP($A148,Centrum[Индекс],Centrum[Transport co invoice no/ 
Номер инвойса ТК],"",0,1)</f>
        <v/>
      </c>
    </row>
    <row r="149" spans="1:26" s="11" customFormat="1" x14ac:dyDescent="0.3">
      <c r="A149" s="14">
        <v>145</v>
      </c>
      <c r="B149" s="11" t="str">
        <f>_xlfn.XLOOKUP($A149,Centrum[Индекс],Centrum[Carrier/ Перевозчик],"",0,1)</f>
        <v/>
      </c>
      <c r="C149" s="11" t="str">
        <f>_xlfn.XLOOKUP($A149,Centrum[Индекс],Centrum[Country /  Страна],"",0,1)</f>
        <v/>
      </c>
      <c r="D149" s="11" t="str">
        <f>_xlfn.XLOOKUP($A149,Centrum[Индекс],Centrum[Container num./ 
№ контейнера],"",0,1)</f>
        <v/>
      </c>
      <c r="E149" s="11" t="str">
        <f>_xlfn.XLOOKUP($A149,Centrum[Индекс],Centrum[Supplier/
Поставщик],"",0,1)</f>
        <v/>
      </c>
      <c r="F149" s="11" t="str">
        <f>_xlfn.XLOOKUP($A149,Centrum[Индекс],Centrum[Shippers invoice no/ 
Номер инвойса поставщика],"",1)</f>
        <v/>
      </c>
      <c r="G149" s="15" t="str">
        <f>_xlfn.XLOOKUP($A149,Centrum[Индекс],Centrum[Invoice value / Стоимость груза в к-ре по инвойсу],"",0,1)</f>
        <v/>
      </c>
      <c r="H149" s="14" t="s">
        <v>40</v>
      </c>
      <c r="I149" s="11" t="str">
        <f>_xlfn.XLOOKUP($A149,Centrum[Индекс],Centrum[CBM on the shipper/ 
CBM по поставщику],"",0,1)</f>
        <v/>
      </c>
      <c r="J149" s="16" t="str">
        <f>_xlfn.XLOOKUP($A149,Centrum[Индекс],Centrum[Gross weight of cont// 
Гросс.вес по конт.],"",0,1)</f>
        <v/>
      </c>
      <c r="K149" s="17" t="str">
        <f>_xlfn.XLOOKUP($A149,Centrum[Индекс],Centrum[Route/ Маршрут (TSR/TCR)],"",0,1)</f>
        <v/>
      </c>
      <c r="L149" s="11" t="str">
        <f>_xlfn.XLOOKUP($A149,Centrum[Индекс],Centrum[Условия поставки],"",0,1)</f>
        <v/>
      </c>
      <c r="M149" s="11" t="str">
        <f>_xlfn.XLOOKUP($A149,Centrum[Индекс],Centrum[№ HBL date / 
№/ дата коносамента],"",0,1)</f>
        <v/>
      </c>
      <c r="N149" s="11" t="str">
        <f>_xlfn.XLOOKUP($A149,Centrum[Индекс],Centrum[№ MBL / 
№/ коносамента],"",0,1)</f>
        <v/>
      </c>
      <c r="O149" s="8" t="e">
        <f>(_xlfn.XLOOKUP($A149,Centrum[Индекс],Centrum[Date on board / Дата погрузки на судно],"",0,1))*1</f>
        <v>#VALUE!</v>
      </c>
      <c r="P149" s="8" t="e">
        <f>(_xlfn.XLOOKUP($A149,Centrum[Индекс],Centrum[Date of arrival to Sary-Agach/ Дата прибытия на Сары-Агач],"",0,1))*1</f>
        <v>#VALUE!</v>
      </c>
      <c r="Q149" s="14" t="str">
        <f>_xlfn.XLOOKUP($A149,Centrum[Индекс],Centrum[Container type/ 
Тип контейнера],"",0,1)</f>
        <v/>
      </c>
      <c r="R149" s="16">
        <f>_xlfn.XLOOKUP($A149,Centrum[Индекс],Centrum[Transportation cost per supplier/ 
Cтоимость перевозки по поставщикам],0,0,1)</f>
        <v>0</v>
      </c>
      <c r="S149" s="16">
        <f>Шаблон_Формулы!$T149-Шаблон_Формулы!$R149</f>
        <v>0</v>
      </c>
      <c r="T149" s="16">
        <f>_xlfn.XLOOKUP($A149,Centrum[Индекс],Centrum[Transportation total amount / Общая стоимость перевозки],0,0,1)</f>
        <v>0</v>
      </c>
      <c r="U149" s="12" cm="1">
        <f t="array" ref="U14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49" s="16">
        <f>_xlfn.XLOOKUP(Шаблон_Формулы[[#This Row],[21]],Курс_USD[Дата],Курс_USD[Курс],,0,1)</f>
        <v>11445.03</v>
      </c>
      <c r="W149" s="16">
        <f>Шаблон_Формулы!$T149*Шаблон_Формулы!$V149</f>
        <v>0</v>
      </c>
      <c r="Y149" s="16">
        <f>Шаблон_Формулы!$W149+Шаблон_Формулы!$X149</f>
        <v>0</v>
      </c>
      <c r="Z149" s="14" t="str">
        <f>_xlfn.XLOOKUP($A149,Centrum[Индекс],Centrum[Transport co invoice no/ 
Номер инвойса ТК],"",0,1)</f>
        <v/>
      </c>
    </row>
    <row r="150" spans="1:26" s="11" customFormat="1" x14ac:dyDescent="0.3">
      <c r="A150" s="14">
        <v>146</v>
      </c>
      <c r="B150" s="11" t="str">
        <f>_xlfn.XLOOKUP($A150,Centrum[Индекс],Centrum[Carrier/ Перевозчик],"",0,1)</f>
        <v/>
      </c>
      <c r="C150" s="11" t="str">
        <f>_xlfn.XLOOKUP($A150,Centrum[Индекс],Centrum[Country /  Страна],"",0,1)</f>
        <v/>
      </c>
      <c r="D150" s="11" t="str">
        <f>_xlfn.XLOOKUP($A150,Centrum[Индекс],Centrum[Container num./ 
№ контейнера],"",0,1)</f>
        <v/>
      </c>
      <c r="E150" s="11" t="str">
        <f>_xlfn.XLOOKUP($A150,Centrum[Индекс],Centrum[Supplier/
Поставщик],"",0,1)</f>
        <v/>
      </c>
      <c r="F150" s="11" t="str">
        <f>_xlfn.XLOOKUP($A150,Centrum[Индекс],Centrum[Shippers invoice no/ 
Номер инвойса поставщика],"",1)</f>
        <v/>
      </c>
      <c r="G150" s="15" t="str">
        <f>_xlfn.XLOOKUP($A150,Centrum[Индекс],Centrum[Invoice value / Стоимость груза в к-ре по инвойсу],"",0,1)</f>
        <v/>
      </c>
      <c r="H150" s="14" t="s">
        <v>40</v>
      </c>
      <c r="I150" s="11" t="str">
        <f>_xlfn.XLOOKUP($A150,Centrum[Индекс],Centrum[CBM on the shipper/ 
CBM по поставщику],"",0,1)</f>
        <v/>
      </c>
      <c r="J150" s="16" t="str">
        <f>_xlfn.XLOOKUP($A150,Centrum[Индекс],Centrum[Gross weight of cont// 
Гросс.вес по конт.],"",0,1)</f>
        <v/>
      </c>
      <c r="K150" s="17" t="str">
        <f>_xlfn.XLOOKUP($A150,Centrum[Индекс],Centrum[Route/ Маршрут (TSR/TCR)],"",0,1)</f>
        <v/>
      </c>
      <c r="L150" s="11" t="str">
        <f>_xlfn.XLOOKUP($A150,Centrum[Индекс],Centrum[Условия поставки],"",0,1)</f>
        <v/>
      </c>
      <c r="M150" s="11" t="str">
        <f>_xlfn.XLOOKUP($A150,Centrum[Индекс],Centrum[№ HBL date / 
№/ дата коносамента],"",0,1)</f>
        <v/>
      </c>
      <c r="N150" s="11" t="str">
        <f>_xlfn.XLOOKUP($A150,Centrum[Индекс],Centrum[№ MBL / 
№/ коносамента],"",0,1)</f>
        <v/>
      </c>
      <c r="O150" s="8" t="e">
        <f>(_xlfn.XLOOKUP($A150,Centrum[Индекс],Centrum[Date on board / Дата погрузки на судно],"",0,1))*1</f>
        <v>#VALUE!</v>
      </c>
      <c r="P150" s="8" t="e">
        <f>(_xlfn.XLOOKUP($A150,Centrum[Индекс],Centrum[Date of arrival to Sary-Agach/ Дата прибытия на Сары-Агач],"",0,1))*1</f>
        <v>#VALUE!</v>
      </c>
      <c r="Q150" s="14" t="str">
        <f>_xlfn.XLOOKUP($A150,Centrum[Индекс],Centrum[Container type/ 
Тип контейнера],"",0,1)</f>
        <v/>
      </c>
      <c r="R150" s="16">
        <f>_xlfn.XLOOKUP($A150,Centrum[Индекс],Centrum[Transportation cost per supplier/ 
Cтоимость перевозки по поставщикам],0,0,1)</f>
        <v>0</v>
      </c>
      <c r="S150" s="16">
        <f>Шаблон_Формулы!$T150-Шаблон_Формулы!$R150</f>
        <v>0</v>
      </c>
      <c r="T150" s="16">
        <f>_xlfn.XLOOKUP($A150,Centrum[Индекс],Centrum[Transportation total amount / Общая стоимость перевозки],0,0,1)</f>
        <v>0</v>
      </c>
      <c r="U150" s="12" cm="1">
        <f t="array" ref="U15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50" s="16">
        <f>_xlfn.XLOOKUP(Шаблон_Формулы[[#This Row],[21]],Курс_USD[Дата],Курс_USD[Курс],,0,1)</f>
        <v>11445.03</v>
      </c>
      <c r="W150" s="16">
        <f>Шаблон_Формулы!$T150*Шаблон_Формулы!$V150</f>
        <v>0</v>
      </c>
      <c r="Y150" s="16">
        <f>Шаблон_Формулы!$W150+Шаблон_Формулы!$X150</f>
        <v>0</v>
      </c>
      <c r="Z150" s="14" t="str">
        <f>_xlfn.XLOOKUP($A150,Centrum[Индекс],Centrum[Transport co invoice no/ 
Номер инвойса ТК],"",0,1)</f>
        <v/>
      </c>
    </row>
    <row r="151" spans="1:26" s="11" customFormat="1" x14ac:dyDescent="0.3">
      <c r="A151" s="14">
        <v>147</v>
      </c>
      <c r="B151" s="11" t="str">
        <f>_xlfn.XLOOKUP($A151,Centrum[Индекс],Centrum[Carrier/ Перевозчик],"",0,1)</f>
        <v/>
      </c>
      <c r="C151" s="11" t="str">
        <f>_xlfn.XLOOKUP($A151,Centrum[Индекс],Centrum[Country /  Страна],"",0,1)</f>
        <v/>
      </c>
      <c r="D151" s="11" t="str">
        <f>_xlfn.XLOOKUP($A151,Centrum[Индекс],Centrum[Container num./ 
№ контейнера],"",0,1)</f>
        <v/>
      </c>
      <c r="E151" s="11" t="str">
        <f>_xlfn.XLOOKUP($A151,Centrum[Индекс],Centrum[Supplier/
Поставщик],"",0,1)</f>
        <v/>
      </c>
      <c r="F151" s="11" t="str">
        <f>_xlfn.XLOOKUP($A151,Centrum[Индекс],Centrum[Shippers invoice no/ 
Номер инвойса поставщика],"",1)</f>
        <v/>
      </c>
      <c r="G151" s="15" t="str">
        <f>_xlfn.XLOOKUP($A151,Centrum[Индекс],Centrum[Invoice value / Стоимость груза в к-ре по инвойсу],"",0,1)</f>
        <v/>
      </c>
      <c r="H151" s="14" t="s">
        <v>40</v>
      </c>
      <c r="I151" s="11" t="str">
        <f>_xlfn.XLOOKUP($A151,Centrum[Индекс],Centrum[CBM on the shipper/ 
CBM по поставщику],"",0,1)</f>
        <v/>
      </c>
      <c r="J151" s="16" t="str">
        <f>_xlfn.XLOOKUP($A151,Centrum[Индекс],Centrum[Gross weight of cont// 
Гросс.вес по конт.],"",0,1)</f>
        <v/>
      </c>
      <c r="K151" s="17" t="str">
        <f>_xlfn.XLOOKUP($A151,Centrum[Индекс],Centrum[Route/ Маршрут (TSR/TCR)],"",0,1)</f>
        <v/>
      </c>
      <c r="L151" s="11" t="str">
        <f>_xlfn.XLOOKUP($A151,Centrum[Индекс],Centrum[Условия поставки],"",0,1)</f>
        <v/>
      </c>
      <c r="M151" s="11" t="str">
        <f>_xlfn.XLOOKUP($A151,Centrum[Индекс],Centrum[№ HBL date / 
№/ дата коносамента],"",0,1)</f>
        <v/>
      </c>
      <c r="N151" s="11" t="str">
        <f>_xlfn.XLOOKUP($A151,Centrum[Индекс],Centrum[№ MBL / 
№/ коносамента],"",0,1)</f>
        <v/>
      </c>
      <c r="O151" s="8" t="e">
        <f>(_xlfn.XLOOKUP($A151,Centrum[Индекс],Centrum[Date on board / Дата погрузки на судно],"",0,1))*1</f>
        <v>#VALUE!</v>
      </c>
      <c r="P151" s="8" t="e">
        <f>(_xlfn.XLOOKUP($A151,Centrum[Индекс],Centrum[Date of arrival to Sary-Agach/ Дата прибытия на Сары-Агач],"",0,1))*1</f>
        <v>#VALUE!</v>
      </c>
      <c r="Q151" s="14" t="str">
        <f>_xlfn.XLOOKUP($A151,Centrum[Индекс],Centrum[Container type/ 
Тип контейнера],"",0,1)</f>
        <v/>
      </c>
      <c r="R151" s="16">
        <f>_xlfn.XLOOKUP($A151,Centrum[Индекс],Centrum[Transportation cost per supplier/ 
Cтоимость перевозки по поставщикам],0,0,1)</f>
        <v>0</v>
      </c>
      <c r="S151" s="16">
        <f>Шаблон_Формулы!$T151-Шаблон_Формулы!$R151</f>
        <v>0</v>
      </c>
      <c r="T151" s="16">
        <f>_xlfn.XLOOKUP($A151,Centrum[Индекс],Centrum[Transportation total amount / Общая стоимость перевозки],0,0,1)</f>
        <v>0</v>
      </c>
      <c r="U151" s="12" cm="1">
        <f t="array" ref="U15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51" s="16">
        <f>_xlfn.XLOOKUP(Шаблон_Формулы[[#This Row],[21]],Курс_USD[Дата],Курс_USD[Курс],,0,1)</f>
        <v>11445.03</v>
      </c>
      <c r="W151" s="16">
        <f>Шаблон_Формулы!$T151*Шаблон_Формулы!$V151</f>
        <v>0</v>
      </c>
      <c r="Y151" s="16">
        <f>Шаблон_Формулы!$W151+Шаблон_Формулы!$X151</f>
        <v>0</v>
      </c>
      <c r="Z151" s="14" t="str">
        <f>_xlfn.XLOOKUP($A151,Centrum[Индекс],Centrum[Transport co invoice no/ 
Номер инвойса ТК],"",0,1)</f>
        <v/>
      </c>
    </row>
    <row r="152" spans="1:26" s="11" customFormat="1" x14ac:dyDescent="0.3">
      <c r="A152" s="14">
        <v>148</v>
      </c>
      <c r="B152" s="11" t="str">
        <f>_xlfn.XLOOKUP($A152,Centrum[Индекс],Centrum[Carrier/ Перевозчик],"",0,1)</f>
        <v/>
      </c>
      <c r="C152" s="11" t="str">
        <f>_xlfn.XLOOKUP($A152,Centrum[Индекс],Centrum[Country /  Страна],"",0,1)</f>
        <v/>
      </c>
      <c r="D152" s="11" t="str">
        <f>_xlfn.XLOOKUP($A152,Centrum[Индекс],Centrum[Container num./ 
№ контейнера],"",0,1)</f>
        <v/>
      </c>
      <c r="E152" s="11" t="str">
        <f>_xlfn.XLOOKUP($A152,Centrum[Индекс],Centrum[Supplier/
Поставщик],"",0,1)</f>
        <v/>
      </c>
      <c r="F152" s="11" t="str">
        <f>_xlfn.XLOOKUP($A152,Centrum[Индекс],Centrum[Shippers invoice no/ 
Номер инвойса поставщика],"",1)</f>
        <v/>
      </c>
      <c r="G152" s="15" t="str">
        <f>_xlfn.XLOOKUP($A152,Centrum[Индекс],Centrum[Invoice value / Стоимость груза в к-ре по инвойсу],"",0,1)</f>
        <v/>
      </c>
      <c r="H152" s="14" t="s">
        <v>40</v>
      </c>
      <c r="I152" s="11" t="str">
        <f>_xlfn.XLOOKUP($A152,Centrum[Индекс],Centrum[CBM on the shipper/ 
CBM по поставщику],"",0,1)</f>
        <v/>
      </c>
      <c r="J152" s="16" t="str">
        <f>_xlfn.XLOOKUP($A152,Centrum[Индекс],Centrum[Gross weight of cont// 
Гросс.вес по конт.],"",0,1)</f>
        <v/>
      </c>
      <c r="K152" s="17" t="str">
        <f>_xlfn.XLOOKUP($A152,Centrum[Индекс],Centrum[Route/ Маршрут (TSR/TCR)],"",0,1)</f>
        <v/>
      </c>
      <c r="L152" s="11" t="str">
        <f>_xlfn.XLOOKUP($A152,Centrum[Индекс],Centrum[Условия поставки],"",0,1)</f>
        <v/>
      </c>
      <c r="M152" s="11" t="str">
        <f>_xlfn.XLOOKUP($A152,Centrum[Индекс],Centrum[№ HBL date / 
№/ дата коносамента],"",0,1)</f>
        <v/>
      </c>
      <c r="N152" s="11" t="str">
        <f>_xlfn.XLOOKUP($A152,Centrum[Индекс],Centrum[№ MBL / 
№/ коносамента],"",0,1)</f>
        <v/>
      </c>
      <c r="O152" s="8" t="e">
        <f>(_xlfn.XLOOKUP($A152,Centrum[Индекс],Centrum[Date on board / Дата погрузки на судно],"",0,1))*1</f>
        <v>#VALUE!</v>
      </c>
      <c r="P152" s="8" t="e">
        <f>(_xlfn.XLOOKUP($A152,Centrum[Индекс],Centrum[Date of arrival to Sary-Agach/ Дата прибытия на Сары-Агач],"",0,1))*1</f>
        <v>#VALUE!</v>
      </c>
      <c r="Q152" s="14" t="str">
        <f>_xlfn.XLOOKUP($A152,Centrum[Индекс],Centrum[Container type/ 
Тип контейнера],"",0,1)</f>
        <v/>
      </c>
      <c r="R152" s="16">
        <f>_xlfn.XLOOKUP($A152,Centrum[Индекс],Centrum[Transportation cost per supplier/ 
Cтоимость перевозки по поставщикам],0,0,1)</f>
        <v>0</v>
      </c>
      <c r="S152" s="16">
        <f>Шаблон_Формулы!$T152-Шаблон_Формулы!$R152</f>
        <v>0</v>
      </c>
      <c r="T152" s="16">
        <f>_xlfn.XLOOKUP($A152,Centrum[Индекс],Centrum[Transportation total amount / Общая стоимость перевозки],0,0,1)</f>
        <v>0</v>
      </c>
      <c r="U152" s="12" cm="1">
        <f t="array" ref="U15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52" s="16">
        <f>_xlfn.XLOOKUP(Шаблон_Формулы[[#This Row],[21]],Курс_USD[Дата],Курс_USD[Курс],,0,1)</f>
        <v>11445.03</v>
      </c>
      <c r="W152" s="16">
        <f>Шаблон_Формулы!$T152*Шаблон_Формулы!$V152</f>
        <v>0</v>
      </c>
      <c r="Y152" s="16">
        <f>Шаблон_Формулы!$W152+Шаблон_Формулы!$X152</f>
        <v>0</v>
      </c>
      <c r="Z152" s="14" t="str">
        <f>_xlfn.XLOOKUP($A152,Centrum[Индекс],Centrum[Transport co invoice no/ 
Номер инвойса ТК],"",0,1)</f>
        <v/>
      </c>
    </row>
    <row r="153" spans="1:26" s="11" customFormat="1" x14ac:dyDescent="0.3">
      <c r="A153" s="14">
        <v>149</v>
      </c>
      <c r="B153" s="11" t="str">
        <f>_xlfn.XLOOKUP($A153,Centrum[Индекс],Centrum[Carrier/ Перевозчик],"",0,1)</f>
        <v/>
      </c>
      <c r="C153" s="11" t="str">
        <f>_xlfn.XLOOKUP($A153,Centrum[Индекс],Centrum[Country /  Страна],"",0,1)</f>
        <v/>
      </c>
      <c r="D153" s="11" t="str">
        <f>_xlfn.XLOOKUP($A153,Centrum[Индекс],Centrum[Container num./ 
№ контейнера],"",0,1)</f>
        <v/>
      </c>
      <c r="E153" s="11" t="str">
        <f>_xlfn.XLOOKUP($A153,Centrum[Индекс],Centrum[Supplier/
Поставщик],"",0,1)</f>
        <v/>
      </c>
      <c r="F153" s="11" t="str">
        <f>_xlfn.XLOOKUP($A153,Centrum[Индекс],Centrum[Shippers invoice no/ 
Номер инвойса поставщика],"",1)</f>
        <v/>
      </c>
      <c r="G153" s="15" t="str">
        <f>_xlfn.XLOOKUP($A153,Centrum[Индекс],Centrum[Invoice value / Стоимость груза в к-ре по инвойсу],"",0,1)</f>
        <v/>
      </c>
      <c r="H153" s="14" t="s">
        <v>40</v>
      </c>
      <c r="I153" s="11" t="str">
        <f>_xlfn.XLOOKUP($A153,Centrum[Индекс],Centrum[CBM on the shipper/ 
CBM по поставщику],"",0,1)</f>
        <v/>
      </c>
      <c r="J153" s="16" t="str">
        <f>_xlfn.XLOOKUP($A153,Centrum[Индекс],Centrum[Gross weight of cont// 
Гросс.вес по конт.],"",0,1)</f>
        <v/>
      </c>
      <c r="K153" s="17" t="str">
        <f>_xlfn.XLOOKUP($A153,Centrum[Индекс],Centrum[Route/ Маршрут (TSR/TCR)],"",0,1)</f>
        <v/>
      </c>
      <c r="L153" s="11" t="str">
        <f>_xlfn.XLOOKUP($A153,Centrum[Индекс],Centrum[Условия поставки],"",0,1)</f>
        <v/>
      </c>
      <c r="M153" s="11" t="str">
        <f>_xlfn.XLOOKUP($A153,Centrum[Индекс],Centrum[№ HBL date / 
№/ дата коносамента],"",0,1)</f>
        <v/>
      </c>
      <c r="N153" s="11" t="str">
        <f>_xlfn.XLOOKUP($A153,Centrum[Индекс],Centrum[№ MBL / 
№/ коносамента],"",0,1)</f>
        <v/>
      </c>
      <c r="O153" s="8" t="e">
        <f>(_xlfn.XLOOKUP($A153,Centrum[Индекс],Centrum[Date on board / Дата погрузки на судно],"",0,1))*1</f>
        <v>#VALUE!</v>
      </c>
      <c r="P153" s="8" t="e">
        <f>(_xlfn.XLOOKUP($A153,Centrum[Индекс],Centrum[Date of arrival to Sary-Agach/ Дата прибытия на Сары-Агач],"",0,1))*1</f>
        <v>#VALUE!</v>
      </c>
      <c r="Q153" s="14" t="str">
        <f>_xlfn.XLOOKUP($A153,Centrum[Индекс],Centrum[Container type/ 
Тип контейнера],"",0,1)</f>
        <v/>
      </c>
      <c r="R153" s="16">
        <f>_xlfn.XLOOKUP($A153,Centrum[Индекс],Centrum[Transportation cost per supplier/ 
Cтоимость перевозки по поставщикам],0,0,1)</f>
        <v>0</v>
      </c>
      <c r="S153" s="16">
        <f>Шаблон_Формулы!$T153-Шаблон_Формулы!$R153</f>
        <v>0</v>
      </c>
      <c r="T153" s="16">
        <f>_xlfn.XLOOKUP($A153,Centrum[Индекс],Centrum[Transportation total amount / Общая стоимость перевозки],0,0,1)</f>
        <v>0</v>
      </c>
      <c r="U153" s="12" cm="1">
        <f t="array" ref="U15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53" s="16">
        <f>_xlfn.XLOOKUP(Шаблон_Формулы[[#This Row],[21]],Курс_USD[Дата],Курс_USD[Курс],,0,1)</f>
        <v>11445.03</v>
      </c>
      <c r="W153" s="16">
        <f>Шаблон_Формулы!$T153*Шаблон_Формулы!$V153</f>
        <v>0</v>
      </c>
      <c r="Y153" s="16">
        <f>Шаблон_Формулы!$W153+Шаблон_Формулы!$X153</f>
        <v>0</v>
      </c>
      <c r="Z153" s="14" t="str">
        <f>_xlfn.XLOOKUP($A153,Centrum[Индекс],Centrum[Transport co invoice no/ 
Номер инвойса ТК],"",0,1)</f>
        <v/>
      </c>
    </row>
    <row r="154" spans="1:26" s="11" customFormat="1" x14ac:dyDescent="0.3">
      <c r="A154" s="14">
        <v>150</v>
      </c>
      <c r="B154" s="11" t="str">
        <f>_xlfn.XLOOKUP($A154,Centrum[Индекс],Centrum[Carrier/ Перевозчик],"",0,1)</f>
        <v/>
      </c>
      <c r="C154" s="11" t="str">
        <f>_xlfn.XLOOKUP($A154,Centrum[Индекс],Centrum[Country /  Страна],"",0,1)</f>
        <v/>
      </c>
      <c r="D154" s="11" t="str">
        <f>_xlfn.XLOOKUP($A154,Centrum[Индекс],Centrum[Container num./ 
№ контейнера],"",0,1)</f>
        <v/>
      </c>
      <c r="E154" s="11" t="str">
        <f>_xlfn.XLOOKUP($A154,Centrum[Индекс],Centrum[Supplier/
Поставщик],"",0,1)</f>
        <v/>
      </c>
      <c r="F154" s="11" t="str">
        <f>_xlfn.XLOOKUP($A154,Centrum[Индекс],Centrum[Shippers invoice no/ 
Номер инвойса поставщика],"",1)</f>
        <v/>
      </c>
      <c r="G154" s="15" t="str">
        <f>_xlfn.XLOOKUP($A154,Centrum[Индекс],Centrum[Invoice value / Стоимость груза в к-ре по инвойсу],"",0,1)</f>
        <v/>
      </c>
      <c r="H154" s="14" t="s">
        <v>40</v>
      </c>
      <c r="I154" s="11" t="str">
        <f>_xlfn.XLOOKUP($A154,Centrum[Индекс],Centrum[CBM on the shipper/ 
CBM по поставщику],"",0,1)</f>
        <v/>
      </c>
      <c r="J154" s="16" t="str">
        <f>_xlfn.XLOOKUP($A154,Centrum[Индекс],Centrum[Gross weight of cont// 
Гросс.вес по конт.],"",0,1)</f>
        <v/>
      </c>
      <c r="K154" s="17" t="str">
        <f>_xlfn.XLOOKUP($A154,Centrum[Индекс],Centrum[Route/ Маршрут (TSR/TCR)],"",0,1)</f>
        <v/>
      </c>
      <c r="L154" s="11" t="str">
        <f>_xlfn.XLOOKUP($A154,Centrum[Индекс],Centrum[Условия поставки],"",0,1)</f>
        <v/>
      </c>
      <c r="M154" s="11" t="str">
        <f>_xlfn.XLOOKUP($A154,Centrum[Индекс],Centrum[№ HBL date / 
№/ дата коносамента],"",0,1)</f>
        <v/>
      </c>
      <c r="N154" s="11" t="str">
        <f>_xlfn.XLOOKUP($A154,Centrum[Индекс],Centrum[№ MBL / 
№/ коносамента],"",0,1)</f>
        <v/>
      </c>
      <c r="O154" s="8" t="e">
        <f>(_xlfn.XLOOKUP($A154,Centrum[Индекс],Centrum[Date on board / Дата погрузки на судно],"",0,1))*1</f>
        <v>#VALUE!</v>
      </c>
      <c r="P154" s="8" t="e">
        <f>(_xlfn.XLOOKUP($A154,Centrum[Индекс],Centrum[Date of arrival to Sary-Agach/ Дата прибытия на Сары-Агач],"",0,1))*1</f>
        <v>#VALUE!</v>
      </c>
      <c r="Q154" s="14" t="str">
        <f>_xlfn.XLOOKUP($A154,Centrum[Индекс],Centrum[Container type/ 
Тип контейнера],"",0,1)</f>
        <v/>
      </c>
      <c r="R154" s="16">
        <f>_xlfn.XLOOKUP($A154,Centrum[Индекс],Centrum[Transportation cost per supplier/ 
Cтоимость перевозки по поставщикам],0,0,1)</f>
        <v>0</v>
      </c>
      <c r="S154" s="16">
        <f>Шаблон_Формулы!$T154-Шаблон_Формулы!$R154</f>
        <v>0</v>
      </c>
      <c r="T154" s="16">
        <f>_xlfn.XLOOKUP($A154,Centrum[Индекс],Centrum[Transportation total amount / Общая стоимость перевозки],0,0,1)</f>
        <v>0</v>
      </c>
      <c r="U154" s="12" cm="1">
        <f t="array" ref="U15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54" s="16">
        <f>_xlfn.XLOOKUP(Шаблон_Формулы[[#This Row],[21]],Курс_USD[Дата],Курс_USD[Курс],,0,1)</f>
        <v>11445.03</v>
      </c>
      <c r="W154" s="16">
        <f>Шаблон_Формулы!$T154*Шаблон_Формулы!$V154</f>
        <v>0</v>
      </c>
      <c r="Y154" s="16">
        <f>Шаблон_Формулы!$W154+Шаблон_Формулы!$X154</f>
        <v>0</v>
      </c>
      <c r="Z154" s="14" t="str">
        <f>_xlfn.XLOOKUP($A154,Centrum[Индекс],Centrum[Transport co invoice no/ 
Номер инвойса ТК],"",0,1)</f>
        <v/>
      </c>
    </row>
  </sheetData>
  <mergeCells count="3">
    <mergeCell ref="A1:C1"/>
    <mergeCell ref="D1:G1"/>
    <mergeCell ref="H1:Z1"/>
  </mergeCells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9"/>
  <sheetViews>
    <sheetView workbookViewId="0">
      <selection activeCell="E17" sqref="E17"/>
    </sheetView>
  </sheetViews>
  <sheetFormatPr defaultRowHeight="14.4" x14ac:dyDescent="0.3"/>
  <sheetData>
    <row r="2" spans="1:2" x14ac:dyDescent="0.3">
      <c r="A2" s="4" t="s">
        <v>28</v>
      </c>
      <c r="B2" s="4" t="s">
        <v>30</v>
      </c>
    </row>
    <row r="3" spans="1:2" x14ac:dyDescent="0.3">
      <c r="A3" s="4" t="s">
        <v>29</v>
      </c>
      <c r="B3" s="4" t="s">
        <v>31</v>
      </c>
    </row>
    <row r="4" spans="1:2" x14ac:dyDescent="0.3">
      <c r="A4" s="4" t="s">
        <v>32</v>
      </c>
      <c r="B4" s="4" t="s">
        <v>33</v>
      </c>
    </row>
    <row r="5" spans="1:2" x14ac:dyDescent="0.3">
      <c r="A5" s="4" t="s">
        <v>34</v>
      </c>
      <c r="B5" s="4" t="s">
        <v>35</v>
      </c>
    </row>
    <row r="6" spans="1:2" x14ac:dyDescent="0.3">
      <c r="A6" s="4" t="s">
        <v>36</v>
      </c>
      <c r="B6" s="4" t="s">
        <v>37</v>
      </c>
    </row>
    <row r="7" spans="1:2" x14ac:dyDescent="0.3">
      <c r="A7" s="4" t="s">
        <v>38</v>
      </c>
      <c r="B7" s="4" t="s">
        <v>39</v>
      </c>
    </row>
    <row r="8" spans="1:2" x14ac:dyDescent="0.3">
      <c r="A8" s="4" t="s">
        <v>40</v>
      </c>
      <c r="B8" s="4" t="s">
        <v>41</v>
      </c>
    </row>
    <row r="9" spans="1:2" x14ac:dyDescent="0.3">
      <c r="A9" s="4" t="s">
        <v>42</v>
      </c>
      <c r="B9" s="4" t="s">
        <v>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EE1D42-1A93-422A-B5D7-E973A2F16D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2</vt:i4>
      </vt:variant>
    </vt:vector>
  </HeadingPairs>
  <TitlesOfParts>
    <vt:vector size="8" baseType="lpstr">
      <vt:lpstr>Лист1</vt:lpstr>
      <vt:lpstr>Путь</vt:lpstr>
      <vt:lpstr>Centrum</vt:lpstr>
      <vt:lpstr>Курс</vt:lpstr>
      <vt:lpstr>Шаблон_Формулы</vt:lpstr>
      <vt:lpstr>Лист2</vt:lpstr>
      <vt:lpstr>Rate</vt:lpstr>
      <vt:lpstr>SRC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Ziyovuddin Radjabmukhamedov</cp:lastModifiedBy>
  <cp:lastPrinted>2023-05-04T05:33:20Z</cp:lastPrinted>
  <dcterms:created xsi:type="dcterms:W3CDTF">2023-02-15T11:48:29Z</dcterms:created>
  <dcterms:modified xsi:type="dcterms:W3CDTF">2023-11-01T11:53:41Z</dcterms:modified>
</cp:coreProperties>
</file>