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"/>
    </mc:Choice>
  </mc:AlternateContent>
  <xr:revisionPtr revIDLastSave="0" documentId="13_ncr:1_{CC54E1F6-2568-4CCA-A83D-F910E5CF3F90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</definedName>
    <definedName name="ExternalData_1" localSheetId="3" hidden="1">Курс!$A$5:$D$10</definedName>
    <definedName name="ExternalData_1" localSheetId="0" hidden="1">Лист1!$A$2:$Z$8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5" l="1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<sst xmlns="http://schemas.openxmlformats.org/spreadsheetml/2006/main" count="420" uniqueCount="136">
  <si>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</si>
  <si>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</si>
  <si>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</si>
  <si>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</si>
  <si>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</si>
  <si>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</si>
  <si>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</si>
  <si>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</si>
  <si>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</si>
  <si>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</si>
  <si>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</si>
  <si>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</si>
  <si>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</si>
  <si>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</si>
  <si>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</si>
  <si>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</si>
  <si>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</si>
  <si>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</si>
  <si>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</si>
  <si>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</si>
  <si>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</si>
  <si>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</si>
  <si>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</si>
  <si>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</si>
  <si>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</si>
  <si>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</si>
  <si>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</si>
  <si>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</si>
  <si>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</si>
  <si>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</si>
  <si>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</si>
  <si>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</si>
  <si>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</si>
  <si>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</si>
  <si>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</si>
  <si>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</si>
  <si>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</si>
  <si>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</si>
  <si>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</si>
  <si>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</si>
  <si>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</si>
  <si>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</si>
  <si>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</si>
  <si>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</si>
  <si>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</si>
  <si>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</si>
  <si>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</si>
  <si>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</si>
  <si>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</si>
  <si>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</si>
  <si>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</si>
  <si>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</si>
  <si>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</si>
  <si>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</si>
  <si>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</si>
  <si>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</si>
  <si>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</si>
  <si>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</si>
  <si>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</si>
  <si>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</si>
  <si>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</si>
  <si>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</si>
  <si>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</si>
  <si>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</si>
  <si>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</si>
  <si>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</si>
  <si>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</si>
  <si>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</si>
  <si>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</si>
  <si>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</si>
  <si>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</si>
  <si>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</si>
  <si>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</si>
  <si>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</si>
  <si>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</si>
  <si>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</si>
  <si>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</si>
  <si>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</si>
  <si>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</si>
  <si>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</si>
  <si>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</si>
  <si>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</si>
  <si>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</si>
  <si>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</si>
  <si>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</si>
  <si>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</si>
  <si>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</si>
  <si>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</si>
  <si>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</si>
  <si>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</si>
  <si>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</si>
  <si>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</si>
  <si>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</si>
  <si>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</si>
  <si>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</si>
  <si>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</si>
  <si>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</si>
  <si>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</si>
  <si>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</si>
  <si>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</si>
  <si>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</si>
  <si>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</si>
  <si>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</si>
  <si>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</si>
  <si>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</si>
  <si>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</si>
  <si>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</si>
  <si>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</si>
  <si>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</si>
  <si>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</si>
  <si>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</si>
  <si>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</si>
  <si>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</si>
  <si>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</si>
  <si>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CNT-ZCH-018.xls</t>
  </si>
  <si>
    <t>CHINA</t>
  </si>
  <si>
    <t>017</t>
  </si>
  <si>
    <t>PONU7302380</t>
  </si>
  <si>
    <t>Goodyear  Dalian  Tire  Co.  Ltd.</t>
  </si>
  <si>
    <t>CH2309141-1</t>
  </si>
  <si>
    <t>DALIAN FCA</t>
  </si>
  <si>
    <t>-</t>
  </si>
  <si>
    <t>TCR</t>
  </si>
  <si>
    <t>0</t>
  </si>
  <si>
    <t>ZCH-018</t>
  </si>
  <si>
    <t>PONU7604311</t>
  </si>
  <si>
    <t>CH2309141-2</t>
  </si>
  <si>
    <t>TGHU8035464</t>
  </si>
  <si>
    <t>CH2309141-3</t>
  </si>
  <si>
    <t>170</t>
  </si>
  <si>
    <t>WEDU8185897</t>
  </si>
  <si>
    <t>Magna Closures (Kunshan) Co. Ltd.</t>
  </si>
  <si>
    <t>546192</t>
  </si>
  <si>
    <t>Kunshan FCA</t>
  </si>
  <si>
    <t>CENTRUM AVIATION FZCO
Доп-4</t>
  </si>
  <si>
    <t>CNT-ZCH-018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</si>
</sst>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8" tableType="queryTable" totalsRowShown="0" headerRowDxfId="91" dataDxfId="90" tableBorderDxfId="89">
  <autoFilter ref="A2:Z8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" tableType="queryTable" totalsRowShown="0" headerRowDxfId="62" dataDxfId="61">
  <autoFilter ref="A1:V5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10" tableType="queryTable" totalsRowShown="0" headerRowDxfId="33">
  <autoFilter ref="A5:D10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workbookViewId="0">
      <selection activeCell="G5" sqref="G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CNT-ZCH-018</v>
      </c>
      <c r="E1" s="54"/>
      <c r="F1" s="54"/>
      <c r="G1" s="54"/>
      <c r="H1" s="55">
        <v>45236</v>
      </c>
      <c r="I1" s="55"/>
      <c r="J1" s="56" t="s">
        <v>113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76</v>
      </c>
      <c r="B2" s="27" t="s">
        <v>77</v>
      </c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  <c r="J2" s="27" t="s">
        <v>85</v>
      </c>
      <c r="K2" s="27" t="s">
        <v>86</v>
      </c>
      <c r="L2" s="27" t="s">
        <v>87</v>
      </c>
      <c r="M2" s="27" t="s">
        <v>88</v>
      </c>
      <c r="N2" s="27" t="s">
        <v>89</v>
      </c>
      <c r="O2" s="27" t="s">
        <v>90</v>
      </c>
      <c r="P2" s="27" t="s">
        <v>91</v>
      </c>
      <c r="Q2" s="27" t="s">
        <v>92</v>
      </c>
      <c r="R2" s="27" t="s">
        <v>93</v>
      </c>
      <c r="S2" s="27" t="s">
        <v>94</v>
      </c>
      <c r="T2" s="27" t="s">
        <v>95</v>
      </c>
      <c r="U2" s="27" t="s">
        <v>96</v>
      </c>
      <c r="V2" s="27" t="s">
        <v>97</v>
      </c>
      <c r="W2" s="27" t="s">
        <v>98</v>
      </c>
      <c r="X2" s="27" t="s">
        <v>99</v>
      </c>
      <c r="Y2" s="27" t="s">
        <v>100</v>
      </c>
      <c r="Z2" s="27" t="s">
        <v>101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43450</v>
      </c>
      <c r="U4" s="40"/>
      <c r="V4" s="39"/>
      <c r="W4" s="39"/>
      <c r="X4" s="41"/>
      <c r="Y4" s="39">
        <v>532436300</v>
      </c>
      <c r="Z4" s="44"/>
    </row>
    <row r="5" spans="1:26" ht="36.75" x14ac:dyDescent="0.25">
      <c r="A5" s="44">
        <v>1</v>
      </c>
      <c r="B5" s="41" t="s">
        <v>134</v>
      </c>
      <c r="C5" s="41" t="s">
        <v>115</v>
      </c>
      <c r="D5" s="41" t="s">
        <v>117</v>
      </c>
      <c r="E5" s="41" t="s">
        <v>118</v>
      </c>
      <c r="F5" s="41" t="s">
        <v>119</v>
      </c>
      <c r="G5" s="38">
        <v>54808.6</v>
      </c>
      <c r="H5" s="45" t="s">
        <v>40</v>
      </c>
      <c r="I5" s="37">
        <v>53.48</v>
      </c>
      <c r="J5" s="39">
        <v>8085</v>
      </c>
      <c r="K5" s="46" t="s">
        <v>122</v>
      </c>
      <c r="L5" s="41" t="s">
        <v>120</v>
      </c>
      <c r="M5" s="41" t="s">
        <v>121</v>
      </c>
      <c r="N5" s="41" t="s">
        <v>121</v>
      </c>
      <c r="O5" s="40">
        <v>45203</v>
      </c>
      <c r="P5" s="40">
        <v>45229</v>
      </c>
      <c r="Q5" s="45" t="s">
        <v>45</v>
      </c>
      <c r="R5" s="39">
        <v>10950</v>
      </c>
      <c r="S5" s="39">
        <v>0</v>
      </c>
      <c r="T5" s="39">
        <v>10950</v>
      </c>
      <c r="U5" s="40">
        <v>45236</v>
      </c>
      <c r="V5" s="39">
        <v>12254</v>
      </c>
      <c r="W5" s="39">
        <v>134181300</v>
      </c>
      <c r="X5" s="41"/>
      <c r="Y5" s="39">
        <v>134181300</v>
      </c>
      <c r="Z5" s="44" t="s">
        <v>135</v>
      </c>
    </row>
    <row r="6" spans="1:26" s="4" customFormat="1" ht="36.75" x14ac:dyDescent="0.25">
      <c r="A6" s="44">
        <v>2</v>
      </c>
      <c r="B6" s="41" t="s">
        <v>134</v>
      </c>
      <c r="C6" s="41" t="s">
        <v>115</v>
      </c>
      <c r="D6" s="41" t="s">
        <v>125</v>
      </c>
      <c r="E6" s="41" t="s">
        <v>118</v>
      </c>
      <c r="F6" s="41" t="s">
        <v>126</v>
      </c>
      <c r="G6" s="38">
        <v>54808.6</v>
      </c>
      <c r="H6" s="45" t="s">
        <v>40</v>
      </c>
      <c r="I6" s="37">
        <v>53.48</v>
      </c>
      <c r="J6" s="39">
        <v>8085</v>
      </c>
      <c r="K6" s="46" t="s">
        <v>122</v>
      </c>
      <c r="L6" s="41" t="s">
        <v>120</v>
      </c>
      <c r="M6" s="41" t="s">
        <v>121</v>
      </c>
      <c r="N6" s="41" t="s">
        <v>121</v>
      </c>
      <c r="O6" s="40">
        <v>45203</v>
      </c>
      <c r="P6" s="40">
        <v>45229</v>
      </c>
      <c r="Q6" s="45" t="s">
        <v>45</v>
      </c>
      <c r="R6" s="39">
        <v>10950</v>
      </c>
      <c r="S6" s="39">
        <v>0</v>
      </c>
      <c r="T6" s="39">
        <v>10950</v>
      </c>
      <c r="U6" s="40">
        <v>45236</v>
      </c>
      <c r="V6" s="39">
        <v>12254</v>
      </c>
      <c r="W6" s="39">
        <v>134181300</v>
      </c>
      <c r="X6" s="41"/>
      <c r="Y6" s="39">
        <v>134181300</v>
      </c>
      <c r="Z6" s="44" t="s">
        <v>135</v>
      </c>
    </row>
    <row r="7" spans="1:26" s="4" customFormat="1" ht="36.75" x14ac:dyDescent="0.25">
      <c r="A7" s="44">
        <v>3</v>
      </c>
      <c r="B7" s="41" t="s">
        <v>134</v>
      </c>
      <c r="C7" s="41" t="s">
        <v>115</v>
      </c>
      <c r="D7" s="41" t="s">
        <v>127</v>
      </c>
      <c r="E7" s="41" t="s">
        <v>118</v>
      </c>
      <c r="F7" s="41" t="s">
        <v>128</v>
      </c>
      <c r="G7" s="38">
        <v>54808.6</v>
      </c>
      <c r="H7" s="45" t="s">
        <v>40</v>
      </c>
      <c r="I7" s="37">
        <v>53.48</v>
      </c>
      <c r="J7" s="39">
        <v>8085</v>
      </c>
      <c r="K7" s="46" t="s">
        <v>122</v>
      </c>
      <c r="L7" s="41" t="s">
        <v>120</v>
      </c>
      <c r="M7" s="41" t="s">
        <v>121</v>
      </c>
      <c r="N7" s="41" t="s">
        <v>121</v>
      </c>
      <c r="O7" s="40">
        <v>45203</v>
      </c>
      <c r="P7" s="40">
        <v>45229</v>
      </c>
      <c r="Q7" s="45" t="s">
        <v>45</v>
      </c>
      <c r="R7" s="39">
        <v>10950</v>
      </c>
      <c r="S7" s="39">
        <v>0</v>
      </c>
      <c r="T7" s="39">
        <v>10950</v>
      </c>
      <c r="U7" s="40">
        <v>45236</v>
      </c>
      <c r="V7" s="39">
        <v>12254</v>
      </c>
      <c r="W7" s="39">
        <v>134181300</v>
      </c>
      <c r="X7" s="41"/>
      <c r="Y7" s="39">
        <v>134181300</v>
      </c>
      <c r="Z7" s="44" t="s">
        <v>135</v>
      </c>
    </row>
    <row r="8" spans="1:26" s="4" customFormat="1" ht="48.75" x14ac:dyDescent="0.25">
      <c r="A8" s="44">
        <v>4</v>
      </c>
      <c r="B8" s="41" t="s">
        <v>134</v>
      </c>
      <c r="C8" s="41" t="s">
        <v>115</v>
      </c>
      <c r="D8" s="41" t="s">
        <v>130</v>
      </c>
      <c r="E8" s="41" t="s">
        <v>131</v>
      </c>
      <c r="F8" s="41" t="s">
        <v>132</v>
      </c>
      <c r="G8" s="38">
        <v>171072</v>
      </c>
      <c r="H8" s="45" t="s">
        <v>40</v>
      </c>
      <c r="I8" s="37">
        <v>61.445999999999998</v>
      </c>
      <c r="J8" s="39">
        <v>14164</v>
      </c>
      <c r="K8" s="46" t="s">
        <v>122</v>
      </c>
      <c r="L8" s="41" t="s">
        <v>133</v>
      </c>
      <c r="M8" s="41" t="s">
        <v>121</v>
      </c>
      <c r="N8" s="41" t="s">
        <v>121</v>
      </c>
      <c r="O8" s="40">
        <v>45212</v>
      </c>
      <c r="P8" s="40">
        <v>45232</v>
      </c>
      <c r="Q8" s="45" t="s">
        <v>45</v>
      </c>
      <c r="R8" s="39">
        <v>10600</v>
      </c>
      <c r="S8" s="39">
        <v>0</v>
      </c>
      <c r="T8" s="39">
        <v>10600</v>
      </c>
      <c r="U8" s="40">
        <v>45236</v>
      </c>
      <c r="V8" s="39">
        <v>12254</v>
      </c>
      <c r="W8" s="39">
        <v>129892400</v>
      </c>
      <c r="X8" s="41"/>
      <c r="Y8" s="39">
        <v>129892400</v>
      </c>
      <c r="Z8" s="44" t="s">
        <v>135</v>
      </c>
    </row>
    <row r="9" spans="1:26" s="4" customFormat="1" x14ac:dyDescent="0.25"/>
    <row r="10" spans="1:26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C13" sqref="C13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C:\Users\a.inoyatov\Desktop\[CNT-ZCH-018 GM.xlsx]Лист1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C:\Users\a.inoyatov\Desktop\CNT-ZCH-018.xls</v>
      </c>
    </row>
    <row r="3" spans="1:2" ht="24" customHeight="1" x14ac:dyDescent="0.25">
      <c r="A3" s="29" t="s">
        <v>73</v>
      </c>
      <c r="B3" s="32" t="s">
        <v>114</v>
      </c>
    </row>
    <row r="4" spans="1:2" ht="31.9" customHeight="1" x14ac:dyDescent="0.25">
      <c r="A4" s="42" t="s">
        <v>102</v>
      </c>
      <c r="B4" s="43" t="str">
        <f ca="1">LEFT(B1,SEARCH("[",B1,1)-1)&amp;"Справочник курсов.xlsx"</f>
        <v>C:\Users\a.inoyatov\Desktop\Справочник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44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7" t="s">
        <v>120</v>
      </c>
      <c r="H2" s="10" t="s">
        <v>121</v>
      </c>
      <c r="I2" s="10" t="s">
        <v>122</v>
      </c>
      <c r="J2" s="10" t="s">
        <v>121</v>
      </c>
      <c r="K2" s="10" t="s">
        <v>121</v>
      </c>
      <c r="L2" s="47">
        <v>45203</v>
      </c>
      <c r="M2" s="47">
        <v>45229</v>
      </c>
      <c r="N2" s="19">
        <v>53.48</v>
      </c>
      <c r="O2" s="19">
        <v>8085</v>
      </c>
      <c r="P2" s="19">
        <v>10950</v>
      </c>
      <c r="Q2" s="19" t="s">
        <v>123</v>
      </c>
      <c r="R2" s="19">
        <v>10950</v>
      </c>
      <c r="S2" s="10" t="s">
        <v>45</v>
      </c>
      <c r="T2" s="19">
        <v>54808.6</v>
      </c>
      <c r="U2" s="10" t="s">
        <v>124</v>
      </c>
      <c r="V2" s="9">
        <v>1</v>
      </c>
    </row>
    <row r="3" spans="1:22" ht="15" x14ac:dyDescent="0.25">
      <c r="A3" s="10" t="s">
        <v>44</v>
      </c>
      <c r="B3" s="10" t="s">
        <v>115</v>
      </c>
      <c r="C3" s="10" t="s">
        <v>116</v>
      </c>
      <c r="D3" s="10" t="s">
        <v>125</v>
      </c>
      <c r="E3" s="10" t="s">
        <v>118</v>
      </c>
      <c r="F3" s="10" t="s">
        <v>126</v>
      </c>
      <c r="G3" s="7" t="s">
        <v>120</v>
      </c>
      <c r="H3" s="10" t="s">
        <v>121</v>
      </c>
      <c r="I3" s="10" t="s">
        <v>122</v>
      </c>
      <c r="J3" s="10" t="s">
        <v>121</v>
      </c>
      <c r="K3" s="10" t="s">
        <v>121</v>
      </c>
      <c r="L3" s="47">
        <v>45203</v>
      </c>
      <c r="M3" s="47">
        <v>45229</v>
      </c>
      <c r="N3" s="19">
        <v>53.48</v>
      </c>
      <c r="O3" s="19">
        <v>8085</v>
      </c>
      <c r="P3" s="19">
        <v>10950</v>
      </c>
      <c r="Q3" s="19" t="s">
        <v>123</v>
      </c>
      <c r="R3" s="19">
        <v>10950</v>
      </c>
      <c r="S3" s="10" t="s">
        <v>45</v>
      </c>
      <c r="T3" s="19">
        <v>54808.6</v>
      </c>
      <c r="U3" s="10" t="s">
        <v>124</v>
      </c>
      <c r="V3" s="9">
        <v>2</v>
      </c>
    </row>
    <row r="4" spans="1:22" ht="15" x14ac:dyDescent="0.25">
      <c r="A4" s="10" t="s">
        <v>44</v>
      </c>
      <c r="B4" s="10" t="s">
        <v>115</v>
      </c>
      <c r="C4" s="10" t="s">
        <v>116</v>
      </c>
      <c r="D4" s="10" t="s">
        <v>127</v>
      </c>
      <c r="E4" s="10" t="s">
        <v>118</v>
      </c>
      <c r="F4" s="10" t="s">
        <v>128</v>
      </c>
      <c r="G4" s="7" t="s">
        <v>120</v>
      </c>
      <c r="H4" s="10" t="s">
        <v>121</v>
      </c>
      <c r="I4" s="10" t="s">
        <v>122</v>
      </c>
      <c r="J4" s="10" t="s">
        <v>121</v>
      </c>
      <c r="K4" s="10" t="s">
        <v>121</v>
      </c>
      <c r="L4" s="47">
        <v>45203</v>
      </c>
      <c r="M4" s="47">
        <v>45229</v>
      </c>
      <c r="N4" s="19">
        <v>53.48</v>
      </c>
      <c r="O4" s="19">
        <v>8085</v>
      </c>
      <c r="P4" s="19">
        <v>10950</v>
      </c>
      <c r="Q4" s="19" t="s">
        <v>123</v>
      </c>
      <c r="R4" s="19">
        <v>10950</v>
      </c>
      <c r="S4" s="10" t="s">
        <v>45</v>
      </c>
      <c r="T4" s="19">
        <v>54808.6</v>
      </c>
      <c r="U4" s="10" t="s">
        <v>124</v>
      </c>
      <c r="V4" s="9">
        <v>3</v>
      </c>
    </row>
    <row r="5" spans="1:22" ht="15" x14ac:dyDescent="0.25">
      <c r="A5" s="10" t="s">
        <v>44</v>
      </c>
      <c r="B5" s="10" t="s">
        <v>115</v>
      </c>
      <c r="C5" s="10" t="s">
        <v>129</v>
      </c>
      <c r="D5" s="10" t="s">
        <v>130</v>
      </c>
      <c r="E5" s="10" t="s">
        <v>131</v>
      </c>
      <c r="F5" s="10" t="s">
        <v>132</v>
      </c>
      <c r="G5" s="7" t="s">
        <v>133</v>
      </c>
      <c r="H5" s="10"/>
      <c r="I5" s="10" t="s">
        <v>122</v>
      </c>
      <c r="J5" s="10"/>
      <c r="K5" s="10"/>
      <c r="L5" s="47">
        <v>45212</v>
      </c>
      <c r="M5" s="47">
        <v>45232</v>
      </c>
      <c r="N5" s="19">
        <v>61.445999999999998</v>
      </c>
      <c r="O5" s="19">
        <v>14164</v>
      </c>
      <c r="P5" s="19">
        <v>10600</v>
      </c>
      <c r="Q5" s="19" t="s">
        <v>123</v>
      </c>
      <c r="R5" s="19">
        <v>10600</v>
      </c>
      <c r="S5" s="10" t="s">
        <v>45</v>
      </c>
      <c r="T5" s="19">
        <v>171072</v>
      </c>
      <c r="U5" s="10" t="s">
        <v>124</v>
      </c>
      <c r="V5" s="9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10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103</v>
      </c>
      <c r="B1" s="23" t="s">
        <v>68</v>
      </c>
      <c r="C1" s="23" t="s">
        <v>69</v>
      </c>
      <c r="D1" s="23" t="s">
        <v>111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45229</v>
      </c>
      <c r="B2" s="22">
        <f>MAX(Centrum[Date of arrival to Sary-Agach/ Дата прибытия на Сары-Агач])</f>
        <v>45232</v>
      </c>
      <c r="C2" s="22">
        <f ca="1">IF(WORKDAY(A2,15)&gt;=TODAY(),TODAY(),WORKDAY(A2,15))</f>
        <v>45237</v>
      </c>
      <c r="D2" s="48">
        <v>45236</v>
      </c>
      <c r="E2" s="13" t="s">
        <v>40</v>
      </c>
    </row>
    <row r="4" spans="1:5" ht="36" customHeight="1" x14ac:dyDescent="0.25">
      <c r="A4" s="33" t="str">
        <f>IF(B10="","Обновите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109</v>
      </c>
      <c r="D5" s="23" t="s">
        <v>72</v>
      </c>
    </row>
    <row r="6" spans="1:5" x14ac:dyDescent="0.25">
      <c r="A6" s="24" t="s">
        <v>105</v>
      </c>
      <c r="B6" s="8">
        <v>45232</v>
      </c>
      <c r="C6" s="49">
        <v>12249</v>
      </c>
    </row>
    <row r="7" spans="1:5" x14ac:dyDescent="0.25">
      <c r="A7" s="24" t="s">
        <v>106</v>
      </c>
      <c r="B7" s="8">
        <v>45233</v>
      </c>
      <c r="C7" s="49">
        <v>12240.01</v>
      </c>
    </row>
    <row r="8" spans="1:5" x14ac:dyDescent="0.25">
      <c r="A8" s="24" t="s">
        <v>107</v>
      </c>
      <c r="B8" s="8">
        <v>45234</v>
      </c>
      <c r="C8" s="49">
        <v>12240.01</v>
      </c>
    </row>
    <row r="9" spans="1:5" x14ac:dyDescent="0.25">
      <c r="A9" s="24" t="s">
        <v>108</v>
      </c>
      <c r="B9" s="8">
        <v>45235</v>
      </c>
      <c r="C9" s="49">
        <v>12240.01</v>
      </c>
    </row>
    <row r="10" spans="1:5" x14ac:dyDescent="0.25">
      <c r="A10" s="24" t="s">
        <v>104</v>
      </c>
      <c r="B10" s="8">
        <v>45236</v>
      </c>
      <c r="C10" s="49">
        <v>12254</v>
      </c>
      <c r="D10" s="4" t="s">
        <v>110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  <c r="O2" s="20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20" t="s">
        <v>95</v>
      </c>
      <c r="U2" s="20" t="s">
        <v>96</v>
      </c>
      <c r="V2" s="20" t="s">
        <v>97</v>
      </c>
      <c r="W2" s="20" t="s">
        <v>98</v>
      </c>
      <c r="X2" s="20" t="s">
        <v>99</v>
      </c>
      <c r="Y2" s="20" t="s">
        <v>100</v>
      </c>
      <c r="Z2" s="20" t="s">
        <v>101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43450</v>
      </c>
      <c r="U4" s="3"/>
      <c r="V4" s="26"/>
      <c r="W4" s="26"/>
      <c r="X4" s="5"/>
      <c r="Y4" s="6">
        <f>SUM(Y5:Y1048576)</f>
        <v>532436300</v>
      </c>
      <c r="Z4" s="3" t="s">
        <v>112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CHINA</v>
      </c>
      <c r="D5" s="11" t="str">
        <f>_xlfn.XLOOKUP($A5,Centrum[Индекс],Centrum[Container num./ 
№ контейнера],"",0,1)</f>
        <v>PONU7302380</v>
      </c>
      <c r="E5" s="11" t="str">
        <f>_xlfn.XLOOKUP($A5,Centrum[Индекс],Centrum[Supplier/
Поставщик],"",0,1)</f>
        <v>Goodyear  Dalian  Tire  Co.  Ltd.</v>
      </c>
      <c r="F5" s="11" t="str">
        <f>_xlfn.XLOOKUP($A5,Centrum[Индекс],Centrum[Shippers invoice no/ 
Номер инвойса поставщика],"",1)</f>
        <v>CH2309141-1</v>
      </c>
      <c r="G5" s="15">
        <f>_xlfn.XLOOKUP($A5,Centrum[Индекс],Centrum[Invoice value / Стоимость груза в к-ре по инвойсу],"",0,1)</f>
        <v>54808.6</v>
      </c>
      <c r="H5" s="14" t="s">
        <v>40</v>
      </c>
      <c r="I5" s="11">
        <f>_xlfn.XLOOKUP($A5,Centrum[Индекс],Centrum[CBM on the shipper/ 
CBM по поставщику],"",0,1)</f>
        <v>53.48</v>
      </c>
      <c r="J5" s="16">
        <f>_xlfn.XLOOKUP($A5,Centrum[Индекс],Centrum[Gross weight of cont// 
Гросс.вес по конт.],"",0,1)</f>
        <v>8085</v>
      </c>
      <c r="K5" s="17" t="str">
        <f>_xlfn.XLOOKUP($A5,Centrum[Индекс],Centrum[Route/ Маршрут (TSR/TCR)],"",0,1)</f>
        <v>TCR</v>
      </c>
      <c r="L5" s="11" t="str">
        <f>_xlfn.XLOOKUP($A5,Centrum[Индекс],Centrum[Условия поставки],"",0,1)</f>
        <v>DALIAN FCA</v>
      </c>
      <c r="M5" s="11" t="str">
        <f>_xlfn.XLOOKUP($A5,Centrum[Индекс],Centrum[№ HBL date / 
№/ дата коносамента],"",0,1)</f>
        <v>-</v>
      </c>
      <c r="N5" s="11" t="str">
        <f>_xlfn.XLOOKUP($A5,Centrum[Индекс],Centrum[№ MBL / 
№/ коносамента],"",0,1)</f>
        <v>-</v>
      </c>
      <c r="O5" s="8">
        <f>(_xlfn.XLOOKUP($A5,Centrum[Индекс],Centrum[Date on board / Дата погрузки на судно],"",0,1))*1</f>
        <v>45203</v>
      </c>
      <c r="P5" s="8">
        <f>(_xlfn.XLOOKUP($A5,Centrum[Индекс],Centrum[Date of arrival to Sary-Agach/ Дата прибытия на Сары-Агач],"",0,1))*1</f>
        <v>45229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10950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10950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" s="16">
        <f>_xlfn.XLOOKUP(Шаблон_Формулы[[#This Row],[21]],Курс_USD[Дата],Курс_USD[Курс],,0,1)</f>
        <v>12254</v>
      </c>
      <c r="W5" s="16">
        <f>Шаблон_Формулы!$T5*Шаблон_Формулы!$V5</f>
        <v>134181300</v>
      </c>
      <c r="Y5" s="16">
        <f>Шаблон_Формулы!$W5+Шаблон_Формулы!$X5</f>
        <v>134181300</v>
      </c>
      <c r="Z5" s="14" t="str">
        <f>_xlfn.XLOOKUP($A5,Centrum[Индекс],Centrum[Transport co invoice no/ 
Номер инвойса ТК],"",0,1)</f>
        <v>ZCH-018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CHINA</v>
      </c>
      <c r="D6" s="11" t="str">
        <f>_xlfn.XLOOKUP($A6,Centrum[Индекс],Centrum[Container num./ 
№ контейнера],"",0,1)</f>
        <v>PONU7604311</v>
      </c>
      <c r="E6" s="11" t="str">
        <f>_xlfn.XLOOKUP($A6,Centrum[Индекс],Centrum[Supplier/
Поставщик],"",0,1)</f>
        <v>Goodyear  Dalian  Tire  Co.  Ltd.</v>
      </c>
      <c r="F6" s="11" t="str">
        <f>_xlfn.XLOOKUP($A6,Centrum[Индекс],Centrum[Shippers invoice no/ 
Номер инвойса поставщика],"",1)</f>
        <v>CH2309141-2</v>
      </c>
      <c r="G6" s="15">
        <f>_xlfn.XLOOKUP($A6,Centrum[Индекс],Centrum[Invoice value / Стоимость груза в к-ре по инвойсу],"",0,1)</f>
        <v>54808.6</v>
      </c>
      <c r="H6" s="14" t="s">
        <v>40</v>
      </c>
      <c r="I6" s="11">
        <f>_xlfn.XLOOKUP($A6,Centrum[Индекс],Centrum[CBM on the shipper/ 
CBM по поставщику],"",0,1)</f>
        <v>53.48</v>
      </c>
      <c r="J6" s="16">
        <f>_xlfn.XLOOKUP($A6,Centrum[Индекс],Centrum[Gross weight of cont// 
Гросс.вес по конт.],"",0,1)</f>
        <v>8085</v>
      </c>
      <c r="K6" s="17" t="str">
        <f>_xlfn.XLOOKUP($A6,Centrum[Индекс],Centrum[Route/ Маршрут (TSR/TCR)],"",0,1)</f>
        <v>TCR</v>
      </c>
      <c r="L6" s="11" t="str">
        <f>_xlfn.XLOOKUP($A6,Centrum[Индекс],Centrum[Условия поставки],"",0,1)</f>
        <v>DALIAN FCA</v>
      </c>
      <c r="M6" s="11" t="str">
        <f>_xlfn.XLOOKUP($A6,Centrum[Индекс],Centrum[№ HBL date / 
№/ дата коносамента],"",0,1)</f>
        <v>-</v>
      </c>
      <c r="N6" s="11" t="str">
        <f>_xlfn.XLOOKUP($A6,Centrum[Индекс],Centrum[№ MBL / 
№/ коносамента],"",0,1)</f>
        <v>-</v>
      </c>
      <c r="O6" s="8">
        <f>(_xlfn.XLOOKUP($A6,Centrum[Индекс],Centrum[Date on board / Дата погрузки на судно],"",0,1))*1</f>
        <v>45203</v>
      </c>
      <c r="P6" s="8">
        <f>(_xlfn.XLOOKUP($A6,Centrum[Индекс],Centrum[Date of arrival to Sary-Agach/ Дата прибытия на Сары-Агач],"",0,1))*1</f>
        <v>45229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10950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10950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" s="16">
        <f>_xlfn.XLOOKUP(Шаблон_Формулы[[#This Row],[21]],Курс_USD[Дата],Курс_USD[Курс],,0,1)</f>
        <v>12254</v>
      </c>
      <c r="W6" s="16">
        <f>Шаблон_Формулы!$T6*Шаблон_Формулы!$V6</f>
        <v>134181300</v>
      </c>
      <c r="Y6" s="16">
        <f>Шаблон_Формулы!$W6+Шаблон_Формулы!$X6</f>
        <v>134181300</v>
      </c>
      <c r="Z6" s="14" t="str">
        <f>_xlfn.XLOOKUP($A6,Centrum[Индекс],Centrum[Transport co invoice no/ 
Номер инвойса ТК],"",0,1)</f>
        <v>ZCH-018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CHINA</v>
      </c>
      <c r="D7" s="11" t="str">
        <f>_xlfn.XLOOKUP($A7,Centrum[Индекс],Centrum[Container num./ 
№ контейнера],"",0,1)</f>
        <v>TGHU8035464</v>
      </c>
      <c r="E7" s="11" t="str">
        <f>_xlfn.XLOOKUP($A7,Centrum[Индекс],Centrum[Supplier/
Поставщик],"",0,1)</f>
        <v>Goodyear  Dalian  Tire  Co.  Ltd.</v>
      </c>
      <c r="F7" s="11" t="str">
        <f>_xlfn.XLOOKUP($A7,Centrum[Индекс],Centrum[Shippers invoice no/ 
Номер инвойса поставщика],"",1)</f>
        <v>CH2309141-3</v>
      </c>
      <c r="G7" s="15">
        <f>_xlfn.XLOOKUP($A7,Centrum[Индекс],Centrum[Invoice value / Стоимость груза в к-ре по инвойсу],"",0,1)</f>
        <v>54808.6</v>
      </c>
      <c r="H7" s="14" t="s">
        <v>40</v>
      </c>
      <c r="I7" s="11">
        <f>_xlfn.XLOOKUP($A7,Centrum[Индекс],Centrum[CBM on the shipper/ 
CBM по поставщику],"",0,1)</f>
        <v>53.48</v>
      </c>
      <c r="J7" s="16">
        <f>_xlfn.XLOOKUP($A7,Centrum[Индекс],Centrum[Gross weight of cont// 
Гросс.вес по конт.],"",0,1)</f>
        <v>8085</v>
      </c>
      <c r="K7" s="17" t="str">
        <f>_xlfn.XLOOKUP($A7,Centrum[Индекс],Centrum[Route/ Маршрут (TSR/TCR)],"",0,1)</f>
        <v>TCR</v>
      </c>
      <c r="L7" s="11" t="str">
        <f>_xlfn.XLOOKUP($A7,Centrum[Индекс],Centrum[Условия поставки],"",0,1)</f>
        <v>DALIAN FCA</v>
      </c>
      <c r="M7" s="11" t="str">
        <f>_xlfn.XLOOKUP($A7,Centrum[Индекс],Centrum[№ HBL date / 
№/ дата коносамента],"",0,1)</f>
        <v>-</v>
      </c>
      <c r="N7" s="11" t="str">
        <f>_xlfn.XLOOKUP($A7,Centrum[Индекс],Centrum[№ MBL / 
№/ коносамента],"",0,1)</f>
        <v>-</v>
      </c>
      <c r="O7" s="8">
        <f>(_xlfn.XLOOKUP($A7,Centrum[Индекс],Centrum[Date on board / Дата погрузки на судно],"",0,1))*1</f>
        <v>45203</v>
      </c>
      <c r="P7" s="8">
        <f>(_xlfn.XLOOKUP($A7,Centrum[Индекс],Centrum[Date of arrival to Sary-Agach/ Дата прибытия на Сары-Агач],"",0,1))*1</f>
        <v>45229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10950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10950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" s="16">
        <f>_xlfn.XLOOKUP(Шаблон_Формулы[[#This Row],[21]],Курс_USD[Дата],Курс_USD[Курс],,0,1)</f>
        <v>12254</v>
      </c>
      <c r="W7" s="16">
        <f>Шаблон_Формулы!$T7*Шаблон_Формулы!$V7</f>
        <v>134181300</v>
      </c>
      <c r="Y7" s="16">
        <f>Шаблон_Формулы!$W7+Шаблон_Формулы!$X7</f>
        <v>134181300</v>
      </c>
      <c r="Z7" s="14" t="str">
        <f>_xlfn.XLOOKUP($A7,Centrum[Индекс],Centrum[Transport co invoice no/ 
Номер инвойса ТК],"",0,1)</f>
        <v>ZCH-018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CHINA</v>
      </c>
      <c r="D8" s="11" t="str">
        <f>_xlfn.XLOOKUP($A8,Centrum[Индекс],Centrum[Container num./ 
№ контейнера],"",0,1)</f>
        <v>WEDU8185897</v>
      </c>
      <c r="E8" s="11" t="str">
        <f>_xlfn.XLOOKUP($A8,Centrum[Индекс],Centrum[Supplier/
Поставщик],"",0,1)</f>
        <v>Magna Closures (Kunshan) Co. Ltd.</v>
      </c>
      <c r="F8" s="11" t="str">
        <f>_xlfn.XLOOKUP($A8,Centrum[Индекс],Centrum[Shippers invoice no/ 
Номер инвойса поставщика],"",1)</f>
        <v>546192</v>
      </c>
      <c r="G8" s="15">
        <f>_xlfn.XLOOKUP($A8,Centrum[Индекс],Centrum[Invoice value / Стоимость груза в к-ре по инвойсу],"",0,1)</f>
        <v>171072</v>
      </c>
      <c r="H8" s="14" t="s">
        <v>40</v>
      </c>
      <c r="I8" s="11">
        <f>_xlfn.XLOOKUP($A8,Centrum[Индекс],Centrum[CBM on the shipper/ 
CBM по поставщику],"",0,1)</f>
        <v>61.445999999999998</v>
      </c>
      <c r="J8" s="16">
        <f>_xlfn.XLOOKUP($A8,Centrum[Индекс],Centrum[Gross weight of cont// 
Гросс.вес по конт.],"",0,1)</f>
        <v>14164</v>
      </c>
      <c r="K8" s="17" t="str">
        <f>_xlfn.XLOOKUP($A8,Centrum[Индекс],Centrum[Route/ Маршрут (TSR/TCR)],"",0,1)</f>
        <v>TCR</v>
      </c>
      <c r="L8" s="11" t="str">
        <f>_xlfn.XLOOKUP($A8,Centrum[Индекс],Centrum[Условия поставки],"",0,1)</f>
        <v>Kunshan FCA</v>
      </c>
      <c r="M8" s="11">
        <f>_xlfn.XLOOKUP($A8,Centrum[Индекс],Centrum[№ HBL date / 
№/ дата коносамента],"",0,1)</f>
        <v>0</v>
      </c>
      <c r="N8" s="11">
        <f>_xlfn.XLOOKUP($A8,Centrum[Индекс],Centrum[№ MBL / 
№/ коносамента],"",0,1)</f>
        <v>0</v>
      </c>
      <c r="O8" s="8">
        <f>(_xlfn.XLOOKUP($A8,Centrum[Индекс],Centrum[Date on board / Дата погрузки на судно],"",0,1))*1</f>
        <v>45212</v>
      </c>
      <c r="P8" s="8">
        <f>(_xlfn.XLOOKUP($A8,Centrum[Индекс],Centrum[Date of arrival to Sary-Agach/ Дата прибытия на Сары-Агач],"",0,1))*1</f>
        <v>45232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10600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" s="16">
        <f>_xlfn.XLOOKUP(Шаблон_Формулы[[#This Row],[21]],Курс_USD[Дата],Курс_USD[Курс],,0,1)</f>
        <v>12254</v>
      </c>
      <c r="W8" s="16">
        <f>Шаблон_Формулы!$T8*Шаблон_Формулы!$V8</f>
        <v>129892400</v>
      </c>
      <c r="Y8" s="16">
        <f>Шаблон_Формулы!$W8+Шаблон_Формулы!$X8</f>
        <v>129892400</v>
      </c>
      <c r="Z8" s="14" t="str">
        <f>_xlfn.XLOOKUP($A8,Centrum[Индекс],Centrum[Transport co invoice no/ 
Номер инвойса ТК],"",0,1)</f>
        <v>ZCH-018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/>
      </c>
      <c r="C9" s="11" t="str">
        <f>_xlfn.XLOOKUP($A9,Centrum[Индекс],Centrum[Country /  Страна],"",0,1)</f>
        <v/>
      </c>
      <c r="D9" s="11" t="str">
        <f>_xlfn.XLOOKUP($A9,Centrum[Индекс],Centrum[Container num./ 
№ контейнера],"",0,1)</f>
        <v/>
      </c>
      <c r="E9" s="11" t="str">
        <f>_xlfn.XLOOKUP($A9,Centrum[Индекс],Centrum[Supplier/
Поставщик],"",0,1)</f>
        <v/>
      </c>
      <c r="F9" s="11" t="str">
        <f>_xlfn.XLOOKUP($A9,Centrum[Индекс],Centrum[Shippers invoice no/ 
Номер инвойса поставщика],"",1)</f>
        <v/>
      </c>
      <c r="G9" s="15" t="str">
        <f>_xlfn.XLOOKUP($A9,Centrum[Индекс],Centrum[Invoice value / Стоимость груза в к-ре по инвойсу],"",0,1)</f>
        <v/>
      </c>
      <c r="H9" s="14" t="s">
        <v>40</v>
      </c>
      <c r="I9" s="11" t="str">
        <f>_xlfn.XLOOKUP($A9,Centrum[Индекс],Centrum[CBM on the shipper/ 
CBM по поставщику],"",0,1)</f>
        <v/>
      </c>
      <c r="J9" s="16" t="str">
        <f>_xlfn.XLOOKUP($A9,Centrum[Индекс],Centrum[Gross weight of cont// 
Гросс.вес по конт.],"",0,1)</f>
        <v/>
      </c>
      <c r="K9" s="17" t="str">
        <f>_xlfn.XLOOKUP($A9,Centrum[Индекс],Centrum[Route/ Маршрут (TSR/TCR)],"",0,1)</f>
        <v/>
      </c>
      <c r="L9" s="11" t="str">
        <f>_xlfn.XLOOKUP($A9,Centrum[Индекс],Centrum[Условия поставки],"",0,1)</f>
        <v/>
      </c>
      <c r="M9" s="11" t="str">
        <f>_xlfn.XLOOKUP($A9,Centrum[Индекс],Centrum[№ HBL date / 
№/ дата коносамента],"",0,1)</f>
        <v/>
      </c>
      <c r="N9" s="11" t="str">
        <f>_xlfn.XLOOKUP($A9,Centrum[Индекс],Centrum[№ MBL / 
№/ коносамента],"",0,1)</f>
        <v/>
      </c>
      <c r="O9" s="8" t="e">
        <f>(_xlfn.XLOOKUP($A9,Centrum[Индекс],Centrum[Date on board / Дата погрузки на судно],"",0,1))*1</f>
        <v>#VALUE!</v>
      </c>
      <c r="P9" s="8" t="e">
        <f>(_xlfn.XLOOKUP($A9,Centrum[Индекс],Centrum[Date of arrival to Sary-Agach/ Дата прибытия на Сары-Агач],"",0,1))*1</f>
        <v>#VALUE!</v>
      </c>
      <c r="Q9" s="14" t="str">
        <f>_xlfn.XLOOKUP($A9,Centrum[Индекс],Centrum[Container type/ 
Тип контейнера],"",0,1)</f>
        <v/>
      </c>
      <c r="R9" s="16">
        <f>_xlfn.XLOOKUP($A9,Centrum[Индекс],Centrum[Transportation cost per supplier/ 
Cтоимость перевозки по поставщикам],0,0,1)</f>
        <v>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" s="16">
        <f>_xlfn.XLOOKUP(Шаблон_Формулы[[#This Row],[21]],Курс_USD[Дата],Курс_USD[Курс],,0,1)</f>
        <v>12254</v>
      </c>
      <c r="W9" s="16">
        <f>Шаблон_Формулы!$T9*Шаблон_Формулы!$V9</f>
        <v>0</v>
      </c>
      <c r="Y9" s="16">
        <f>Шаблон_Формулы!$W9+Шаблон_Формулы!$X9</f>
        <v>0</v>
      </c>
      <c r="Z9" s="14" t="str">
        <f>_xlfn.XLOOKUP($A9,Centrum[Индекс],Centrum[Transport co invoice no/ 
Номер инвойса ТК],"",0,1)</f>
        <v/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" s="16">
        <f>_xlfn.XLOOKUP(Шаблон_Формулы[[#This Row],[21]],Курс_USD[Дата],Курс_USD[Курс],,0,1)</f>
        <v>12254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" s="16">
        <f>_xlfn.XLOOKUP(Шаблон_Формулы[[#This Row],[21]],Курс_USD[Дата],Курс_USD[Курс],,0,1)</f>
        <v>12254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" s="16">
        <f>_xlfn.XLOOKUP(Шаблон_Формулы[[#This Row],[21]],Курс_USD[Дата],Курс_USD[Курс],,0,1)</f>
        <v>12254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" s="16">
        <f>_xlfn.XLOOKUP(Шаблон_Формулы[[#This Row],[21]],Курс_USD[Дата],Курс_USD[Курс],,0,1)</f>
        <v>12254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" s="16">
        <f>_xlfn.XLOOKUP(Шаблон_Формулы[[#This Row],[21]],Курс_USD[Дата],Курс_USD[Курс],,0,1)</f>
        <v>12254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" s="16">
        <f>_xlfn.XLOOKUP(Шаблон_Формулы[[#This Row],[21]],Курс_USD[Дата],Курс_USD[Курс],,0,1)</f>
        <v>12254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6" s="16">
        <f>_xlfn.XLOOKUP(Шаблон_Формулы[[#This Row],[21]],Курс_USD[Дата],Курс_USD[Курс],,0,1)</f>
        <v>12254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7" s="16">
        <f>_xlfn.XLOOKUP(Шаблон_Формулы[[#This Row],[21]],Курс_USD[Дата],Курс_USD[Курс],,0,1)</f>
        <v>12254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8" s="16">
        <f>_xlfn.XLOOKUP(Шаблон_Формулы[[#This Row],[21]],Курс_USD[Дата],Курс_USD[Курс],,0,1)</f>
        <v>12254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9" s="16">
        <f>_xlfn.XLOOKUP(Шаблон_Формулы[[#This Row],[21]],Курс_USD[Дата],Курс_USD[Курс],,0,1)</f>
        <v>12254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0" s="16">
        <f>_xlfn.XLOOKUP(Шаблон_Формулы[[#This Row],[21]],Курс_USD[Дата],Курс_USD[Курс],,0,1)</f>
        <v>12254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1" s="16">
        <f>_xlfn.XLOOKUP(Шаблон_Формулы[[#This Row],[21]],Курс_USD[Дата],Курс_USD[Курс],,0,1)</f>
        <v>12254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2" s="16">
        <f>_xlfn.XLOOKUP(Шаблон_Формулы[[#This Row],[21]],Курс_USD[Дата],Курс_USD[Курс],,0,1)</f>
        <v>12254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3" s="16">
        <f>_xlfn.XLOOKUP(Шаблон_Формулы[[#This Row],[21]],Курс_USD[Дата],Курс_USD[Курс],,0,1)</f>
        <v>12254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4" s="16">
        <f>_xlfn.XLOOKUP(Шаблон_Формулы[[#This Row],[21]],Курс_USD[Дата],Курс_USD[Курс],,0,1)</f>
        <v>12254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5" s="16">
        <f>_xlfn.XLOOKUP(Шаблон_Формулы[[#This Row],[21]],Курс_USD[Дата],Курс_USD[Курс],,0,1)</f>
        <v>12254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6" s="16">
        <f>_xlfn.XLOOKUP(Шаблон_Формулы[[#This Row],[21]],Курс_USD[Дата],Курс_USD[Курс],,0,1)</f>
        <v>12254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7" s="16">
        <f>_xlfn.XLOOKUP(Шаблон_Формулы[[#This Row],[21]],Курс_USD[Дата],Курс_USD[Курс],,0,1)</f>
        <v>12254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8" s="16">
        <f>_xlfn.XLOOKUP(Шаблон_Формулы[[#This Row],[21]],Курс_USD[Дата],Курс_USD[Курс],,0,1)</f>
        <v>12254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29" s="16">
        <f>_xlfn.XLOOKUP(Шаблон_Формулы[[#This Row],[21]],Курс_USD[Дата],Курс_USD[Курс],,0,1)</f>
        <v>12254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0" s="16">
        <f>_xlfn.XLOOKUP(Шаблон_Формулы[[#This Row],[21]],Курс_USD[Дата],Курс_USD[Курс],,0,1)</f>
        <v>12254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1" s="16">
        <f>_xlfn.XLOOKUP(Шаблон_Формулы[[#This Row],[21]],Курс_USD[Дата],Курс_USD[Курс],,0,1)</f>
        <v>12254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2" s="16">
        <f>_xlfn.XLOOKUP(Шаблон_Формулы[[#This Row],[21]],Курс_USD[Дата],Курс_USD[Курс],,0,1)</f>
        <v>12254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3" s="16">
        <f>_xlfn.XLOOKUP(Шаблон_Формулы[[#This Row],[21]],Курс_USD[Дата],Курс_USD[Курс],,0,1)</f>
        <v>12254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4" s="16">
        <f>_xlfn.XLOOKUP(Шаблон_Формулы[[#This Row],[21]],Курс_USD[Дата],Курс_USD[Курс],,0,1)</f>
        <v>12254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5" s="16">
        <f>_xlfn.XLOOKUP(Шаблон_Формулы[[#This Row],[21]],Курс_USD[Дата],Курс_USD[Курс],,0,1)</f>
        <v>12254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6" s="16">
        <f>_xlfn.XLOOKUP(Шаблон_Формулы[[#This Row],[21]],Курс_USD[Дата],Курс_USD[Курс],,0,1)</f>
        <v>12254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7" s="16">
        <f>_xlfn.XLOOKUP(Шаблон_Формулы[[#This Row],[21]],Курс_USD[Дата],Курс_USD[Курс],,0,1)</f>
        <v>12254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8" s="16">
        <f>_xlfn.XLOOKUP(Шаблон_Формулы[[#This Row],[21]],Курс_USD[Дата],Курс_USD[Курс],,0,1)</f>
        <v>12254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39" s="16">
        <f>_xlfn.XLOOKUP(Шаблон_Формулы[[#This Row],[21]],Курс_USD[Дата],Курс_USD[Курс],,0,1)</f>
        <v>12254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0" s="16">
        <f>_xlfn.XLOOKUP(Шаблон_Формулы[[#This Row],[21]],Курс_USD[Дата],Курс_USD[Курс],,0,1)</f>
        <v>12254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1" s="16">
        <f>_xlfn.XLOOKUP(Шаблон_Формулы[[#This Row],[21]],Курс_USD[Дата],Курс_USD[Курс],,0,1)</f>
        <v>12254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2" s="16">
        <f>_xlfn.XLOOKUP(Шаблон_Формулы[[#This Row],[21]],Курс_USD[Дата],Курс_USD[Курс],,0,1)</f>
        <v>12254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3" s="16">
        <f>_xlfn.XLOOKUP(Шаблон_Формулы[[#This Row],[21]],Курс_USD[Дата],Курс_USD[Курс],,0,1)</f>
        <v>12254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4" s="16">
        <f>_xlfn.XLOOKUP(Шаблон_Формулы[[#This Row],[21]],Курс_USD[Дата],Курс_USD[Курс],,0,1)</f>
        <v>12254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5" s="16">
        <f>_xlfn.XLOOKUP(Шаблон_Формулы[[#This Row],[21]],Курс_USD[Дата],Курс_USD[Курс],,0,1)</f>
        <v>12254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6" s="16">
        <f>_xlfn.XLOOKUP(Шаблон_Формулы[[#This Row],[21]],Курс_USD[Дата],Курс_USD[Курс],,0,1)</f>
        <v>12254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7" s="16">
        <f>_xlfn.XLOOKUP(Шаблон_Формулы[[#This Row],[21]],Курс_USD[Дата],Курс_USD[Курс],,0,1)</f>
        <v>12254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8" s="16">
        <f>_xlfn.XLOOKUP(Шаблон_Формулы[[#This Row],[21]],Курс_USD[Дата],Курс_USD[Курс],,0,1)</f>
        <v>12254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49" s="16">
        <f>_xlfn.XLOOKUP(Шаблон_Формулы[[#This Row],[21]],Курс_USD[Дата],Курс_USD[Курс],,0,1)</f>
        <v>12254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0" s="16">
        <f>_xlfn.XLOOKUP(Шаблон_Формулы[[#This Row],[21]],Курс_USD[Дата],Курс_USD[Курс],,0,1)</f>
        <v>12254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1" s="16">
        <f>_xlfn.XLOOKUP(Шаблон_Формулы[[#This Row],[21]],Курс_USD[Дата],Курс_USD[Курс],,0,1)</f>
        <v>12254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2" s="16">
        <f>_xlfn.XLOOKUP(Шаблон_Формулы[[#This Row],[21]],Курс_USD[Дата],Курс_USD[Курс],,0,1)</f>
        <v>12254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3" s="16">
        <f>_xlfn.XLOOKUP(Шаблон_Формулы[[#This Row],[21]],Курс_USD[Дата],Курс_USD[Курс],,0,1)</f>
        <v>12254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4" s="16">
        <f>_xlfn.XLOOKUP(Шаблон_Формулы[[#This Row],[21]],Курс_USD[Дата],Курс_USD[Курс],,0,1)</f>
        <v>12254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5" s="16">
        <f>_xlfn.XLOOKUP(Шаблон_Формулы[[#This Row],[21]],Курс_USD[Дата],Курс_USD[Курс],,0,1)</f>
        <v>12254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6" s="16">
        <f>_xlfn.XLOOKUP(Шаблон_Формулы[[#This Row],[21]],Курс_USD[Дата],Курс_USD[Курс],,0,1)</f>
        <v>12254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7" s="16">
        <f>_xlfn.XLOOKUP(Шаблон_Формулы[[#This Row],[21]],Курс_USD[Дата],Курс_USD[Курс],,0,1)</f>
        <v>12254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8" s="16">
        <f>_xlfn.XLOOKUP(Шаблон_Формулы[[#This Row],[21]],Курс_USD[Дата],Курс_USD[Курс],,0,1)</f>
        <v>12254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59" s="16">
        <f>_xlfn.XLOOKUP(Шаблон_Формулы[[#This Row],[21]],Курс_USD[Дата],Курс_USD[Курс],,0,1)</f>
        <v>12254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0" s="16">
        <f>_xlfn.XLOOKUP(Шаблон_Формулы[[#This Row],[21]],Курс_USD[Дата],Курс_USD[Курс],,0,1)</f>
        <v>12254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1" s="16">
        <f>_xlfn.XLOOKUP(Шаблон_Формулы[[#This Row],[21]],Курс_USD[Дата],Курс_USD[Курс],,0,1)</f>
        <v>12254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2" s="16">
        <f>_xlfn.XLOOKUP(Шаблон_Формулы[[#This Row],[21]],Курс_USD[Дата],Курс_USD[Курс],,0,1)</f>
        <v>12254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3" s="16">
        <f>_xlfn.XLOOKUP(Шаблон_Формулы[[#This Row],[21]],Курс_USD[Дата],Курс_USD[Курс],,0,1)</f>
        <v>12254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4" s="16">
        <f>_xlfn.XLOOKUP(Шаблон_Формулы[[#This Row],[21]],Курс_USD[Дата],Курс_USD[Курс],,0,1)</f>
        <v>12254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5" s="16">
        <f>_xlfn.XLOOKUP(Шаблон_Формулы[[#This Row],[21]],Курс_USD[Дата],Курс_USD[Курс],,0,1)</f>
        <v>12254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6" s="16">
        <f>_xlfn.XLOOKUP(Шаблон_Формулы[[#This Row],[21]],Курс_USD[Дата],Курс_USD[Курс],,0,1)</f>
        <v>12254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7" s="16">
        <f>_xlfn.XLOOKUP(Шаблон_Формулы[[#This Row],[21]],Курс_USD[Дата],Курс_USD[Курс],,0,1)</f>
        <v>12254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8" s="16">
        <f>_xlfn.XLOOKUP(Шаблон_Формулы[[#This Row],[21]],Курс_USD[Дата],Курс_USD[Курс],,0,1)</f>
        <v>12254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69" s="16">
        <f>_xlfn.XLOOKUP(Шаблон_Формулы[[#This Row],[21]],Курс_USD[Дата],Курс_USD[Курс],,0,1)</f>
        <v>12254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0" s="16">
        <f>_xlfn.XLOOKUP(Шаблон_Формулы[[#This Row],[21]],Курс_USD[Дата],Курс_USD[Курс],,0,1)</f>
        <v>12254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1" s="16">
        <f>_xlfn.XLOOKUP(Шаблон_Формулы[[#This Row],[21]],Курс_USD[Дата],Курс_USD[Курс],,0,1)</f>
        <v>12254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2" s="16">
        <f>_xlfn.XLOOKUP(Шаблон_Формулы[[#This Row],[21]],Курс_USD[Дата],Курс_USD[Курс],,0,1)</f>
        <v>12254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3" s="16">
        <f>_xlfn.XLOOKUP(Шаблон_Формулы[[#This Row],[21]],Курс_USD[Дата],Курс_USD[Курс],,0,1)</f>
        <v>12254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4" s="16">
        <f>_xlfn.XLOOKUP(Шаблон_Формулы[[#This Row],[21]],Курс_USD[Дата],Курс_USD[Курс],,0,1)</f>
        <v>12254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5" s="16">
        <f>_xlfn.XLOOKUP(Шаблон_Формулы[[#This Row],[21]],Курс_USD[Дата],Курс_USD[Курс],,0,1)</f>
        <v>12254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6" s="16">
        <f>_xlfn.XLOOKUP(Шаблон_Формулы[[#This Row],[21]],Курс_USD[Дата],Курс_USD[Курс],,0,1)</f>
        <v>12254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7" s="16">
        <f>_xlfn.XLOOKUP(Шаблон_Формулы[[#This Row],[21]],Курс_USD[Дата],Курс_USD[Курс],,0,1)</f>
        <v>12254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8" s="16">
        <f>_xlfn.XLOOKUP(Шаблон_Формулы[[#This Row],[21]],Курс_USD[Дата],Курс_USD[Курс],,0,1)</f>
        <v>12254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79" s="16">
        <f>_xlfn.XLOOKUP(Шаблон_Формулы[[#This Row],[21]],Курс_USD[Дата],Курс_USD[Курс],,0,1)</f>
        <v>12254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0" s="16">
        <f>_xlfn.XLOOKUP(Шаблон_Формулы[[#This Row],[21]],Курс_USD[Дата],Курс_USD[Курс],,0,1)</f>
        <v>12254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1" s="16">
        <f>_xlfn.XLOOKUP(Шаблон_Формулы[[#This Row],[21]],Курс_USD[Дата],Курс_USD[Курс],,0,1)</f>
        <v>12254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2" s="16">
        <f>_xlfn.XLOOKUP(Шаблон_Формулы[[#This Row],[21]],Курс_USD[Дата],Курс_USD[Курс],,0,1)</f>
        <v>12254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3" s="16">
        <f>_xlfn.XLOOKUP(Шаблон_Формулы[[#This Row],[21]],Курс_USD[Дата],Курс_USD[Курс],,0,1)</f>
        <v>12254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4" s="16">
        <f>_xlfn.XLOOKUP(Шаблон_Формулы[[#This Row],[21]],Курс_USD[Дата],Курс_USD[Курс],,0,1)</f>
        <v>12254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5" s="16">
        <f>_xlfn.XLOOKUP(Шаблон_Формулы[[#This Row],[21]],Курс_USD[Дата],Курс_USD[Курс],,0,1)</f>
        <v>12254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6" s="16">
        <f>_xlfn.XLOOKUP(Шаблон_Формулы[[#This Row],[21]],Курс_USD[Дата],Курс_USD[Курс],,0,1)</f>
        <v>12254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7" s="16">
        <f>_xlfn.XLOOKUP(Шаблон_Формулы[[#This Row],[21]],Курс_USD[Дата],Курс_USD[Курс],,0,1)</f>
        <v>12254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8" s="16">
        <f>_xlfn.XLOOKUP(Шаблон_Формулы[[#This Row],[21]],Курс_USD[Дата],Курс_USD[Курс],,0,1)</f>
        <v>12254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89" s="16">
        <f>_xlfn.XLOOKUP(Шаблон_Формулы[[#This Row],[21]],Курс_USD[Дата],Курс_USD[Курс],,0,1)</f>
        <v>12254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0" s="16">
        <f>_xlfn.XLOOKUP(Шаблон_Формулы[[#This Row],[21]],Курс_USD[Дата],Курс_USD[Курс],,0,1)</f>
        <v>12254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1" s="16">
        <f>_xlfn.XLOOKUP(Шаблон_Формулы[[#This Row],[21]],Курс_USD[Дата],Курс_USD[Курс],,0,1)</f>
        <v>12254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2" s="16">
        <f>_xlfn.XLOOKUP(Шаблон_Формулы[[#This Row],[21]],Курс_USD[Дата],Курс_USD[Курс],,0,1)</f>
        <v>12254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3" s="16">
        <f>_xlfn.XLOOKUP(Шаблон_Формулы[[#This Row],[21]],Курс_USD[Дата],Курс_USD[Курс],,0,1)</f>
        <v>12254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4" s="16">
        <f>_xlfn.XLOOKUP(Шаблон_Формулы[[#This Row],[21]],Курс_USD[Дата],Курс_USD[Курс],,0,1)</f>
        <v>12254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5" s="16">
        <f>_xlfn.XLOOKUP(Шаблон_Формулы[[#This Row],[21]],Курс_USD[Дата],Курс_USD[Курс],,0,1)</f>
        <v>12254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6" s="16">
        <f>_xlfn.XLOOKUP(Шаблон_Формулы[[#This Row],[21]],Курс_USD[Дата],Курс_USD[Курс],,0,1)</f>
        <v>12254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7" s="16">
        <f>_xlfn.XLOOKUP(Шаблон_Формулы[[#This Row],[21]],Курс_USD[Дата],Курс_USD[Курс],,0,1)</f>
        <v>12254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8" s="16">
        <f>_xlfn.XLOOKUP(Шаблон_Формулы[[#This Row],[21]],Курс_USD[Дата],Курс_USD[Курс],,0,1)</f>
        <v>12254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99" s="16">
        <f>_xlfn.XLOOKUP(Шаблон_Формулы[[#This Row],[21]],Курс_USD[Дата],Курс_USD[Курс],,0,1)</f>
        <v>12254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0" s="16">
        <f>_xlfn.XLOOKUP(Шаблон_Формулы[[#This Row],[21]],Курс_USD[Дата],Курс_USD[Курс],,0,1)</f>
        <v>12254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1" s="16">
        <f>_xlfn.XLOOKUP(Шаблон_Формулы[[#This Row],[21]],Курс_USD[Дата],Курс_USD[Курс],,0,1)</f>
        <v>12254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2" s="16">
        <f>_xlfn.XLOOKUP(Шаблон_Формулы[[#This Row],[21]],Курс_USD[Дата],Курс_USD[Курс],,0,1)</f>
        <v>12254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3" s="16">
        <f>_xlfn.XLOOKUP(Шаблон_Формулы[[#This Row],[21]],Курс_USD[Дата],Курс_USD[Курс],,0,1)</f>
        <v>12254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4" s="16">
        <f>_xlfn.XLOOKUP(Шаблон_Формулы[[#This Row],[21]],Курс_USD[Дата],Курс_USD[Курс],,0,1)</f>
        <v>12254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5" s="16">
        <f>_xlfn.XLOOKUP(Шаблон_Формулы[[#This Row],[21]],Курс_USD[Дата],Курс_USD[Курс],,0,1)</f>
        <v>12254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6" s="16">
        <f>_xlfn.XLOOKUP(Шаблон_Формулы[[#This Row],[21]],Курс_USD[Дата],Курс_USD[Курс],,0,1)</f>
        <v>12254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7" s="16">
        <f>_xlfn.XLOOKUP(Шаблон_Формулы[[#This Row],[21]],Курс_USD[Дата],Курс_USD[Курс],,0,1)</f>
        <v>12254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8" s="16">
        <f>_xlfn.XLOOKUP(Шаблон_Формулы[[#This Row],[21]],Курс_USD[Дата],Курс_USD[Курс],,0,1)</f>
        <v>12254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09" s="16">
        <f>_xlfn.XLOOKUP(Шаблон_Формулы[[#This Row],[21]],Курс_USD[Дата],Курс_USD[Курс],,0,1)</f>
        <v>12254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0" s="16">
        <f>_xlfn.XLOOKUP(Шаблон_Формулы[[#This Row],[21]],Курс_USD[Дата],Курс_USD[Курс],,0,1)</f>
        <v>12254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1" s="16">
        <f>_xlfn.XLOOKUP(Шаблон_Формулы[[#This Row],[21]],Курс_USD[Дата],Курс_USD[Курс],,0,1)</f>
        <v>12254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2" s="16">
        <f>_xlfn.XLOOKUP(Шаблон_Формулы[[#This Row],[21]],Курс_USD[Дата],Курс_USD[Курс],,0,1)</f>
        <v>12254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3" s="16">
        <f>_xlfn.XLOOKUP(Шаблон_Формулы[[#This Row],[21]],Курс_USD[Дата],Курс_USD[Курс],,0,1)</f>
        <v>12254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4" s="16">
        <f>_xlfn.XLOOKUP(Шаблон_Формулы[[#This Row],[21]],Курс_USD[Дата],Курс_USD[Курс],,0,1)</f>
        <v>12254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5" s="16">
        <f>_xlfn.XLOOKUP(Шаблон_Формулы[[#This Row],[21]],Курс_USD[Дата],Курс_USD[Курс],,0,1)</f>
        <v>12254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6" s="16">
        <f>_xlfn.XLOOKUP(Шаблон_Формулы[[#This Row],[21]],Курс_USD[Дата],Курс_USD[Курс],,0,1)</f>
        <v>12254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7" s="16">
        <f>_xlfn.XLOOKUP(Шаблон_Формулы[[#This Row],[21]],Курс_USD[Дата],Курс_USD[Курс],,0,1)</f>
        <v>12254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8" s="16">
        <f>_xlfn.XLOOKUP(Шаблон_Формулы[[#This Row],[21]],Курс_USD[Дата],Курс_USD[Курс],,0,1)</f>
        <v>12254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19" s="16">
        <f>_xlfn.XLOOKUP(Шаблон_Формулы[[#This Row],[21]],Курс_USD[Дата],Курс_USD[Курс],,0,1)</f>
        <v>12254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0" s="16">
        <f>_xlfn.XLOOKUP(Шаблон_Формулы[[#This Row],[21]],Курс_USD[Дата],Курс_USD[Курс],,0,1)</f>
        <v>12254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1" s="16">
        <f>_xlfn.XLOOKUP(Шаблон_Формулы[[#This Row],[21]],Курс_USD[Дата],Курс_USD[Курс],,0,1)</f>
        <v>12254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2" s="16">
        <f>_xlfn.XLOOKUP(Шаблон_Формулы[[#This Row],[21]],Курс_USD[Дата],Курс_USD[Курс],,0,1)</f>
        <v>12254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3" s="16">
        <f>_xlfn.XLOOKUP(Шаблон_Формулы[[#This Row],[21]],Курс_USD[Дата],Курс_USD[Курс],,0,1)</f>
        <v>12254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4" s="16">
        <f>_xlfn.XLOOKUP(Шаблон_Формулы[[#This Row],[21]],Курс_USD[Дата],Курс_USD[Курс],,0,1)</f>
        <v>12254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5" s="16">
        <f>_xlfn.XLOOKUP(Шаблон_Формулы[[#This Row],[21]],Курс_USD[Дата],Курс_USD[Курс],,0,1)</f>
        <v>12254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6" s="16">
        <f>_xlfn.XLOOKUP(Шаблон_Формулы[[#This Row],[21]],Курс_USD[Дата],Курс_USD[Курс],,0,1)</f>
        <v>12254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7" s="16">
        <f>_xlfn.XLOOKUP(Шаблон_Формулы[[#This Row],[21]],Курс_USD[Дата],Курс_USD[Курс],,0,1)</f>
        <v>12254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8" s="16">
        <f>_xlfn.XLOOKUP(Шаблон_Формулы[[#This Row],[21]],Курс_USD[Дата],Курс_USD[Курс],,0,1)</f>
        <v>12254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29" s="16">
        <f>_xlfn.XLOOKUP(Шаблон_Формулы[[#This Row],[21]],Курс_USD[Дата],Курс_USD[Курс],,0,1)</f>
        <v>12254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0" s="16">
        <f>_xlfn.XLOOKUP(Шаблон_Формулы[[#This Row],[21]],Курс_USD[Дата],Курс_USD[Курс],,0,1)</f>
        <v>12254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1" s="16">
        <f>_xlfn.XLOOKUP(Шаблон_Формулы[[#This Row],[21]],Курс_USD[Дата],Курс_USD[Курс],,0,1)</f>
        <v>12254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2" s="16">
        <f>_xlfn.XLOOKUP(Шаблон_Формулы[[#This Row],[21]],Курс_USD[Дата],Курс_USD[Курс],,0,1)</f>
        <v>12254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3" s="16">
        <f>_xlfn.XLOOKUP(Шаблон_Формулы[[#This Row],[21]],Курс_USD[Дата],Курс_USD[Курс],,0,1)</f>
        <v>12254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4" s="16">
        <f>_xlfn.XLOOKUP(Шаблон_Формулы[[#This Row],[21]],Курс_USD[Дата],Курс_USD[Курс],,0,1)</f>
        <v>12254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5" s="16">
        <f>_xlfn.XLOOKUP(Шаблон_Формулы[[#This Row],[21]],Курс_USD[Дата],Курс_USD[Курс],,0,1)</f>
        <v>12254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6" s="16">
        <f>_xlfn.XLOOKUP(Шаблон_Формулы[[#This Row],[21]],Курс_USD[Дата],Курс_USD[Курс],,0,1)</f>
        <v>12254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7" s="16">
        <f>_xlfn.XLOOKUP(Шаблон_Формулы[[#This Row],[21]],Курс_USD[Дата],Курс_USD[Курс],,0,1)</f>
        <v>12254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8" s="16">
        <f>_xlfn.XLOOKUP(Шаблон_Формулы[[#This Row],[21]],Курс_USD[Дата],Курс_USD[Курс],,0,1)</f>
        <v>12254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39" s="16">
        <f>_xlfn.XLOOKUP(Шаблон_Формулы[[#This Row],[21]],Курс_USD[Дата],Курс_USD[Курс],,0,1)</f>
        <v>12254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0" s="16">
        <f>_xlfn.XLOOKUP(Шаблон_Формулы[[#This Row],[21]],Курс_USD[Дата],Курс_USD[Курс],,0,1)</f>
        <v>12254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1" s="16">
        <f>_xlfn.XLOOKUP(Шаблон_Формулы[[#This Row],[21]],Курс_USD[Дата],Курс_USD[Курс],,0,1)</f>
        <v>12254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2" s="16">
        <f>_xlfn.XLOOKUP(Шаблон_Формулы[[#This Row],[21]],Курс_USD[Дата],Курс_USD[Курс],,0,1)</f>
        <v>12254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3" s="16">
        <f>_xlfn.XLOOKUP(Шаблон_Формулы[[#This Row],[21]],Курс_USD[Дата],Курс_USD[Курс],,0,1)</f>
        <v>12254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4" s="16">
        <f>_xlfn.XLOOKUP(Шаблон_Формулы[[#This Row],[21]],Курс_USD[Дата],Курс_USD[Курс],,0,1)</f>
        <v>12254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5" s="16">
        <f>_xlfn.XLOOKUP(Шаблон_Формулы[[#This Row],[21]],Курс_USD[Дата],Курс_USD[Курс],,0,1)</f>
        <v>12254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6" s="16">
        <f>_xlfn.XLOOKUP(Шаблон_Формулы[[#This Row],[21]],Курс_USD[Дата],Курс_USD[Курс],,0,1)</f>
        <v>12254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7" s="16">
        <f>_xlfn.XLOOKUP(Шаблон_Формулы[[#This Row],[21]],Курс_USD[Дата],Курс_USD[Курс],,0,1)</f>
        <v>12254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8" s="16">
        <f>_xlfn.XLOOKUP(Шаблон_Формулы[[#This Row],[21]],Курс_USD[Дата],Курс_USD[Курс],,0,1)</f>
        <v>12254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49" s="16">
        <f>_xlfn.XLOOKUP(Шаблон_Формулы[[#This Row],[21]],Курс_USD[Дата],Курс_USD[Курс],,0,1)</f>
        <v>12254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0" s="16">
        <f>_xlfn.XLOOKUP(Шаблон_Формулы[[#This Row],[21]],Курс_USD[Дата],Курс_USD[Курс],,0,1)</f>
        <v>12254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1" s="16">
        <f>_xlfn.XLOOKUP(Шаблон_Формулы[[#This Row],[21]],Курс_USD[Дата],Курс_USD[Курс],,0,1)</f>
        <v>12254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2" s="16">
        <f>_xlfn.XLOOKUP(Шаблон_Формулы[[#This Row],[21]],Курс_USD[Дата],Курс_USD[Курс],,0,1)</f>
        <v>12254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3" s="16">
        <f>_xlfn.XLOOKUP(Шаблон_Формулы[[#This Row],[21]],Курс_USD[Дата],Курс_USD[Курс],,0,1)</f>
        <v>12254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45236</v>
      </c>
      <c r="V154" s="16">
        <f>_xlfn.XLOOKUP(Шаблон_Формулы[[#This Row],[21]],Курс_USD[Дата],Курс_USD[Курс],,0,1)</f>
        <v>12254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2023-11-07T06:26:13Z</dcterms:modified>
</cp:coreProperties>
</file>