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"/>
    </mc:Choice>
  </mc:AlternateContent>
  <xr:revisionPtr revIDLastSave="0" documentId="13_ncr:1_{E7C5C64E-DE7E-463E-8803-823EB648077C}" xr6:coauthVersionLast="47" xr6:coauthVersionMax="47" xr10:uidLastSave="{00000000-0000-0000-0000-000000000000}"/>
  <bookViews>
    <workbookView xWindow="-28920" yWindow="-390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'Centrum'!$A$1:$V$4</definedName>
    <definedName name="ExternalData_1" localSheetId="3" hidden="1">Курс!$A$5:$D$8</definedName>
    <definedName name="ExternalData_1" localSheetId="0" hidden="1">Лист1!$A$2:$Z$7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5" l="1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<sst xmlns="http://schemas.openxmlformats.org/spreadsheetml/2006/main" count="394" uniqueCount="132">
  <si>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</si>
  <si>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</si>
  <si>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</si>
  <si>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</si>
  <si>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</si>
  <si>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</si>
  <si>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</si>
  <si>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</si>
  <si>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</si>
  <si>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</si>
  <si>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</si>
  <si>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</si>
  <si>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</si>
  <si>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</si>
  <si>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</si>
  <si>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</si>
  <si>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</si>
  <si>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</si>
  <si>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</si>
  <si>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</si>
  <si>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</si>
  <si>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</si>
  <si>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</si>
  <si>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</si>
  <si>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</si>
  <si>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</si>
  <si>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</si>
  <si>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</si>
  <si>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</si>
  <si>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</si>
  <si>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</si>
  <si>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</si>
  <si>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</si>
  <si>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</si>
  <si>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</si>
  <si>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</si>
  <si>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</si>
  <si>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</si>
  <si>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</si>
  <si>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</si>
  <si>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</si>
  <si>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</si>
  <si>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</si>
  <si>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</si>
  <si>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</si>
  <si>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</si>
  <si>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</si>
  <si>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</si>
  <si>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</si>
  <si>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</si>
  <si>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</si>
  <si>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</si>
  <si>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</si>
  <si>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</si>
  <si>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</si>
  <si>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</si>
  <si>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</si>
  <si>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</si>
  <si>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</si>
  <si>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</si>
  <si>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</si>
  <si>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</si>
  <si>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</si>
  <si>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</si>
  <si>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</si>
  <si>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</si>
  <si>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</si>
  <si>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</si>
  <si>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</si>
  <si>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</si>
  <si>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</si>
  <si>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</si>
  <si>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</si>
  <si>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</si>
  <si>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</si>
  <si>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</si>
  <si>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</si>
  <si>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</si>
  <si>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</si>
  <si>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</si>
  <si>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</si>
  <si>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</si>
  <si>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</si>
  <si>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</si>
  <si>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</si>
  <si>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</si>
  <si>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</si>
  <si>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</si>
  <si>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</si>
  <si>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</si>
  <si>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</si>
  <si>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</si>
  <si>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</si>
  <si>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</si>
  <si>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</si>
  <si>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</si>
  <si>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</si>
  <si>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</si>
  <si>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</si>
  <si>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</si>
  <si>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</si>
  <si>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</si>
  <si>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</si>
  <si>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</si>
  <si>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</si>
  <si>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</si>
  <si>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</si>
  <si>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</si>
  <si>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</si>
  <si>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</si>
  <si>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</si>
  <si>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CNT-KRCN102-CKCN108-SNT016-3.xlsx</t>
  </si>
  <si>
    <t>«CENTRUM AVIATION FZCO»</t>
  </si>
  <si>
    <t>CN</t>
  </si>
  <si>
    <t>2-BT</t>
  </si>
  <si>
    <t>OOLU8553709</t>
  </si>
  <si>
    <t>GM Korea</t>
  </si>
  <si>
    <t>TJAUZ37563A01</t>
  </si>
  <si>
    <t>KUNSAN via TCR - SARY-AGACH FOB P-D</t>
  </si>
  <si>
    <t>-</t>
  </si>
  <si>
    <t>TCR</t>
  </si>
  <si>
    <t>CRLKS23100051</t>
  </si>
  <si>
    <t>COHELH640WDLF04</t>
  </si>
  <si>
    <t>CNT-KRCN102-CKCN108-SNT016-3</t>
  </si>
  <si>
    <t>OOLU8502194</t>
  </si>
  <si>
    <t>WSCU7090321</t>
  </si>
  <si>
    <t>SCHAEFFLER ANSAN CORPORATION/SNT MOTIV</t>
  </si>
  <si>
    <t>0198539968
0198539967
CUZ231026</t>
  </si>
  <si>
    <t>BUSAN via TCR - SARY-AGACH FOB P-D</t>
  </si>
  <si>
    <t>CRLKS23100119/CRLKS23100120/CRLKS23100122</t>
  </si>
  <si>
    <t>SITPULY141144G2</t>
  </si>
  <si>
    <t>«CENTRUM AVIATION FZCO»
Доп-10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</si>
</sst>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7" tableType="queryTable" totalsRowShown="0" headerRowDxfId="91" dataDxfId="90" tableBorderDxfId="89">
  <autoFilter ref="A2:Z7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4" tableType="queryTable" totalsRowShown="0" headerRowDxfId="62" dataDxfId="61">
  <autoFilter ref="A1:V4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8" tableType="queryTable" totalsRowShown="0" headerRowDxfId="33">
  <autoFilter ref="A5:D8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topLeftCell="M1" workbookViewId="0">
      <selection activeCell="AB5" sqref="AB5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CNT-KRCN102-CKCN108-SNT016-3</v>
      </c>
      <c r="E1" s="54"/>
      <c r="F1" s="54"/>
      <c r="G1" s="54"/>
      <c r="H1" s="55">
        <v>45258</v>
      </c>
      <c r="I1" s="55"/>
      <c r="J1" s="56" t="s">
        <v>110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76</v>
      </c>
      <c r="B2" s="27" t="s">
        <v>77</v>
      </c>
      <c r="C2" s="27" t="s">
        <v>78</v>
      </c>
      <c r="D2" s="27" t="s">
        <v>79</v>
      </c>
      <c r="E2" s="27" t="s">
        <v>80</v>
      </c>
      <c r="F2" s="27" t="s">
        <v>81</v>
      </c>
      <c r="G2" s="27" t="s">
        <v>82</v>
      </c>
      <c r="H2" s="27" t="s">
        <v>83</v>
      </c>
      <c r="I2" s="27" t="s">
        <v>84</v>
      </c>
      <c r="J2" s="27" t="s">
        <v>85</v>
      </c>
      <c r="K2" s="27" t="s">
        <v>86</v>
      </c>
      <c r="L2" s="27" t="s">
        <v>87</v>
      </c>
      <c r="M2" s="27" t="s">
        <v>88</v>
      </c>
      <c r="N2" s="27" t="s">
        <v>89</v>
      </c>
      <c r="O2" s="27" t="s">
        <v>90</v>
      </c>
      <c r="P2" s="27" t="s">
        <v>91</v>
      </c>
      <c r="Q2" s="27" t="s">
        <v>92</v>
      </c>
      <c r="R2" s="27" t="s">
        <v>93</v>
      </c>
      <c r="S2" s="27" t="s">
        <v>94</v>
      </c>
      <c r="T2" s="27" t="s">
        <v>95</v>
      </c>
      <c r="U2" s="27" t="s">
        <v>96</v>
      </c>
      <c r="V2" s="27" t="s">
        <v>97</v>
      </c>
      <c r="W2" s="27" t="s">
        <v>98</v>
      </c>
      <c r="X2" s="27" t="s">
        <v>99</v>
      </c>
      <c r="Y2" s="27" t="s">
        <v>100</v>
      </c>
      <c r="Z2" s="27" t="s">
        <v>101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v>28100</v>
      </c>
      <c r="U4" s="40"/>
      <c r="V4" s="39"/>
      <c r="W4" s="39"/>
      <c r="X4" s="41"/>
      <c r="Y4" s="39">
        <v>345912124</v>
      </c>
      <c r="Z4" s="44"/>
    </row>
    <row r="5" spans="1:26" ht="36.75" x14ac:dyDescent="0.25">
      <c r="A5" s="44">
        <v>1</v>
      </c>
      <c r="B5" s="41" t="s">
        <v>131</v>
      </c>
      <c r="C5" s="41" t="s">
        <v>113</v>
      </c>
      <c r="D5" s="41" t="s">
        <v>115</v>
      </c>
      <c r="E5" s="41" t="s">
        <v>116</v>
      </c>
      <c r="F5" s="41" t="s">
        <v>117</v>
      </c>
      <c r="G5" s="38">
        <v>28118.160000000011</v>
      </c>
      <c r="H5" s="45" t="s">
        <v>40</v>
      </c>
      <c r="I5" s="37">
        <v>67.83</v>
      </c>
      <c r="J5" s="39">
        <v>8628</v>
      </c>
      <c r="K5" s="46" t="s">
        <v>120</v>
      </c>
      <c r="L5" s="41" t="s">
        <v>118</v>
      </c>
      <c r="M5" s="41" t="s">
        <v>121</v>
      </c>
      <c r="N5" s="41" t="s">
        <v>122</v>
      </c>
      <c r="O5" s="40">
        <v>45218</v>
      </c>
      <c r="P5" s="40">
        <v>45248</v>
      </c>
      <c r="Q5" s="45" t="s">
        <v>44</v>
      </c>
      <c r="R5" s="39">
        <v>9850</v>
      </c>
      <c r="S5" s="39">
        <v>0</v>
      </c>
      <c r="T5" s="39">
        <v>9850</v>
      </c>
      <c r="U5" s="40">
        <v>45258</v>
      </c>
      <c r="V5" s="39">
        <v>12310.04</v>
      </c>
      <c r="W5" s="39">
        <v>121253894.00000001</v>
      </c>
      <c r="X5" s="41"/>
      <c r="Y5" s="39">
        <v>121253894.00000001</v>
      </c>
      <c r="Z5" s="44" t="s">
        <v>123</v>
      </c>
    </row>
    <row r="6" spans="1:26" s="4" customFormat="1" ht="36.75" x14ac:dyDescent="0.25">
      <c r="A6" s="44">
        <v>2</v>
      </c>
      <c r="B6" s="41" t="s">
        <v>131</v>
      </c>
      <c r="C6" s="41" t="s">
        <v>113</v>
      </c>
      <c r="D6" s="41" t="s">
        <v>124</v>
      </c>
      <c r="E6" s="41" t="s">
        <v>116</v>
      </c>
      <c r="F6" s="41" t="s">
        <v>117</v>
      </c>
      <c r="G6" s="38">
        <v>25898.339999999978</v>
      </c>
      <c r="H6" s="45" t="s">
        <v>40</v>
      </c>
      <c r="I6" s="37">
        <v>67.488</v>
      </c>
      <c r="J6" s="39">
        <v>7960</v>
      </c>
      <c r="K6" s="46" t="s">
        <v>120</v>
      </c>
      <c r="L6" s="41" t="s">
        <v>118</v>
      </c>
      <c r="M6" s="41" t="s">
        <v>121</v>
      </c>
      <c r="N6" s="41" t="s">
        <v>122</v>
      </c>
      <c r="O6" s="40">
        <v>45218</v>
      </c>
      <c r="P6" s="40">
        <v>45254</v>
      </c>
      <c r="Q6" s="45" t="s">
        <v>44</v>
      </c>
      <c r="R6" s="39">
        <v>9850</v>
      </c>
      <c r="S6" s="39">
        <v>0</v>
      </c>
      <c r="T6" s="39">
        <v>9850</v>
      </c>
      <c r="U6" s="40">
        <v>45258</v>
      </c>
      <c r="V6" s="39">
        <v>12310.04</v>
      </c>
      <c r="W6" s="39">
        <v>121253894.00000001</v>
      </c>
      <c r="X6" s="41"/>
      <c r="Y6" s="39">
        <v>121253894.00000001</v>
      </c>
      <c r="Z6" s="44" t="s">
        <v>123</v>
      </c>
    </row>
    <row r="7" spans="1:26" s="4" customFormat="1" ht="48.75" x14ac:dyDescent="0.25">
      <c r="A7" s="44">
        <v>3</v>
      </c>
      <c r="B7" s="41" t="s">
        <v>131</v>
      </c>
      <c r="C7" s="41" t="s">
        <v>113</v>
      </c>
      <c r="D7" s="41" t="s">
        <v>125</v>
      </c>
      <c r="E7" s="41" t="s">
        <v>126</v>
      </c>
      <c r="F7" s="41" t="s">
        <v>127</v>
      </c>
      <c r="G7" s="38">
        <v>226606.4</v>
      </c>
      <c r="H7" s="45" t="s">
        <v>40</v>
      </c>
      <c r="I7" s="37">
        <v>59.631999999999998</v>
      </c>
      <c r="J7" s="39">
        <v>11376</v>
      </c>
      <c r="K7" s="46" t="s">
        <v>120</v>
      </c>
      <c r="L7" s="41" t="s">
        <v>128</v>
      </c>
      <c r="M7" s="41" t="s">
        <v>129</v>
      </c>
      <c r="N7" s="41" t="s">
        <v>130</v>
      </c>
      <c r="O7" s="40">
        <v>45228</v>
      </c>
      <c r="P7" s="40">
        <v>45256</v>
      </c>
      <c r="Q7" s="45" t="s">
        <v>44</v>
      </c>
      <c r="R7" s="39">
        <v>8400</v>
      </c>
      <c r="S7" s="39">
        <v>0</v>
      </c>
      <c r="T7" s="39">
        <v>8400</v>
      </c>
      <c r="U7" s="40">
        <v>45258</v>
      </c>
      <c r="V7" s="39">
        <v>12310.04</v>
      </c>
      <c r="W7" s="39">
        <v>103404336</v>
      </c>
      <c r="X7" s="41"/>
      <c r="Y7" s="39">
        <v>103404336</v>
      </c>
      <c r="Z7" s="44" t="s">
        <v>123</v>
      </c>
    </row>
    <row r="8" spans="1:26" s="4" customFormat="1" x14ac:dyDescent="0.25"/>
    <row r="9" spans="1:26" s="4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4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45</v>
      </c>
      <c r="B1" s="30" t="str" cm="1">
        <f t="array" aca="1" ref="B1" ca="1">CELL("имяфайла")</f>
        <v>C:\Users\a.inoyatov\Desktop\[CNT-KRCN102-CKCN108-SNT016-3 GM.xlsx]Лист1</v>
      </c>
    </row>
    <row r="2" spans="1:2" ht="24" customHeight="1" x14ac:dyDescent="0.25">
      <c r="A2" s="29" t="s">
        <v>73</v>
      </c>
      <c r="B2" s="31" t="str">
        <f ca="1">LEFT(B1,SEARCH("[",B1,1)-1)&amp;B3</f>
        <v>C:\Users\a.inoyatov\Desktop\CNT-KRCN102-CKCN108-SNT016-3.xlsx</v>
      </c>
    </row>
    <row r="3" spans="1:2" ht="24" customHeight="1" x14ac:dyDescent="0.25">
      <c r="A3" s="29" t="s">
        <v>72</v>
      </c>
      <c r="B3" s="32" t="s">
        <v>111</v>
      </c>
    </row>
    <row r="4" spans="1:2" ht="31.9" customHeight="1" x14ac:dyDescent="0.25">
      <c r="A4" s="42" t="s">
        <v>102</v>
      </c>
      <c r="B4" s="43" t="str">
        <f ca="1">LEFT(B1,SEARCH("[",B1,1)-1)&amp;"Справочник курсов.xlsx"</f>
        <v>C:\Users\a.inoyatov\Desktop\Справочник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4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74</v>
      </c>
      <c r="H1" s="18" t="s">
        <v>52</v>
      </c>
      <c r="I1" s="18" t="s">
        <v>53</v>
      </c>
      <c r="J1" s="18" t="s">
        <v>54</v>
      </c>
      <c r="K1" s="18" t="s">
        <v>55</v>
      </c>
      <c r="L1" s="18" t="s">
        <v>56</v>
      </c>
      <c r="M1" s="18" t="s">
        <v>57</v>
      </c>
      <c r="N1" s="18" t="s">
        <v>58</v>
      </c>
      <c r="O1" s="18" t="s">
        <v>59</v>
      </c>
      <c r="P1" s="18" t="s">
        <v>60</v>
      </c>
      <c r="Q1" s="18" t="s">
        <v>61</v>
      </c>
      <c r="R1" s="18" t="s">
        <v>62</v>
      </c>
      <c r="S1" s="18" t="s">
        <v>63</v>
      </c>
      <c r="T1" s="18" t="s">
        <v>64</v>
      </c>
      <c r="U1" s="18" t="s">
        <v>65</v>
      </c>
      <c r="V1" s="18" t="s">
        <v>66</v>
      </c>
    </row>
    <row r="2" spans="1:22" ht="15" x14ac:dyDescent="0.25">
      <c r="A2" s="10" t="s">
        <v>112</v>
      </c>
      <c r="B2" s="10" t="s">
        <v>113</v>
      </c>
      <c r="C2" s="10" t="s">
        <v>114</v>
      </c>
      <c r="D2" s="10" t="s">
        <v>115</v>
      </c>
      <c r="E2" s="10" t="s">
        <v>116</v>
      </c>
      <c r="F2" s="10" t="s">
        <v>117</v>
      </c>
      <c r="G2" s="7" t="s">
        <v>118</v>
      </c>
      <c r="H2" s="10" t="s">
        <v>119</v>
      </c>
      <c r="I2" s="10" t="s">
        <v>120</v>
      </c>
      <c r="J2" s="10" t="s">
        <v>121</v>
      </c>
      <c r="K2" s="10" t="s">
        <v>122</v>
      </c>
      <c r="L2" s="47">
        <v>45218</v>
      </c>
      <c r="M2" s="47">
        <v>45248</v>
      </c>
      <c r="N2" s="19">
        <v>67.83</v>
      </c>
      <c r="O2" s="19">
        <v>8628</v>
      </c>
      <c r="P2" s="19">
        <v>9850</v>
      </c>
      <c r="Q2" s="19">
        <v>0</v>
      </c>
      <c r="R2" s="19">
        <v>9850</v>
      </c>
      <c r="S2" s="10" t="s">
        <v>44</v>
      </c>
      <c r="T2" s="19">
        <v>28118.160000000011</v>
      </c>
      <c r="U2" s="10" t="s">
        <v>123</v>
      </c>
      <c r="V2" s="9">
        <v>1</v>
      </c>
    </row>
    <row r="3" spans="1:22" ht="15" x14ac:dyDescent="0.25">
      <c r="A3" s="10" t="s">
        <v>112</v>
      </c>
      <c r="B3" s="10" t="s">
        <v>113</v>
      </c>
      <c r="C3" s="10" t="s">
        <v>114</v>
      </c>
      <c r="D3" s="10" t="s">
        <v>124</v>
      </c>
      <c r="E3" s="10" t="s">
        <v>116</v>
      </c>
      <c r="F3" s="10" t="s">
        <v>117</v>
      </c>
      <c r="G3" s="7" t="s">
        <v>118</v>
      </c>
      <c r="H3" s="10" t="s">
        <v>119</v>
      </c>
      <c r="I3" s="10" t="s">
        <v>120</v>
      </c>
      <c r="J3" s="10" t="s">
        <v>121</v>
      </c>
      <c r="K3" s="10" t="s">
        <v>122</v>
      </c>
      <c r="L3" s="47">
        <v>45218</v>
      </c>
      <c r="M3" s="47">
        <v>45254</v>
      </c>
      <c r="N3" s="19">
        <v>67.488</v>
      </c>
      <c r="O3" s="19">
        <v>7960</v>
      </c>
      <c r="P3" s="19">
        <v>9850</v>
      </c>
      <c r="Q3" s="19" t="s">
        <v>119</v>
      </c>
      <c r="R3" s="19">
        <v>9850</v>
      </c>
      <c r="S3" s="10" t="s">
        <v>44</v>
      </c>
      <c r="T3" s="19">
        <v>25898.339999999978</v>
      </c>
      <c r="U3" s="10" t="s">
        <v>123</v>
      </c>
      <c r="V3" s="9">
        <v>2</v>
      </c>
    </row>
    <row r="4" spans="1:22" ht="15" x14ac:dyDescent="0.25">
      <c r="A4" s="10" t="s">
        <v>112</v>
      </c>
      <c r="B4" s="10" t="s">
        <v>113</v>
      </c>
      <c r="C4" s="10" t="s">
        <v>114</v>
      </c>
      <c r="D4" s="10" t="s">
        <v>125</v>
      </c>
      <c r="E4" s="10" t="s">
        <v>126</v>
      </c>
      <c r="F4" s="10" t="s">
        <v>127</v>
      </c>
      <c r="G4" s="7" t="s">
        <v>128</v>
      </c>
      <c r="H4" s="10" t="s">
        <v>119</v>
      </c>
      <c r="I4" s="10" t="s">
        <v>120</v>
      </c>
      <c r="J4" s="10" t="s">
        <v>129</v>
      </c>
      <c r="K4" s="10" t="s">
        <v>130</v>
      </c>
      <c r="L4" s="47">
        <v>45228</v>
      </c>
      <c r="M4" s="47">
        <v>45256</v>
      </c>
      <c r="N4" s="19">
        <v>59.631999999999998</v>
      </c>
      <c r="O4" s="19">
        <v>11376</v>
      </c>
      <c r="P4" s="19">
        <v>8400</v>
      </c>
      <c r="Q4" s="19" t="s">
        <v>119</v>
      </c>
      <c r="R4" s="19">
        <v>8400</v>
      </c>
      <c r="S4" s="10" t="s">
        <v>44</v>
      </c>
      <c r="T4" s="19">
        <v>226606.4</v>
      </c>
      <c r="U4" s="10" t="s">
        <v>123</v>
      </c>
      <c r="V4" s="9">
        <v>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8"/>
  <sheetViews>
    <sheetView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7.42578125" style="4" bestFit="1" customWidth="1"/>
    <col min="4" max="4" width="24.7109375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103</v>
      </c>
      <c r="B1" s="23" t="s">
        <v>67</v>
      </c>
      <c r="C1" s="23" t="s">
        <v>68</v>
      </c>
      <c r="D1" s="23" t="s">
        <v>108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45248</v>
      </c>
      <c r="B2" s="22">
        <f>MAX(Centrum[Date of arrival to Sary-Agach/ Дата прибытия на Сары-Агач])</f>
        <v>45256</v>
      </c>
      <c r="C2" s="22">
        <f ca="1">IF(WORKDAY(A2,15)&gt;=TODAY(),TODAY(),WORKDAY(A2,15))</f>
        <v>45258</v>
      </c>
      <c r="D2" s="48">
        <v>45258</v>
      </c>
      <c r="E2" s="13" t="s">
        <v>40</v>
      </c>
    </row>
    <row r="4" spans="1:5" ht="36" customHeight="1" x14ac:dyDescent="0.25">
      <c r="A4" s="33" t="str">
        <f>IF(B8="","Обновите курсы валюты в Справочнике","")</f>
        <v/>
      </c>
    </row>
    <row r="5" spans="1:5" s="25" customFormat="1" x14ac:dyDescent="0.25">
      <c r="A5" s="25" t="s">
        <v>69</v>
      </c>
      <c r="B5" s="25" t="s">
        <v>70</v>
      </c>
      <c r="C5" s="25" t="s">
        <v>106</v>
      </c>
      <c r="D5" s="23" t="s">
        <v>71</v>
      </c>
    </row>
    <row r="6" spans="1:5" x14ac:dyDescent="0.25">
      <c r="A6" s="24" t="s">
        <v>105</v>
      </c>
      <c r="B6" s="8">
        <v>45256</v>
      </c>
      <c r="C6" s="49">
        <v>12304.98</v>
      </c>
    </row>
    <row r="7" spans="1:5" x14ac:dyDescent="0.25">
      <c r="A7" s="24" t="s">
        <v>104</v>
      </c>
      <c r="B7" s="8">
        <v>45257</v>
      </c>
      <c r="C7" s="49">
        <v>12296.16</v>
      </c>
    </row>
    <row r="8" spans="1:5" x14ac:dyDescent="0.25">
      <c r="A8" s="24" t="s">
        <v>75</v>
      </c>
      <c r="B8" s="8">
        <v>45258</v>
      </c>
      <c r="C8" s="49">
        <v>12310.04</v>
      </c>
      <c r="D8" s="4" t="s">
        <v>107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76</v>
      </c>
      <c r="B2" s="20" t="s">
        <v>77</v>
      </c>
      <c r="C2" s="20" t="s">
        <v>78</v>
      </c>
      <c r="D2" s="20" t="s">
        <v>79</v>
      </c>
      <c r="E2" s="20" t="s">
        <v>80</v>
      </c>
      <c r="F2" s="20" t="s">
        <v>81</v>
      </c>
      <c r="G2" s="20" t="s">
        <v>82</v>
      </c>
      <c r="H2" s="20" t="s">
        <v>83</v>
      </c>
      <c r="I2" s="20" t="s">
        <v>84</v>
      </c>
      <c r="J2" s="20" t="s">
        <v>85</v>
      </c>
      <c r="K2" s="20" t="s">
        <v>86</v>
      </c>
      <c r="L2" s="20" t="s">
        <v>87</v>
      </c>
      <c r="M2" s="20" t="s">
        <v>88</v>
      </c>
      <c r="N2" s="20" t="s">
        <v>89</v>
      </c>
      <c r="O2" s="20" t="s">
        <v>90</v>
      </c>
      <c r="P2" s="20" t="s">
        <v>91</v>
      </c>
      <c r="Q2" s="20" t="s">
        <v>92</v>
      </c>
      <c r="R2" s="20" t="s">
        <v>93</v>
      </c>
      <c r="S2" s="20" t="s">
        <v>94</v>
      </c>
      <c r="T2" s="20" t="s">
        <v>95</v>
      </c>
      <c r="U2" s="20" t="s">
        <v>96</v>
      </c>
      <c r="V2" s="20" t="s">
        <v>97</v>
      </c>
      <c r="W2" s="20" t="s">
        <v>98</v>
      </c>
      <c r="X2" s="20" t="s">
        <v>99</v>
      </c>
      <c r="Y2" s="20" t="s">
        <v>100</v>
      </c>
      <c r="Z2" s="20" t="s">
        <v>101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28100</v>
      </c>
      <c r="U4" s="3"/>
      <c r="V4" s="26"/>
      <c r="W4" s="26"/>
      <c r="X4" s="5"/>
      <c r="Y4" s="6">
        <f>SUM(Y5:Y1048576)</f>
        <v>345912124</v>
      </c>
      <c r="Z4" s="3" t="s">
        <v>109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«CENTRUM AVIATION FZCO»</v>
      </c>
      <c r="C5" s="11" t="str">
        <f>_xlfn.XLOOKUP($A5,Centrum[Индекс],Centrum[Country /  Страна],"",0,1)</f>
        <v>CN</v>
      </c>
      <c r="D5" s="11" t="str">
        <f>_xlfn.XLOOKUP($A5,Centrum[Индекс],Centrum[Container num./ 
№ контейнера],"",0,1)</f>
        <v>OOLU8553709</v>
      </c>
      <c r="E5" s="11" t="str">
        <f>_xlfn.XLOOKUP($A5,Centrum[Индекс],Centrum[Supplier/
Поставщик],"",0,1)</f>
        <v>GM Korea</v>
      </c>
      <c r="F5" s="11" t="str">
        <f>_xlfn.XLOOKUP($A5,Centrum[Индекс],Centrum[Shippers invoice no/ 
Номер инвойса поставщика],"",1)</f>
        <v>TJAUZ37563A01</v>
      </c>
      <c r="G5" s="15">
        <f>_xlfn.XLOOKUP($A5,Centrum[Индекс],Centrum[Invoice value / Стоимость груза в к-ре по инвойсу],"",0,1)</f>
        <v>28118.160000000011</v>
      </c>
      <c r="H5" s="14" t="s">
        <v>40</v>
      </c>
      <c r="I5" s="11">
        <f>_xlfn.XLOOKUP($A5,Centrum[Индекс],Centrum[CBM on the shipper/ 
CBM по поставщику],"",0,1)</f>
        <v>67.83</v>
      </c>
      <c r="J5" s="16">
        <f>_xlfn.XLOOKUP($A5,Centrum[Индекс],Centrum[Gross weight of cont// 
Гросс.вес по конт.],"",0,1)</f>
        <v>8628</v>
      </c>
      <c r="K5" s="17" t="str">
        <f>_xlfn.XLOOKUP($A5,Centrum[Индекс],Centrum[Route/ Маршрут (TSR/TCR)],"",0,1)</f>
        <v>TCR</v>
      </c>
      <c r="L5" s="11" t="str">
        <f>_xlfn.XLOOKUP($A5,Centrum[Индекс],Centrum[Условия поставки],"",0,1)</f>
        <v>KUNSAN via TCR - SARY-AGACH FOB P-D</v>
      </c>
      <c r="M5" s="11" t="str">
        <f>_xlfn.XLOOKUP($A5,Centrum[Индекс],Centrum[№ HBL date / 
№/ дата коносамента],"",0,1)</f>
        <v>CRLKS23100051</v>
      </c>
      <c r="N5" s="11" t="str">
        <f>_xlfn.XLOOKUP($A5,Centrum[Индекс],Centrum[№ MBL / 
№/ коносамента],"",0,1)</f>
        <v>COHELH640WDLF04</v>
      </c>
      <c r="O5" s="8">
        <f>(_xlfn.XLOOKUP($A5,Centrum[Индекс],Centrum[Date on board / Дата погрузки на судно],"",0,1))*1</f>
        <v>45218</v>
      </c>
      <c r="P5" s="8">
        <f>(_xlfn.XLOOKUP($A5,Centrum[Индекс],Centrum[Date of arrival to Sary-Agach/ Дата прибытия на Сары-Агач],"",0,1))*1</f>
        <v>45248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9850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9850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" s="16">
        <f>_xlfn.XLOOKUP(Шаблон_Формулы[[#This Row],[21]],Курс_USD[Дата],Курс_USD[Курс],,0,1)</f>
        <v>12310.04</v>
      </c>
      <c r="W5" s="16">
        <f>Шаблон_Формулы!$T5*Шаблон_Формулы!$V5</f>
        <v>121253894.00000001</v>
      </c>
      <c r="Y5" s="16">
        <f>Шаблон_Формулы!$W5+Шаблон_Формулы!$X5</f>
        <v>121253894.00000001</v>
      </c>
      <c r="Z5" s="14" t="str">
        <f>_xlfn.XLOOKUP($A5,Centrum[Индекс],Centrum[Transport co invoice no/ 
Номер инвойса ТК],"",0,1)</f>
        <v>CNT-KRCN102-CKCN108-SNT016-3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«CENTRUM AVIATION FZCO»</v>
      </c>
      <c r="C6" s="11" t="str">
        <f>_xlfn.XLOOKUP($A6,Centrum[Индекс],Centrum[Country /  Страна],"",0,1)</f>
        <v>CN</v>
      </c>
      <c r="D6" s="11" t="str">
        <f>_xlfn.XLOOKUP($A6,Centrum[Индекс],Centrum[Container num./ 
№ контейнера],"",0,1)</f>
        <v>OOLU8502194</v>
      </c>
      <c r="E6" s="11" t="str">
        <f>_xlfn.XLOOKUP($A6,Centrum[Индекс],Centrum[Supplier/
Поставщик],"",0,1)</f>
        <v>GM Korea</v>
      </c>
      <c r="F6" s="11" t="str">
        <f>_xlfn.XLOOKUP($A6,Centrum[Индекс],Centrum[Shippers invoice no/ 
Номер инвойса поставщика],"",1)</f>
        <v>TJAUZ37563A01</v>
      </c>
      <c r="G6" s="15">
        <f>_xlfn.XLOOKUP($A6,Centrum[Индекс],Centrum[Invoice value / Стоимость груза в к-ре по инвойсу],"",0,1)</f>
        <v>25898.339999999978</v>
      </c>
      <c r="H6" s="14" t="s">
        <v>40</v>
      </c>
      <c r="I6" s="11">
        <f>_xlfn.XLOOKUP($A6,Centrum[Индекс],Centrum[CBM on the shipper/ 
CBM по поставщику],"",0,1)</f>
        <v>67.488</v>
      </c>
      <c r="J6" s="16">
        <f>_xlfn.XLOOKUP($A6,Centrum[Индекс],Centrum[Gross weight of cont// 
Гросс.вес по конт.],"",0,1)</f>
        <v>7960</v>
      </c>
      <c r="K6" s="17" t="str">
        <f>_xlfn.XLOOKUP($A6,Centrum[Индекс],Centrum[Route/ Маршрут (TSR/TCR)],"",0,1)</f>
        <v>TCR</v>
      </c>
      <c r="L6" s="11" t="str">
        <f>_xlfn.XLOOKUP($A6,Centrum[Индекс],Centrum[Условия поставки],"",0,1)</f>
        <v>KUNSAN via TCR - SARY-AGACH FOB P-D</v>
      </c>
      <c r="M6" s="11" t="str">
        <f>_xlfn.XLOOKUP($A6,Centrum[Индекс],Centrum[№ HBL date / 
№/ дата коносамента],"",0,1)</f>
        <v>CRLKS23100051</v>
      </c>
      <c r="N6" s="11" t="str">
        <f>_xlfn.XLOOKUP($A6,Centrum[Индекс],Centrum[№ MBL / 
№/ коносамента],"",0,1)</f>
        <v>COHELH640WDLF04</v>
      </c>
      <c r="O6" s="8">
        <f>(_xlfn.XLOOKUP($A6,Centrum[Индекс],Centrum[Date on board / Дата погрузки на судно],"",0,1))*1</f>
        <v>45218</v>
      </c>
      <c r="P6" s="8">
        <f>(_xlfn.XLOOKUP($A6,Centrum[Индекс],Centrum[Date of arrival to Sary-Agach/ Дата прибытия на Сары-Агач],"",0,1))*1</f>
        <v>45254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9850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9850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" s="16">
        <f>_xlfn.XLOOKUP(Шаблон_Формулы[[#This Row],[21]],Курс_USD[Дата],Курс_USD[Курс],,0,1)</f>
        <v>12310.04</v>
      </c>
      <c r="W6" s="16">
        <f>Шаблон_Формулы!$T6*Шаблон_Формулы!$V6</f>
        <v>121253894.00000001</v>
      </c>
      <c r="Y6" s="16">
        <f>Шаблон_Формулы!$W6+Шаблон_Формулы!$X6</f>
        <v>121253894.00000001</v>
      </c>
      <c r="Z6" s="14" t="str">
        <f>_xlfn.XLOOKUP($A6,Centrum[Индекс],Centrum[Transport co invoice no/ 
Номер инвойса ТК],"",0,1)</f>
        <v>CNT-KRCN102-CKCN108-SNT016-3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«CENTRUM AVIATION FZCO»</v>
      </c>
      <c r="C7" s="11" t="str">
        <f>_xlfn.XLOOKUP($A7,Centrum[Индекс],Centrum[Country /  Страна],"",0,1)</f>
        <v>CN</v>
      </c>
      <c r="D7" s="11" t="str">
        <f>_xlfn.XLOOKUP($A7,Centrum[Индекс],Centrum[Container num./ 
№ контейнера],"",0,1)</f>
        <v>WSCU7090321</v>
      </c>
      <c r="E7" s="11" t="str">
        <f>_xlfn.XLOOKUP($A7,Centrum[Индекс],Centrum[Supplier/
Поставщик],"",0,1)</f>
        <v>SCHAEFFLER ANSAN CORPORATION/SNT MOTIV</v>
      </c>
      <c r="F7" s="11" t="str">
        <f>_xlfn.XLOOKUP($A7,Centrum[Индекс],Centrum[Shippers invoice no/ 
Номер инвойса поставщика],"",1)</f>
        <v>0198539968
0198539967
CUZ231026</v>
      </c>
      <c r="G7" s="15">
        <f>_xlfn.XLOOKUP($A7,Centrum[Индекс],Centrum[Invoice value / Стоимость груза в к-ре по инвойсу],"",0,1)</f>
        <v>226606.4</v>
      </c>
      <c r="H7" s="14" t="s">
        <v>40</v>
      </c>
      <c r="I7" s="11">
        <f>_xlfn.XLOOKUP($A7,Centrum[Индекс],Centrum[CBM on the shipper/ 
CBM по поставщику],"",0,1)</f>
        <v>59.631999999999998</v>
      </c>
      <c r="J7" s="16">
        <f>_xlfn.XLOOKUP($A7,Centrum[Индекс],Centrum[Gross weight of cont// 
Гросс.вес по конт.],"",0,1)</f>
        <v>11376</v>
      </c>
      <c r="K7" s="17" t="str">
        <f>_xlfn.XLOOKUP($A7,Centrum[Индекс],Centrum[Route/ Маршрут (TSR/TCR)],"",0,1)</f>
        <v>TCR</v>
      </c>
      <c r="L7" s="11" t="str">
        <f>_xlfn.XLOOKUP($A7,Centrum[Индекс],Centrum[Условия поставки],"",0,1)</f>
        <v>BUSAN via TCR - SARY-AGACH FOB P-D</v>
      </c>
      <c r="M7" s="11" t="str">
        <f>_xlfn.XLOOKUP($A7,Centrum[Индекс],Centrum[№ HBL date / 
№/ дата коносамента],"",0,1)</f>
        <v>CRLKS23100119/CRLKS23100120/CRLKS23100122</v>
      </c>
      <c r="N7" s="11" t="str">
        <f>_xlfn.XLOOKUP($A7,Centrum[Индекс],Centrum[№ MBL / 
№/ коносамента],"",0,1)</f>
        <v>SITPULY141144G2</v>
      </c>
      <c r="O7" s="8">
        <f>(_xlfn.XLOOKUP($A7,Centrum[Индекс],Centrum[Date on board / Дата погрузки на судно],"",0,1))*1</f>
        <v>45228</v>
      </c>
      <c r="P7" s="8">
        <f>(_xlfn.XLOOKUP($A7,Centrum[Индекс],Centrum[Date of arrival to Sary-Agach/ Дата прибытия на Сары-Агач],"",0,1))*1</f>
        <v>45256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8400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8400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" s="16">
        <f>_xlfn.XLOOKUP(Шаблон_Формулы[[#This Row],[21]],Курс_USD[Дата],Курс_USD[Курс],,0,1)</f>
        <v>12310.04</v>
      </c>
      <c r="W7" s="16">
        <f>Шаблон_Формулы!$T7*Шаблон_Формулы!$V7</f>
        <v>103404336</v>
      </c>
      <c r="Y7" s="16">
        <f>Шаблон_Формулы!$W7+Шаблон_Формулы!$X7</f>
        <v>103404336</v>
      </c>
      <c r="Z7" s="14" t="str">
        <f>_xlfn.XLOOKUP($A7,Centrum[Индекс],Centrum[Transport co invoice no/ 
Номер инвойса ТК],"",0,1)</f>
        <v>CNT-KRCN102-CKCN108-SNT016-3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/>
      </c>
      <c r="C8" s="11" t="str">
        <f>_xlfn.XLOOKUP($A8,Centrum[Индекс],Centrum[Country /  Страна],"",0,1)</f>
        <v/>
      </c>
      <c r="D8" s="11" t="str">
        <f>_xlfn.XLOOKUP($A8,Centrum[Индекс],Centrum[Container num./ 
№ контейнера],"",0,1)</f>
        <v/>
      </c>
      <c r="E8" s="11" t="str">
        <f>_xlfn.XLOOKUP($A8,Centrum[Индекс],Centrum[Supplier/
Поставщик],"",0,1)</f>
        <v/>
      </c>
      <c r="F8" s="11" t="str">
        <f>_xlfn.XLOOKUP($A8,Centrum[Индекс],Centrum[Shippers invoice no/ 
Номер инвойса поставщика],"",1)</f>
        <v/>
      </c>
      <c r="G8" s="15" t="str">
        <f>_xlfn.XLOOKUP($A8,Centrum[Индекс],Centrum[Invoice value / Стоимость груза в к-ре по инвойсу],"",0,1)</f>
        <v/>
      </c>
      <c r="H8" s="14" t="s">
        <v>40</v>
      </c>
      <c r="I8" s="11" t="str">
        <f>_xlfn.XLOOKUP($A8,Centrum[Индекс],Centrum[CBM on the shipper/ 
CBM по поставщику],"",0,1)</f>
        <v/>
      </c>
      <c r="J8" s="16" t="str">
        <f>_xlfn.XLOOKUP($A8,Centrum[Индекс],Centrum[Gross weight of cont// 
Гросс.вес по конт.],"",0,1)</f>
        <v/>
      </c>
      <c r="K8" s="17" t="str">
        <f>_xlfn.XLOOKUP($A8,Centrum[Индекс],Centrum[Route/ Маршрут (TSR/TCR)],"",0,1)</f>
        <v/>
      </c>
      <c r="L8" s="11" t="str">
        <f>_xlfn.XLOOKUP($A8,Centrum[Индекс],Centrum[Условия поставки],"",0,1)</f>
        <v/>
      </c>
      <c r="M8" s="11" t="str">
        <f>_xlfn.XLOOKUP($A8,Centrum[Индекс],Centrum[№ HBL date / 
№/ дата коносамента],"",0,1)</f>
        <v/>
      </c>
      <c r="N8" s="11" t="str">
        <f>_xlfn.XLOOKUP($A8,Centrum[Индекс],Centrum[№ MBL / 
№/ коносамента],"",0,1)</f>
        <v/>
      </c>
      <c r="O8" s="8" t="e">
        <f>(_xlfn.XLOOKUP($A8,Centrum[Индекс],Centrum[Date on board / Дата погрузки на судно],"",0,1))*1</f>
        <v>#VALUE!</v>
      </c>
      <c r="P8" s="8" t="e">
        <f>(_xlfn.XLOOKUP($A8,Centrum[Индекс],Centrum[Date of arrival to Sary-Agach/ Дата прибытия на Сары-Агач],"",0,1))*1</f>
        <v>#VALUE!</v>
      </c>
      <c r="Q8" s="14" t="str">
        <f>_xlfn.XLOOKUP($A8,Centrum[Индекс],Centrum[Container type/ 
Тип контейнера],"",0,1)</f>
        <v/>
      </c>
      <c r="R8" s="16">
        <f>_xlfn.XLOOKUP($A8,Centrum[Индекс],Centrum[Transportation cost per supplier/ 
Cтоимость перевозки по поставщикам],0,0,1)</f>
        <v>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" s="16">
        <f>_xlfn.XLOOKUP(Шаблон_Формулы[[#This Row],[21]],Курс_USD[Дата],Курс_USD[Курс],,0,1)</f>
        <v>12310.04</v>
      </c>
      <c r="W8" s="16">
        <f>Шаблон_Формулы!$T8*Шаблон_Формулы!$V8</f>
        <v>0</v>
      </c>
      <c r="Y8" s="16">
        <f>Шаблон_Формулы!$W8+Шаблон_Формулы!$X8</f>
        <v>0</v>
      </c>
      <c r="Z8" s="14" t="str">
        <f>_xlfn.XLOOKUP($A8,Centrum[Индекс],Centrum[Transport co invoice no/ 
Номер инвойса ТК],"",0,1)</f>
        <v/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/>
      </c>
      <c r="C9" s="11" t="str">
        <f>_xlfn.XLOOKUP($A9,Centrum[Индекс],Centrum[Country /  Страна],"",0,1)</f>
        <v/>
      </c>
      <c r="D9" s="11" t="str">
        <f>_xlfn.XLOOKUP($A9,Centrum[Индекс],Centrum[Container num./ 
№ контейнера],"",0,1)</f>
        <v/>
      </c>
      <c r="E9" s="11" t="str">
        <f>_xlfn.XLOOKUP($A9,Centrum[Индекс],Centrum[Supplier/
Поставщик],"",0,1)</f>
        <v/>
      </c>
      <c r="F9" s="11" t="str">
        <f>_xlfn.XLOOKUP($A9,Centrum[Индекс],Centrum[Shippers invoice no/ 
Номер инвойса поставщика],"",1)</f>
        <v/>
      </c>
      <c r="G9" s="15" t="str">
        <f>_xlfn.XLOOKUP($A9,Centrum[Индекс],Centrum[Invoice value / Стоимость груза в к-ре по инвойсу],"",0,1)</f>
        <v/>
      </c>
      <c r="H9" s="14" t="s">
        <v>40</v>
      </c>
      <c r="I9" s="11" t="str">
        <f>_xlfn.XLOOKUP($A9,Centrum[Индекс],Centrum[CBM on the shipper/ 
CBM по поставщику],"",0,1)</f>
        <v/>
      </c>
      <c r="J9" s="16" t="str">
        <f>_xlfn.XLOOKUP($A9,Centrum[Индекс],Centrum[Gross weight of cont// 
Гросс.вес по конт.],"",0,1)</f>
        <v/>
      </c>
      <c r="K9" s="17" t="str">
        <f>_xlfn.XLOOKUP($A9,Centrum[Индекс],Centrum[Route/ Маршрут (TSR/TCR)],"",0,1)</f>
        <v/>
      </c>
      <c r="L9" s="11" t="str">
        <f>_xlfn.XLOOKUP($A9,Centrum[Индекс],Centrum[Условия поставки],"",0,1)</f>
        <v/>
      </c>
      <c r="M9" s="11" t="str">
        <f>_xlfn.XLOOKUP($A9,Centrum[Индекс],Centrum[№ HBL date / 
№/ дата коносамента],"",0,1)</f>
        <v/>
      </c>
      <c r="N9" s="11" t="str">
        <f>_xlfn.XLOOKUP($A9,Centrum[Индекс],Centrum[№ MBL / 
№/ коносамента],"",0,1)</f>
        <v/>
      </c>
      <c r="O9" s="8" t="e">
        <f>(_xlfn.XLOOKUP($A9,Centrum[Индекс],Centrum[Date on board / Дата погрузки на судно],"",0,1))*1</f>
        <v>#VALUE!</v>
      </c>
      <c r="P9" s="8" t="e">
        <f>(_xlfn.XLOOKUP($A9,Centrum[Индекс],Centrum[Date of arrival to Sary-Agach/ Дата прибытия на Сары-Агач],"",0,1))*1</f>
        <v>#VALUE!</v>
      </c>
      <c r="Q9" s="14" t="str">
        <f>_xlfn.XLOOKUP($A9,Centrum[Индекс],Centrum[Container type/ 
Тип контейнера],"",0,1)</f>
        <v/>
      </c>
      <c r="R9" s="16">
        <f>_xlfn.XLOOKUP($A9,Centrum[Индекс],Centrum[Transportation cost per supplier/ 
Cтоимость перевозки по поставщикам],0,0,1)</f>
        <v>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" s="16">
        <f>_xlfn.XLOOKUP(Шаблон_Формулы[[#This Row],[21]],Курс_USD[Дата],Курс_USD[Курс],,0,1)</f>
        <v>12310.04</v>
      </c>
      <c r="W9" s="16">
        <f>Шаблон_Формулы!$T9*Шаблон_Формулы!$V9</f>
        <v>0</v>
      </c>
      <c r="Y9" s="16">
        <f>Шаблон_Формулы!$W9+Шаблон_Формулы!$X9</f>
        <v>0</v>
      </c>
      <c r="Z9" s="14" t="str">
        <f>_xlfn.XLOOKUP($A9,Centrum[Индекс],Centrum[Transport co invoice no/ 
Номер инвойса ТК],"",0,1)</f>
        <v/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/>
      </c>
      <c r="C10" s="11" t="str">
        <f>_xlfn.XLOOKUP($A10,Centrum[Индекс],Centrum[Country /  Страна],"",0,1)</f>
        <v/>
      </c>
      <c r="D10" s="11" t="str">
        <f>_xlfn.XLOOKUP($A10,Centrum[Индекс],Centrum[Container num./ 
№ контейнера],"",0,1)</f>
        <v/>
      </c>
      <c r="E10" s="11" t="str">
        <f>_xlfn.XLOOKUP($A10,Centrum[Индекс],Centrum[Supplier/
Поставщик],"",0,1)</f>
        <v/>
      </c>
      <c r="F10" s="11" t="str">
        <f>_xlfn.XLOOKUP($A10,Centrum[Индекс],Centrum[Shippers invoice no/ 
Номер инвойса поставщика],"",1)</f>
        <v/>
      </c>
      <c r="G10" s="15" t="str">
        <f>_xlfn.XLOOKUP($A10,Centrum[Индекс],Centrum[Invoice value / Стоимость груза в к-ре по инвойсу],"",0,1)</f>
        <v/>
      </c>
      <c r="H10" s="14" t="s">
        <v>40</v>
      </c>
      <c r="I10" s="11" t="str">
        <f>_xlfn.XLOOKUP($A10,Centrum[Индекс],Centrum[CBM on the shipper/ 
CBM по поставщику],"",0,1)</f>
        <v/>
      </c>
      <c r="J10" s="16" t="str">
        <f>_xlfn.XLOOKUP($A10,Centrum[Индекс],Centrum[Gross weight of cont// 
Гросс.вес по конт.],"",0,1)</f>
        <v/>
      </c>
      <c r="K10" s="17" t="str">
        <f>_xlfn.XLOOKUP($A10,Centrum[Индекс],Centrum[Route/ Маршрут (TSR/TCR)],"",0,1)</f>
        <v/>
      </c>
      <c r="L10" s="11" t="str">
        <f>_xlfn.XLOOKUP($A10,Centrum[Индекс],Centrum[Условия поставки],"",0,1)</f>
        <v/>
      </c>
      <c r="M10" s="11" t="str">
        <f>_xlfn.XLOOKUP($A10,Centrum[Индекс],Centrum[№ HBL date / 
№/ дата коносамента],"",0,1)</f>
        <v/>
      </c>
      <c r="N10" s="11" t="str">
        <f>_xlfn.XLOOKUP($A10,Centrum[Индекс],Centrum[№ MBL / 
№/ коносамента],"",0,1)</f>
        <v/>
      </c>
      <c r="O10" s="8" t="e">
        <f>(_xlfn.XLOOKUP($A10,Centrum[Индекс],Centrum[Date on board / Дата погрузки на судно],"",0,1))*1</f>
        <v>#VALUE!</v>
      </c>
      <c r="P10" s="8" t="e">
        <f>(_xlfn.XLOOKUP($A10,Centrum[Индекс],Centrum[Date of arrival to Sary-Agach/ Дата прибытия на Сары-Агач],"",0,1))*1</f>
        <v>#VALUE!</v>
      </c>
      <c r="Q10" s="14" t="str">
        <f>_xlfn.XLOOKUP($A10,Centrum[Индекс],Centrum[Container type/ 
Тип контейнера],"",0,1)</f>
        <v/>
      </c>
      <c r="R10" s="16">
        <f>_xlfn.XLOOKUP($A10,Centrum[Индекс],Centrum[Transportation cost per supplier/ 
Cтоимость перевозки по поставщикам],0,0,1)</f>
        <v>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" s="16">
        <f>_xlfn.XLOOKUP(Шаблон_Формулы[[#This Row],[21]],Курс_USD[Дата],Курс_USD[Курс],,0,1)</f>
        <v>12310.04</v>
      </c>
      <c r="W10" s="16">
        <f>Шаблон_Формулы!$T10*Шаблон_Формулы!$V10</f>
        <v>0</v>
      </c>
      <c r="Y10" s="16">
        <f>Шаблон_Формулы!$W10+Шаблон_Формулы!$X10</f>
        <v>0</v>
      </c>
      <c r="Z10" s="14" t="str">
        <f>_xlfn.XLOOKUP($A10,Centrum[Индекс],Centrum[Transport co invoice no/ 
Номер инвойса ТК],"",0,1)</f>
        <v/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/>
      </c>
      <c r="C11" s="11" t="str">
        <f>_xlfn.XLOOKUP($A11,Centrum[Индекс],Centrum[Country /  Страна],"",0,1)</f>
        <v/>
      </c>
      <c r="D11" s="11" t="str">
        <f>_xlfn.XLOOKUP($A11,Centrum[Индекс],Centrum[Container num./ 
№ контейнера],"",0,1)</f>
        <v/>
      </c>
      <c r="E11" s="11" t="str">
        <f>_xlfn.XLOOKUP($A11,Centrum[Индекс],Centrum[Supplier/
Поставщик],"",0,1)</f>
        <v/>
      </c>
      <c r="F11" s="11" t="str">
        <f>_xlfn.XLOOKUP($A11,Centrum[Индекс],Centrum[Shippers invoice no/ 
Номер инвойса поставщика],"",1)</f>
        <v/>
      </c>
      <c r="G11" s="15" t="str">
        <f>_xlfn.XLOOKUP($A11,Centrum[Индекс],Centrum[Invoice value / Стоимость груза в к-ре по инвойсу],"",0,1)</f>
        <v/>
      </c>
      <c r="H11" s="14" t="s">
        <v>40</v>
      </c>
      <c r="I11" s="11" t="str">
        <f>_xlfn.XLOOKUP($A11,Centrum[Индекс],Centrum[CBM on the shipper/ 
CBM по поставщику],"",0,1)</f>
        <v/>
      </c>
      <c r="J11" s="16" t="str">
        <f>_xlfn.XLOOKUP($A11,Centrum[Индекс],Centrum[Gross weight of cont// 
Гросс.вес по конт.],"",0,1)</f>
        <v/>
      </c>
      <c r="K11" s="17" t="str">
        <f>_xlfn.XLOOKUP($A11,Centrum[Индекс],Centrum[Route/ Маршрут (TSR/TCR)],"",0,1)</f>
        <v/>
      </c>
      <c r="L11" s="11" t="str">
        <f>_xlfn.XLOOKUP($A11,Centrum[Индекс],Centrum[Условия поставки],"",0,1)</f>
        <v/>
      </c>
      <c r="M11" s="11" t="str">
        <f>_xlfn.XLOOKUP($A11,Centrum[Индекс],Centrum[№ HBL date / 
№/ дата коносамента],"",0,1)</f>
        <v/>
      </c>
      <c r="N11" s="11" t="str">
        <f>_xlfn.XLOOKUP($A11,Centrum[Индекс],Centrum[№ MBL / 
№/ коносамента],"",0,1)</f>
        <v/>
      </c>
      <c r="O11" s="8" t="e">
        <f>(_xlfn.XLOOKUP($A11,Centrum[Индекс],Centrum[Date on board / Дата погрузки на судно],"",0,1))*1</f>
        <v>#VALUE!</v>
      </c>
      <c r="P11" s="8" t="e">
        <f>(_xlfn.XLOOKUP($A11,Centrum[Индекс],Centrum[Date of arrival to Sary-Agach/ Дата прибытия на Сары-Агач],"",0,1))*1</f>
        <v>#VALUE!</v>
      </c>
      <c r="Q11" s="14" t="str">
        <f>_xlfn.XLOOKUP($A11,Centrum[Индекс],Centrum[Container type/ 
Тип контейнера],"",0,1)</f>
        <v/>
      </c>
      <c r="R11" s="16">
        <f>_xlfn.XLOOKUP($A11,Centrum[Индекс],Centrum[Transportation cost per supplier/ 
Cтоимость перевозки по поставщикам],0,0,1)</f>
        <v>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" s="16">
        <f>_xlfn.XLOOKUP(Шаблон_Формулы[[#This Row],[21]],Курс_USD[Дата],Курс_USD[Курс],,0,1)</f>
        <v>12310.04</v>
      </c>
      <c r="W11" s="16">
        <f>Шаблон_Формулы!$T11*Шаблон_Формулы!$V11</f>
        <v>0</v>
      </c>
      <c r="Y11" s="16">
        <f>Шаблон_Формулы!$W11+Шаблон_Формулы!$X11</f>
        <v>0</v>
      </c>
      <c r="Z11" s="14" t="str">
        <f>_xlfn.XLOOKUP($A11,Centrum[Индекс],Centrum[Transport co invoice no/ 
Номер инвойса ТК],"",0,1)</f>
        <v/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/>
      </c>
      <c r="C12" s="11" t="str">
        <f>_xlfn.XLOOKUP($A12,Centrum[Индекс],Centrum[Country /  Страна],"",0,1)</f>
        <v/>
      </c>
      <c r="D12" s="11" t="str">
        <f>_xlfn.XLOOKUP($A12,Centrum[Индекс],Centrum[Container num./ 
№ контейнера],"",0,1)</f>
        <v/>
      </c>
      <c r="E12" s="11" t="str">
        <f>_xlfn.XLOOKUP($A12,Centrum[Индекс],Centrum[Supplier/
Поставщик],"",0,1)</f>
        <v/>
      </c>
      <c r="F12" s="11" t="str">
        <f>_xlfn.XLOOKUP($A12,Centrum[Индекс],Centrum[Shippers invoice no/ 
Номер инвойса поставщика],"",1)</f>
        <v/>
      </c>
      <c r="G12" s="15" t="str">
        <f>_xlfn.XLOOKUP($A12,Centrum[Индекс],Centrum[Invoice value / Стоимость груза в к-ре по инвойсу],"",0,1)</f>
        <v/>
      </c>
      <c r="H12" s="14" t="s">
        <v>40</v>
      </c>
      <c r="I12" s="11" t="str">
        <f>_xlfn.XLOOKUP($A12,Centrum[Индекс],Centrum[CBM on the shipper/ 
CBM по поставщику],"",0,1)</f>
        <v/>
      </c>
      <c r="J12" s="16" t="str">
        <f>_xlfn.XLOOKUP($A12,Centrum[Индекс],Centrum[Gross weight of cont// 
Гросс.вес по конт.],"",0,1)</f>
        <v/>
      </c>
      <c r="K12" s="17" t="str">
        <f>_xlfn.XLOOKUP($A12,Centrum[Индекс],Centrum[Route/ Маршрут (TSR/TCR)],"",0,1)</f>
        <v/>
      </c>
      <c r="L12" s="11" t="str">
        <f>_xlfn.XLOOKUP($A12,Centrum[Индекс],Centrum[Условия поставки],"",0,1)</f>
        <v/>
      </c>
      <c r="M12" s="11" t="str">
        <f>_xlfn.XLOOKUP($A12,Centrum[Индекс],Centrum[№ HBL date / 
№/ дата коносамента],"",0,1)</f>
        <v/>
      </c>
      <c r="N12" s="11" t="str">
        <f>_xlfn.XLOOKUP($A12,Centrum[Индекс],Centrum[№ MBL / 
№/ коносамента],"",0,1)</f>
        <v/>
      </c>
      <c r="O12" s="8" t="e">
        <f>(_xlfn.XLOOKUP($A12,Centrum[Индекс],Centrum[Date on board / Дата погрузки на судно],"",0,1))*1</f>
        <v>#VALUE!</v>
      </c>
      <c r="P12" s="8" t="e">
        <f>(_xlfn.XLOOKUP($A12,Centrum[Индекс],Centrum[Date of arrival to Sary-Agach/ Дата прибытия на Сары-Агач],"",0,1))*1</f>
        <v>#VALUE!</v>
      </c>
      <c r="Q12" s="14" t="str">
        <f>_xlfn.XLOOKUP($A12,Centrum[Индекс],Centrum[Container type/ 
Тип контейнера],"",0,1)</f>
        <v/>
      </c>
      <c r="R12" s="16">
        <f>_xlfn.XLOOKUP($A12,Centrum[Индекс],Centrum[Transportation cost per supplier/ 
Cтоимость перевозки по поставщикам],0,0,1)</f>
        <v>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" s="16">
        <f>_xlfn.XLOOKUP(Шаблон_Формулы[[#This Row],[21]],Курс_USD[Дата],Курс_USD[Курс],,0,1)</f>
        <v>12310.04</v>
      </c>
      <c r="W12" s="16">
        <f>Шаблон_Формулы!$T12*Шаблон_Формулы!$V12</f>
        <v>0</v>
      </c>
      <c r="Y12" s="16">
        <f>Шаблон_Формулы!$W12+Шаблон_Формулы!$X12</f>
        <v>0</v>
      </c>
      <c r="Z12" s="14" t="str">
        <f>_xlfn.XLOOKUP($A12,Centrum[Индекс],Centrum[Transport co invoice no/ 
Номер инвойса ТК],"",0,1)</f>
        <v/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/>
      </c>
      <c r="C13" s="11" t="str">
        <f>_xlfn.XLOOKUP($A13,Centrum[Индекс],Centrum[Country /  Страна],"",0,1)</f>
        <v/>
      </c>
      <c r="D13" s="11" t="str">
        <f>_xlfn.XLOOKUP($A13,Centrum[Индекс],Centrum[Container num./ 
№ контейнера],"",0,1)</f>
        <v/>
      </c>
      <c r="E13" s="11" t="str">
        <f>_xlfn.XLOOKUP($A13,Centrum[Индекс],Centrum[Supplier/
Поставщик],"",0,1)</f>
        <v/>
      </c>
      <c r="F13" s="11" t="str">
        <f>_xlfn.XLOOKUP($A13,Centrum[Индекс],Centrum[Shippers invoice no/ 
Номер инвойса поставщика],"",1)</f>
        <v/>
      </c>
      <c r="G13" s="15" t="str">
        <f>_xlfn.XLOOKUP($A13,Centrum[Индекс],Centrum[Invoice value / Стоимость груза в к-ре по инвойсу],"",0,1)</f>
        <v/>
      </c>
      <c r="H13" s="14" t="s">
        <v>40</v>
      </c>
      <c r="I13" s="11" t="str">
        <f>_xlfn.XLOOKUP($A13,Centrum[Индекс],Centrum[CBM on the shipper/ 
CBM по поставщику],"",0,1)</f>
        <v/>
      </c>
      <c r="J13" s="16" t="str">
        <f>_xlfn.XLOOKUP($A13,Centrum[Индекс],Centrum[Gross weight of cont// 
Гросс.вес по конт.],"",0,1)</f>
        <v/>
      </c>
      <c r="K13" s="17" t="str">
        <f>_xlfn.XLOOKUP($A13,Centrum[Индекс],Centrum[Route/ Маршрут (TSR/TCR)],"",0,1)</f>
        <v/>
      </c>
      <c r="L13" s="11" t="str">
        <f>_xlfn.XLOOKUP($A13,Centrum[Индекс],Centrum[Условия поставки],"",0,1)</f>
        <v/>
      </c>
      <c r="M13" s="11" t="str">
        <f>_xlfn.XLOOKUP($A13,Centrum[Индекс],Centrum[№ HBL date / 
№/ дата коносамента],"",0,1)</f>
        <v/>
      </c>
      <c r="N13" s="11" t="str">
        <f>_xlfn.XLOOKUP($A13,Centrum[Индекс],Centrum[№ MBL / 
№/ коносамента],"",0,1)</f>
        <v/>
      </c>
      <c r="O13" s="8" t="e">
        <f>(_xlfn.XLOOKUP($A13,Centrum[Индекс],Centrum[Date on board / Дата погрузки на судно],"",0,1))*1</f>
        <v>#VALUE!</v>
      </c>
      <c r="P13" s="8" t="e">
        <f>(_xlfn.XLOOKUP($A13,Centrum[Индекс],Centrum[Date of arrival to Sary-Agach/ Дата прибытия на Сары-Агач],"",0,1))*1</f>
        <v>#VALUE!</v>
      </c>
      <c r="Q13" s="14" t="str">
        <f>_xlfn.XLOOKUP($A13,Centrum[Индекс],Centrum[Container type/ 
Тип контейнера],"",0,1)</f>
        <v/>
      </c>
      <c r="R13" s="16">
        <f>_xlfn.XLOOKUP($A13,Centrum[Индекс],Centrum[Transportation cost per supplier/ 
Cтоимость перевозки по поставщикам],0,0,1)</f>
        <v>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" s="16">
        <f>_xlfn.XLOOKUP(Шаблон_Формулы[[#This Row],[21]],Курс_USD[Дата],Курс_USD[Курс],,0,1)</f>
        <v>12310.04</v>
      </c>
      <c r="W13" s="16">
        <f>Шаблон_Формулы!$T13*Шаблон_Формулы!$V13</f>
        <v>0</v>
      </c>
      <c r="Y13" s="16">
        <f>Шаблон_Формулы!$W13+Шаблон_Формулы!$X13</f>
        <v>0</v>
      </c>
      <c r="Z13" s="14" t="str">
        <f>_xlfn.XLOOKUP($A13,Centrum[Индекс],Centrum[Transport co invoice no/ 
Номер инвойса ТК],"",0,1)</f>
        <v/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/>
      </c>
      <c r="C14" s="11" t="str">
        <f>_xlfn.XLOOKUP($A14,Centrum[Индекс],Centrum[Country /  Страна],"",0,1)</f>
        <v/>
      </c>
      <c r="D14" s="11" t="str">
        <f>_xlfn.XLOOKUP($A14,Centrum[Индекс],Centrum[Container num./ 
№ контейнера],"",0,1)</f>
        <v/>
      </c>
      <c r="E14" s="11" t="str">
        <f>_xlfn.XLOOKUP($A14,Centrum[Индекс],Centrum[Supplier/
Поставщик],"",0,1)</f>
        <v/>
      </c>
      <c r="F14" s="11" t="str">
        <f>_xlfn.XLOOKUP($A14,Centrum[Индекс],Centrum[Shippers invoice no/ 
Номер инвойса поставщика],"",1)</f>
        <v/>
      </c>
      <c r="G14" s="15" t="str">
        <f>_xlfn.XLOOKUP($A14,Centrum[Индекс],Centrum[Invoice value / Стоимость груза в к-ре по инвойсу],"",0,1)</f>
        <v/>
      </c>
      <c r="H14" s="14" t="s">
        <v>40</v>
      </c>
      <c r="I14" s="11" t="str">
        <f>_xlfn.XLOOKUP($A14,Centrum[Индекс],Centrum[CBM on the shipper/ 
CBM по поставщику],"",0,1)</f>
        <v/>
      </c>
      <c r="J14" s="16" t="str">
        <f>_xlfn.XLOOKUP($A14,Centrum[Индекс],Centrum[Gross weight of cont// 
Гросс.вес по конт.],"",0,1)</f>
        <v/>
      </c>
      <c r="K14" s="17" t="str">
        <f>_xlfn.XLOOKUP($A14,Centrum[Индекс],Centrum[Route/ Маршрут (TSR/TCR)],"",0,1)</f>
        <v/>
      </c>
      <c r="L14" s="11" t="str">
        <f>_xlfn.XLOOKUP($A14,Centrum[Индекс],Centrum[Условия поставки],"",0,1)</f>
        <v/>
      </c>
      <c r="M14" s="11" t="str">
        <f>_xlfn.XLOOKUP($A14,Centrum[Индекс],Centrum[№ HBL date / 
№/ дата коносамента],"",0,1)</f>
        <v/>
      </c>
      <c r="N14" s="11" t="str">
        <f>_xlfn.XLOOKUP($A14,Centrum[Индекс],Centrum[№ MBL / 
№/ коносамента],"",0,1)</f>
        <v/>
      </c>
      <c r="O14" s="8" t="e">
        <f>(_xlfn.XLOOKUP($A14,Centrum[Индекс],Centrum[Date on board / Дата погрузки на судно],"",0,1))*1</f>
        <v>#VALUE!</v>
      </c>
      <c r="P14" s="8" t="e">
        <f>(_xlfn.XLOOKUP($A14,Centrum[Индекс],Centrum[Date of arrival to Sary-Agach/ Дата прибытия на Сары-Агач],"",0,1))*1</f>
        <v>#VALUE!</v>
      </c>
      <c r="Q14" s="14" t="str">
        <f>_xlfn.XLOOKUP($A14,Centrum[Индекс],Centrum[Container type/ 
Тип контейнера],"",0,1)</f>
        <v/>
      </c>
      <c r="R14" s="16">
        <f>_xlfn.XLOOKUP($A14,Centrum[Индекс],Centrum[Transportation cost per supplier/ 
Cтоимость перевозки по поставщикам],0,0,1)</f>
        <v>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" s="16">
        <f>_xlfn.XLOOKUP(Шаблон_Формулы[[#This Row],[21]],Курс_USD[Дата],Курс_USD[Курс],,0,1)</f>
        <v>12310.04</v>
      </c>
      <c r="W14" s="16">
        <f>Шаблон_Формулы!$T14*Шаблон_Формулы!$V14</f>
        <v>0</v>
      </c>
      <c r="Y14" s="16">
        <f>Шаблон_Формулы!$W14+Шаблон_Формулы!$X14</f>
        <v>0</v>
      </c>
      <c r="Z14" s="14" t="str">
        <f>_xlfn.XLOOKUP($A14,Centrum[Индекс],Centrum[Transport co invoice no/ 
Номер инвойса ТК],"",0,1)</f>
        <v/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5" s="16">
        <f>_xlfn.XLOOKUP(Шаблон_Формулы[[#This Row],[21]],Курс_USD[Дата],Курс_USD[Курс],,0,1)</f>
        <v>12310.04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6" s="16">
        <f>_xlfn.XLOOKUP(Шаблон_Формулы[[#This Row],[21]],Курс_USD[Дата],Курс_USD[Курс],,0,1)</f>
        <v>12310.04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7" s="16">
        <f>_xlfn.XLOOKUP(Шаблон_Формулы[[#This Row],[21]],Курс_USD[Дата],Курс_USD[Курс],,0,1)</f>
        <v>12310.04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8" s="16">
        <f>_xlfn.XLOOKUP(Шаблон_Формулы[[#This Row],[21]],Курс_USD[Дата],Курс_USD[Курс],,0,1)</f>
        <v>12310.04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9" s="16">
        <f>_xlfn.XLOOKUP(Шаблон_Формулы[[#This Row],[21]],Курс_USD[Дата],Курс_USD[Курс],,0,1)</f>
        <v>12310.04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0" s="16">
        <f>_xlfn.XLOOKUP(Шаблон_Формулы[[#This Row],[21]],Курс_USD[Дата],Курс_USD[Курс],,0,1)</f>
        <v>12310.04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1" s="16">
        <f>_xlfn.XLOOKUP(Шаблон_Формулы[[#This Row],[21]],Курс_USD[Дата],Курс_USD[Курс],,0,1)</f>
        <v>12310.04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2" s="16">
        <f>_xlfn.XLOOKUP(Шаблон_Формулы[[#This Row],[21]],Курс_USD[Дата],Курс_USD[Курс],,0,1)</f>
        <v>12310.04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3" s="16">
        <f>_xlfn.XLOOKUP(Шаблон_Формулы[[#This Row],[21]],Курс_USD[Дата],Курс_USD[Курс],,0,1)</f>
        <v>12310.04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4" s="16">
        <f>_xlfn.XLOOKUP(Шаблон_Формулы[[#This Row],[21]],Курс_USD[Дата],Курс_USD[Курс],,0,1)</f>
        <v>12310.04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5" s="16">
        <f>_xlfn.XLOOKUP(Шаблон_Формулы[[#This Row],[21]],Курс_USD[Дата],Курс_USD[Курс],,0,1)</f>
        <v>12310.04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6" s="16">
        <f>_xlfn.XLOOKUP(Шаблон_Формулы[[#This Row],[21]],Курс_USD[Дата],Курс_USD[Курс],,0,1)</f>
        <v>12310.04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7" s="16">
        <f>_xlfn.XLOOKUP(Шаблон_Формулы[[#This Row],[21]],Курс_USD[Дата],Курс_USD[Курс],,0,1)</f>
        <v>12310.04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8" s="16">
        <f>_xlfn.XLOOKUP(Шаблон_Формулы[[#This Row],[21]],Курс_USD[Дата],Курс_USD[Курс],,0,1)</f>
        <v>12310.04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29" s="16">
        <f>_xlfn.XLOOKUP(Шаблон_Формулы[[#This Row],[21]],Курс_USD[Дата],Курс_USD[Курс],,0,1)</f>
        <v>12310.04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0" s="16">
        <f>_xlfn.XLOOKUP(Шаблон_Формулы[[#This Row],[21]],Курс_USD[Дата],Курс_USD[Курс],,0,1)</f>
        <v>12310.04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1" s="16">
        <f>_xlfn.XLOOKUP(Шаблон_Формулы[[#This Row],[21]],Курс_USD[Дата],Курс_USD[Курс],,0,1)</f>
        <v>12310.04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2" s="16">
        <f>_xlfn.XLOOKUP(Шаблон_Формулы[[#This Row],[21]],Курс_USD[Дата],Курс_USD[Курс],,0,1)</f>
        <v>12310.04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3" s="16">
        <f>_xlfn.XLOOKUP(Шаблон_Формулы[[#This Row],[21]],Курс_USD[Дата],Курс_USD[Курс],,0,1)</f>
        <v>12310.04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4" s="16">
        <f>_xlfn.XLOOKUP(Шаблон_Формулы[[#This Row],[21]],Курс_USD[Дата],Курс_USD[Курс],,0,1)</f>
        <v>12310.04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5" s="16">
        <f>_xlfn.XLOOKUP(Шаблон_Формулы[[#This Row],[21]],Курс_USD[Дата],Курс_USD[Курс],,0,1)</f>
        <v>12310.04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6" s="16">
        <f>_xlfn.XLOOKUP(Шаблон_Формулы[[#This Row],[21]],Курс_USD[Дата],Курс_USD[Курс],,0,1)</f>
        <v>12310.04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7" s="16">
        <f>_xlfn.XLOOKUP(Шаблон_Формулы[[#This Row],[21]],Курс_USD[Дата],Курс_USD[Курс],,0,1)</f>
        <v>12310.04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8" s="16">
        <f>_xlfn.XLOOKUP(Шаблон_Формулы[[#This Row],[21]],Курс_USD[Дата],Курс_USD[Курс],,0,1)</f>
        <v>12310.04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39" s="16">
        <f>_xlfn.XLOOKUP(Шаблон_Формулы[[#This Row],[21]],Курс_USD[Дата],Курс_USD[Курс],,0,1)</f>
        <v>12310.04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0" s="16">
        <f>_xlfn.XLOOKUP(Шаблон_Формулы[[#This Row],[21]],Курс_USD[Дата],Курс_USD[Курс],,0,1)</f>
        <v>12310.04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1" s="16">
        <f>_xlfn.XLOOKUP(Шаблон_Формулы[[#This Row],[21]],Курс_USD[Дата],Курс_USD[Курс],,0,1)</f>
        <v>12310.04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2" s="16">
        <f>_xlfn.XLOOKUP(Шаблон_Формулы[[#This Row],[21]],Курс_USD[Дата],Курс_USD[Курс],,0,1)</f>
        <v>12310.04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3" s="16">
        <f>_xlfn.XLOOKUP(Шаблон_Формулы[[#This Row],[21]],Курс_USD[Дата],Курс_USD[Курс],,0,1)</f>
        <v>12310.04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4" s="16">
        <f>_xlfn.XLOOKUP(Шаблон_Формулы[[#This Row],[21]],Курс_USD[Дата],Курс_USD[Курс],,0,1)</f>
        <v>12310.04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5" s="16">
        <f>_xlfn.XLOOKUP(Шаблон_Формулы[[#This Row],[21]],Курс_USD[Дата],Курс_USD[Курс],,0,1)</f>
        <v>12310.04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6" s="16">
        <f>_xlfn.XLOOKUP(Шаблон_Формулы[[#This Row],[21]],Курс_USD[Дата],Курс_USD[Курс],,0,1)</f>
        <v>12310.04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7" s="16">
        <f>_xlfn.XLOOKUP(Шаблон_Формулы[[#This Row],[21]],Курс_USD[Дата],Курс_USD[Курс],,0,1)</f>
        <v>12310.04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8" s="16">
        <f>_xlfn.XLOOKUP(Шаблон_Формулы[[#This Row],[21]],Курс_USD[Дата],Курс_USD[Курс],,0,1)</f>
        <v>12310.04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49" s="16">
        <f>_xlfn.XLOOKUP(Шаблон_Формулы[[#This Row],[21]],Курс_USD[Дата],Курс_USD[Курс],,0,1)</f>
        <v>12310.04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0" s="16">
        <f>_xlfn.XLOOKUP(Шаблон_Формулы[[#This Row],[21]],Курс_USD[Дата],Курс_USD[Курс],,0,1)</f>
        <v>12310.04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1" s="16">
        <f>_xlfn.XLOOKUP(Шаблон_Формулы[[#This Row],[21]],Курс_USD[Дата],Курс_USD[Курс],,0,1)</f>
        <v>12310.04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2" s="16">
        <f>_xlfn.XLOOKUP(Шаблон_Формулы[[#This Row],[21]],Курс_USD[Дата],Курс_USD[Курс],,0,1)</f>
        <v>12310.04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3" s="16">
        <f>_xlfn.XLOOKUP(Шаблон_Формулы[[#This Row],[21]],Курс_USD[Дата],Курс_USD[Курс],,0,1)</f>
        <v>12310.04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4" s="16">
        <f>_xlfn.XLOOKUP(Шаблон_Формулы[[#This Row],[21]],Курс_USD[Дата],Курс_USD[Курс],,0,1)</f>
        <v>12310.04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5" s="16">
        <f>_xlfn.XLOOKUP(Шаблон_Формулы[[#This Row],[21]],Курс_USD[Дата],Курс_USD[Курс],,0,1)</f>
        <v>12310.04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6" s="16">
        <f>_xlfn.XLOOKUP(Шаблон_Формулы[[#This Row],[21]],Курс_USD[Дата],Курс_USD[Курс],,0,1)</f>
        <v>12310.04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7" s="16">
        <f>_xlfn.XLOOKUP(Шаблон_Формулы[[#This Row],[21]],Курс_USD[Дата],Курс_USD[Курс],,0,1)</f>
        <v>12310.04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8" s="16">
        <f>_xlfn.XLOOKUP(Шаблон_Формулы[[#This Row],[21]],Курс_USD[Дата],Курс_USD[Курс],,0,1)</f>
        <v>12310.04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59" s="16">
        <f>_xlfn.XLOOKUP(Шаблон_Формулы[[#This Row],[21]],Курс_USD[Дата],Курс_USD[Курс],,0,1)</f>
        <v>12310.04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0" s="16">
        <f>_xlfn.XLOOKUP(Шаблон_Формулы[[#This Row],[21]],Курс_USD[Дата],Курс_USD[Курс],,0,1)</f>
        <v>12310.04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1" s="16">
        <f>_xlfn.XLOOKUP(Шаблон_Формулы[[#This Row],[21]],Курс_USD[Дата],Курс_USD[Курс],,0,1)</f>
        <v>12310.04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2" s="16">
        <f>_xlfn.XLOOKUP(Шаблон_Формулы[[#This Row],[21]],Курс_USD[Дата],Курс_USD[Курс],,0,1)</f>
        <v>12310.04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3" s="16">
        <f>_xlfn.XLOOKUP(Шаблон_Формулы[[#This Row],[21]],Курс_USD[Дата],Курс_USD[Курс],,0,1)</f>
        <v>12310.04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4" s="16">
        <f>_xlfn.XLOOKUP(Шаблон_Формулы[[#This Row],[21]],Курс_USD[Дата],Курс_USD[Курс],,0,1)</f>
        <v>12310.04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5" s="16">
        <f>_xlfn.XLOOKUP(Шаблон_Формулы[[#This Row],[21]],Курс_USD[Дата],Курс_USD[Курс],,0,1)</f>
        <v>12310.04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6" s="16">
        <f>_xlfn.XLOOKUP(Шаблон_Формулы[[#This Row],[21]],Курс_USD[Дата],Курс_USD[Курс],,0,1)</f>
        <v>12310.04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7" s="16">
        <f>_xlfn.XLOOKUP(Шаблон_Формулы[[#This Row],[21]],Курс_USD[Дата],Курс_USD[Курс],,0,1)</f>
        <v>12310.04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8" s="16">
        <f>_xlfn.XLOOKUP(Шаблон_Формулы[[#This Row],[21]],Курс_USD[Дата],Курс_USD[Курс],,0,1)</f>
        <v>12310.04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69" s="16">
        <f>_xlfn.XLOOKUP(Шаблон_Формулы[[#This Row],[21]],Курс_USD[Дата],Курс_USD[Курс],,0,1)</f>
        <v>12310.04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0" s="16">
        <f>_xlfn.XLOOKUP(Шаблон_Формулы[[#This Row],[21]],Курс_USD[Дата],Курс_USD[Курс],,0,1)</f>
        <v>12310.04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1" s="16">
        <f>_xlfn.XLOOKUP(Шаблон_Формулы[[#This Row],[21]],Курс_USD[Дата],Курс_USD[Курс],,0,1)</f>
        <v>12310.04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2" s="16">
        <f>_xlfn.XLOOKUP(Шаблон_Формулы[[#This Row],[21]],Курс_USD[Дата],Курс_USD[Курс],,0,1)</f>
        <v>12310.04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3" s="16">
        <f>_xlfn.XLOOKUP(Шаблон_Формулы[[#This Row],[21]],Курс_USD[Дата],Курс_USD[Курс],,0,1)</f>
        <v>12310.04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4" s="16">
        <f>_xlfn.XLOOKUP(Шаблон_Формулы[[#This Row],[21]],Курс_USD[Дата],Курс_USD[Курс],,0,1)</f>
        <v>12310.04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5" s="16">
        <f>_xlfn.XLOOKUP(Шаблон_Формулы[[#This Row],[21]],Курс_USD[Дата],Курс_USD[Курс],,0,1)</f>
        <v>12310.04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6" s="16">
        <f>_xlfn.XLOOKUP(Шаблон_Формулы[[#This Row],[21]],Курс_USD[Дата],Курс_USD[Курс],,0,1)</f>
        <v>12310.04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7" s="16">
        <f>_xlfn.XLOOKUP(Шаблон_Формулы[[#This Row],[21]],Курс_USD[Дата],Курс_USD[Курс],,0,1)</f>
        <v>12310.04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8" s="16">
        <f>_xlfn.XLOOKUP(Шаблон_Формулы[[#This Row],[21]],Курс_USD[Дата],Курс_USD[Курс],,0,1)</f>
        <v>12310.04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79" s="16">
        <f>_xlfn.XLOOKUP(Шаблон_Формулы[[#This Row],[21]],Курс_USD[Дата],Курс_USD[Курс],,0,1)</f>
        <v>12310.04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0" s="16">
        <f>_xlfn.XLOOKUP(Шаблон_Формулы[[#This Row],[21]],Курс_USD[Дата],Курс_USD[Курс],,0,1)</f>
        <v>12310.04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1" s="16">
        <f>_xlfn.XLOOKUP(Шаблон_Формулы[[#This Row],[21]],Курс_USD[Дата],Курс_USD[Курс],,0,1)</f>
        <v>12310.04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2" s="16">
        <f>_xlfn.XLOOKUP(Шаблон_Формулы[[#This Row],[21]],Курс_USD[Дата],Курс_USD[Курс],,0,1)</f>
        <v>12310.04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3" s="16">
        <f>_xlfn.XLOOKUP(Шаблон_Формулы[[#This Row],[21]],Курс_USD[Дата],Курс_USD[Курс],,0,1)</f>
        <v>12310.04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4" s="16">
        <f>_xlfn.XLOOKUP(Шаблон_Формулы[[#This Row],[21]],Курс_USD[Дата],Курс_USD[Курс],,0,1)</f>
        <v>12310.04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5" s="16">
        <f>_xlfn.XLOOKUP(Шаблон_Формулы[[#This Row],[21]],Курс_USD[Дата],Курс_USD[Курс],,0,1)</f>
        <v>12310.04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6" s="16">
        <f>_xlfn.XLOOKUP(Шаблон_Формулы[[#This Row],[21]],Курс_USD[Дата],Курс_USD[Курс],,0,1)</f>
        <v>12310.04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7" s="16">
        <f>_xlfn.XLOOKUP(Шаблон_Формулы[[#This Row],[21]],Курс_USD[Дата],Курс_USD[Курс],,0,1)</f>
        <v>12310.04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8" s="16">
        <f>_xlfn.XLOOKUP(Шаблон_Формулы[[#This Row],[21]],Курс_USD[Дата],Курс_USD[Курс],,0,1)</f>
        <v>12310.04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89" s="16">
        <f>_xlfn.XLOOKUP(Шаблон_Формулы[[#This Row],[21]],Курс_USD[Дата],Курс_USD[Курс],,0,1)</f>
        <v>12310.04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0" s="16">
        <f>_xlfn.XLOOKUP(Шаблон_Формулы[[#This Row],[21]],Курс_USD[Дата],Курс_USD[Курс],,0,1)</f>
        <v>12310.04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1" s="16">
        <f>_xlfn.XLOOKUP(Шаблон_Формулы[[#This Row],[21]],Курс_USD[Дата],Курс_USD[Курс],,0,1)</f>
        <v>12310.04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2" s="16">
        <f>_xlfn.XLOOKUP(Шаблон_Формулы[[#This Row],[21]],Курс_USD[Дата],Курс_USD[Курс],,0,1)</f>
        <v>12310.04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3" s="16">
        <f>_xlfn.XLOOKUP(Шаблон_Формулы[[#This Row],[21]],Курс_USD[Дата],Курс_USD[Курс],,0,1)</f>
        <v>12310.04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4" s="16">
        <f>_xlfn.XLOOKUP(Шаблон_Формулы[[#This Row],[21]],Курс_USD[Дата],Курс_USD[Курс],,0,1)</f>
        <v>12310.04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5" s="16">
        <f>_xlfn.XLOOKUP(Шаблон_Формулы[[#This Row],[21]],Курс_USD[Дата],Курс_USD[Курс],,0,1)</f>
        <v>12310.04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6" s="16">
        <f>_xlfn.XLOOKUP(Шаблон_Формулы[[#This Row],[21]],Курс_USD[Дата],Курс_USD[Курс],,0,1)</f>
        <v>12310.04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7" s="16">
        <f>_xlfn.XLOOKUP(Шаблон_Формулы[[#This Row],[21]],Курс_USD[Дата],Курс_USD[Курс],,0,1)</f>
        <v>12310.04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8" s="16">
        <f>_xlfn.XLOOKUP(Шаблон_Формулы[[#This Row],[21]],Курс_USD[Дата],Курс_USD[Курс],,0,1)</f>
        <v>12310.04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99" s="16">
        <f>_xlfn.XLOOKUP(Шаблон_Формулы[[#This Row],[21]],Курс_USD[Дата],Курс_USD[Курс],,0,1)</f>
        <v>12310.04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0" s="16">
        <f>_xlfn.XLOOKUP(Шаблон_Формулы[[#This Row],[21]],Курс_USD[Дата],Курс_USD[Курс],,0,1)</f>
        <v>12310.04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1" s="16">
        <f>_xlfn.XLOOKUP(Шаблон_Формулы[[#This Row],[21]],Курс_USD[Дата],Курс_USD[Курс],,0,1)</f>
        <v>12310.04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2" s="16">
        <f>_xlfn.XLOOKUP(Шаблон_Формулы[[#This Row],[21]],Курс_USD[Дата],Курс_USD[Курс],,0,1)</f>
        <v>12310.04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3" s="16">
        <f>_xlfn.XLOOKUP(Шаблон_Формулы[[#This Row],[21]],Курс_USD[Дата],Курс_USD[Курс],,0,1)</f>
        <v>12310.04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4" s="16">
        <f>_xlfn.XLOOKUP(Шаблон_Формулы[[#This Row],[21]],Курс_USD[Дата],Курс_USD[Курс],,0,1)</f>
        <v>12310.04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5" s="16">
        <f>_xlfn.XLOOKUP(Шаблон_Формулы[[#This Row],[21]],Курс_USD[Дата],Курс_USD[Курс],,0,1)</f>
        <v>12310.04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6" s="16">
        <f>_xlfn.XLOOKUP(Шаблон_Формулы[[#This Row],[21]],Курс_USD[Дата],Курс_USD[Курс],,0,1)</f>
        <v>12310.04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7" s="16">
        <f>_xlfn.XLOOKUP(Шаблон_Формулы[[#This Row],[21]],Курс_USD[Дата],Курс_USD[Курс],,0,1)</f>
        <v>12310.04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8" s="16">
        <f>_xlfn.XLOOKUP(Шаблон_Формулы[[#This Row],[21]],Курс_USD[Дата],Курс_USD[Курс],,0,1)</f>
        <v>12310.04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09" s="16">
        <f>_xlfn.XLOOKUP(Шаблон_Формулы[[#This Row],[21]],Курс_USD[Дата],Курс_USD[Курс],,0,1)</f>
        <v>12310.04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0" s="16">
        <f>_xlfn.XLOOKUP(Шаблон_Формулы[[#This Row],[21]],Курс_USD[Дата],Курс_USD[Курс],,0,1)</f>
        <v>12310.04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1" s="16">
        <f>_xlfn.XLOOKUP(Шаблон_Формулы[[#This Row],[21]],Курс_USD[Дата],Курс_USD[Курс],,0,1)</f>
        <v>12310.04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2" s="16">
        <f>_xlfn.XLOOKUP(Шаблон_Формулы[[#This Row],[21]],Курс_USD[Дата],Курс_USD[Курс],,0,1)</f>
        <v>12310.04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3" s="16">
        <f>_xlfn.XLOOKUP(Шаблон_Формулы[[#This Row],[21]],Курс_USD[Дата],Курс_USD[Курс],,0,1)</f>
        <v>12310.04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4" s="16">
        <f>_xlfn.XLOOKUP(Шаблон_Формулы[[#This Row],[21]],Курс_USD[Дата],Курс_USD[Курс],,0,1)</f>
        <v>12310.04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5" s="16">
        <f>_xlfn.XLOOKUP(Шаблон_Формулы[[#This Row],[21]],Курс_USD[Дата],Курс_USD[Курс],,0,1)</f>
        <v>12310.04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6" s="16">
        <f>_xlfn.XLOOKUP(Шаблон_Формулы[[#This Row],[21]],Курс_USD[Дата],Курс_USD[Курс],,0,1)</f>
        <v>12310.04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7" s="16">
        <f>_xlfn.XLOOKUP(Шаблон_Формулы[[#This Row],[21]],Курс_USD[Дата],Курс_USD[Курс],,0,1)</f>
        <v>12310.04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8" s="16">
        <f>_xlfn.XLOOKUP(Шаблон_Формулы[[#This Row],[21]],Курс_USD[Дата],Курс_USD[Курс],,0,1)</f>
        <v>12310.04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19" s="16">
        <f>_xlfn.XLOOKUP(Шаблон_Формулы[[#This Row],[21]],Курс_USD[Дата],Курс_USD[Курс],,0,1)</f>
        <v>12310.04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0" s="16">
        <f>_xlfn.XLOOKUP(Шаблон_Формулы[[#This Row],[21]],Курс_USD[Дата],Курс_USD[Курс],,0,1)</f>
        <v>12310.04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1" s="16">
        <f>_xlfn.XLOOKUP(Шаблон_Формулы[[#This Row],[21]],Курс_USD[Дата],Курс_USD[Курс],,0,1)</f>
        <v>12310.04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2" s="16">
        <f>_xlfn.XLOOKUP(Шаблон_Формулы[[#This Row],[21]],Курс_USD[Дата],Курс_USD[Курс],,0,1)</f>
        <v>12310.04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3" s="16">
        <f>_xlfn.XLOOKUP(Шаблон_Формулы[[#This Row],[21]],Курс_USD[Дата],Курс_USD[Курс],,0,1)</f>
        <v>12310.04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4" s="16">
        <f>_xlfn.XLOOKUP(Шаблон_Формулы[[#This Row],[21]],Курс_USD[Дата],Курс_USD[Курс],,0,1)</f>
        <v>12310.04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5" s="16">
        <f>_xlfn.XLOOKUP(Шаблон_Формулы[[#This Row],[21]],Курс_USD[Дата],Курс_USD[Курс],,0,1)</f>
        <v>12310.04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6" s="16">
        <f>_xlfn.XLOOKUP(Шаблон_Формулы[[#This Row],[21]],Курс_USD[Дата],Курс_USD[Курс],,0,1)</f>
        <v>12310.04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7" s="16">
        <f>_xlfn.XLOOKUP(Шаблон_Формулы[[#This Row],[21]],Курс_USD[Дата],Курс_USD[Курс],,0,1)</f>
        <v>12310.04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8" s="16">
        <f>_xlfn.XLOOKUP(Шаблон_Формулы[[#This Row],[21]],Курс_USD[Дата],Курс_USD[Курс],,0,1)</f>
        <v>12310.04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29" s="16">
        <f>_xlfn.XLOOKUP(Шаблон_Формулы[[#This Row],[21]],Курс_USD[Дата],Курс_USD[Курс],,0,1)</f>
        <v>12310.04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0" s="16">
        <f>_xlfn.XLOOKUP(Шаблон_Формулы[[#This Row],[21]],Курс_USD[Дата],Курс_USD[Курс],,0,1)</f>
        <v>12310.04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1" s="16">
        <f>_xlfn.XLOOKUP(Шаблон_Формулы[[#This Row],[21]],Курс_USD[Дата],Курс_USD[Курс],,0,1)</f>
        <v>12310.04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2" s="16">
        <f>_xlfn.XLOOKUP(Шаблон_Формулы[[#This Row],[21]],Курс_USD[Дата],Курс_USD[Курс],,0,1)</f>
        <v>12310.04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3" s="16">
        <f>_xlfn.XLOOKUP(Шаблон_Формулы[[#This Row],[21]],Курс_USD[Дата],Курс_USD[Курс],,0,1)</f>
        <v>12310.04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4" s="16">
        <f>_xlfn.XLOOKUP(Шаблон_Формулы[[#This Row],[21]],Курс_USD[Дата],Курс_USD[Курс],,0,1)</f>
        <v>12310.04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5" s="16">
        <f>_xlfn.XLOOKUP(Шаблон_Формулы[[#This Row],[21]],Курс_USD[Дата],Курс_USD[Курс],,0,1)</f>
        <v>12310.04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6" s="16">
        <f>_xlfn.XLOOKUP(Шаблон_Формулы[[#This Row],[21]],Курс_USD[Дата],Курс_USD[Курс],,0,1)</f>
        <v>12310.04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7" s="16">
        <f>_xlfn.XLOOKUP(Шаблон_Формулы[[#This Row],[21]],Курс_USD[Дата],Курс_USD[Курс],,0,1)</f>
        <v>12310.04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8" s="16">
        <f>_xlfn.XLOOKUP(Шаблон_Формулы[[#This Row],[21]],Курс_USD[Дата],Курс_USD[Курс],,0,1)</f>
        <v>12310.04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39" s="16">
        <f>_xlfn.XLOOKUP(Шаблон_Формулы[[#This Row],[21]],Курс_USD[Дата],Курс_USD[Курс],,0,1)</f>
        <v>12310.04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0" s="16">
        <f>_xlfn.XLOOKUP(Шаблон_Формулы[[#This Row],[21]],Курс_USD[Дата],Курс_USD[Курс],,0,1)</f>
        <v>12310.04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1" s="16">
        <f>_xlfn.XLOOKUP(Шаблон_Формулы[[#This Row],[21]],Курс_USD[Дата],Курс_USD[Курс],,0,1)</f>
        <v>12310.04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2" s="16">
        <f>_xlfn.XLOOKUP(Шаблон_Формулы[[#This Row],[21]],Курс_USD[Дата],Курс_USD[Курс],,0,1)</f>
        <v>12310.04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3" s="16">
        <f>_xlfn.XLOOKUP(Шаблон_Формулы[[#This Row],[21]],Курс_USD[Дата],Курс_USD[Курс],,0,1)</f>
        <v>12310.04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4" s="16">
        <f>_xlfn.XLOOKUP(Шаблон_Формулы[[#This Row],[21]],Курс_USD[Дата],Курс_USD[Курс],,0,1)</f>
        <v>12310.04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5" s="16">
        <f>_xlfn.XLOOKUP(Шаблон_Формулы[[#This Row],[21]],Курс_USD[Дата],Курс_USD[Курс],,0,1)</f>
        <v>12310.04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6" s="16">
        <f>_xlfn.XLOOKUP(Шаблон_Формулы[[#This Row],[21]],Курс_USD[Дата],Курс_USD[Курс],,0,1)</f>
        <v>12310.04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7" s="16">
        <f>_xlfn.XLOOKUP(Шаблон_Формулы[[#This Row],[21]],Курс_USD[Дата],Курс_USD[Курс],,0,1)</f>
        <v>12310.04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8" s="16">
        <f>_xlfn.XLOOKUP(Шаблон_Формулы[[#This Row],[21]],Курс_USD[Дата],Курс_USD[Курс],,0,1)</f>
        <v>12310.04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49" s="16">
        <f>_xlfn.XLOOKUP(Шаблон_Формулы[[#This Row],[21]],Курс_USD[Дата],Курс_USD[Курс],,0,1)</f>
        <v>12310.04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50" s="16">
        <f>_xlfn.XLOOKUP(Шаблон_Формулы[[#This Row],[21]],Курс_USD[Дата],Курс_USD[Курс],,0,1)</f>
        <v>12310.04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51" s="16">
        <f>_xlfn.XLOOKUP(Шаблон_Формулы[[#This Row],[21]],Курс_USD[Дата],Курс_USD[Курс],,0,1)</f>
        <v>12310.04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52" s="16">
        <f>_xlfn.XLOOKUP(Шаблон_Формулы[[#This Row],[21]],Курс_USD[Дата],Курс_USD[Курс],,0,1)</f>
        <v>12310.04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53" s="16">
        <f>_xlfn.XLOOKUP(Шаблон_Формулы[[#This Row],[21]],Курс_USD[Дата],Курс_USD[Курс],,0,1)</f>
        <v>12310.04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45258</v>
      </c>
      <c r="V154" s="16">
        <f>_xlfn.XLOOKUP(Шаблон_Формулы[[#This Row],[21]],Курс_USD[Дата],Курс_USD[Курс],,0,1)</f>
        <v>12310.04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2023-11-28T10:49:56Z</dcterms:modified>
</cp:coreProperties>
</file>