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z.radjabmukhamedov\Desktop\"/>
    </mc:Choice>
  </mc:AlternateContent>
  <xr:revisionPtr revIDLastSave="0" documentId="8_{2762A97B-A11D-4580-85FD-A609F2AF9E6B}" xr6:coauthVersionLast="47" xr6:coauthVersionMax="47" xr10:uidLastSave="{00000000-0000-0000-0000-000000000000}"/>
  <bookViews>
    <workbookView xWindow="-57708" yWindow="-1008" windowWidth="29016" windowHeight="15696" xr2:uid="{00000000-000D-0000-FFFF-FFFF00000000}"/>
  </bookViews>
  <sheets>
    <sheet name="Лист1" sheetId="8" r:id="rId1"/>
    <sheet name="FTL Rates" sheetId="10" r:id="rId2"/>
    <sheet name="Add.fees" sheetId="11" r:id="rId3"/>
    <sheet name="ACT" sheetId="4" state="hidden" r:id="rId4"/>
    <sheet name="Шаблон_Формулы" sheetId="5" state="hidden" r:id="rId5"/>
    <sheet name="Лист2" sheetId="2" state="hidden" r:id="rId6"/>
  </sheets>
  <externalReferences>
    <externalReference r:id="rId7"/>
  </externalReferences>
  <definedNames>
    <definedName name="_xlnm._FilterDatabase" localSheetId="1" hidden="1">'FTL Rates'!$A$4:$I$183</definedName>
    <definedName name="Country">[1]LISTS!$C$2:$C$234</definedName>
    <definedName name="CurrencyCode">'[1]CURRENCY CODE'!$A$2:$A$51</definedName>
    <definedName name="ExternalData_1" localSheetId="3" hidden="1">ACT!$A$1:$AC$116</definedName>
    <definedName name="ExternalData_1" localSheetId="0" hidden="1">Лист1!$A$2:$AA$78</definedName>
    <definedName name="Mode">[1]LISTS!$A$2:$A$5</definedName>
    <definedName name="Rate">#REF!</definedName>
    <definedName name="Region">[1]LISTS!$D$2:$D$5</definedName>
    <definedName name="ServiceType">[1]LISTS!$B$2:$B$8</definedName>
    <definedName name="SRC">#REF!</definedName>
    <definedName name="_xlnm.Print_Titles" localSheetId="1">'FTL Rates'!$4:$5</definedName>
    <definedName name="_xlnm.Print_Area" localSheetId="1">'FTL Rates'!$A$1:$I$96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4" i="8" l="1"/>
  <c r="Z6" i="8"/>
  <c r="Z7" i="8"/>
  <c r="Z8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Z33" i="8"/>
  <c r="Z34" i="8"/>
  <c r="Z35" i="8"/>
  <c r="Z36" i="8"/>
  <c r="Z37" i="8"/>
  <c r="Z38" i="8"/>
  <c r="Z39" i="8"/>
  <c r="Z40" i="8"/>
  <c r="Z41" i="8"/>
  <c r="Z42" i="8"/>
  <c r="Z43" i="8"/>
  <c r="Z44" i="8"/>
  <c r="Z45" i="8"/>
  <c r="Z46" i="8"/>
  <c r="Z47" i="8"/>
  <c r="Z48" i="8"/>
  <c r="Z49" i="8"/>
  <c r="Z50" i="8"/>
  <c r="Z51" i="8"/>
  <c r="Z52" i="8"/>
  <c r="Z53" i="8"/>
  <c r="Z54" i="8"/>
  <c r="Z55" i="8"/>
  <c r="Z56" i="8"/>
  <c r="Z57" i="8"/>
  <c r="Z58" i="8"/>
  <c r="Z59" i="8"/>
  <c r="Z60" i="8"/>
  <c r="Z61" i="8"/>
  <c r="Z62" i="8"/>
  <c r="Z63" i="8"/>
  <c r="Z64" i="8"/>
  <c r="Z65" i="8"/>
  <c r="Z66" i="8"/>
  <c r="Z67" i="8"/>
  <c r="Z68" i="8"/>
  <c r="Z69" i="8"/>
  <c r="Z70" i="8"/>
  <c r="Z71" i="8"/>
  <c r="Z72" i="8"/>
  <c r="Z73" i="8"/>
  <c r="Z74" i="8"/>
  <c r="Z75" i="8"/>
  <c r="Z76" i="8"/>
  <c r="Z77" i="8"/>
  <c r="Z78" i="8"/>
  <c r="Z5" i="8"/>
  <c r="W4" i="8"/>
  <c r="F12" i="11" l="1"/>
  <c r="F13" i="11" s="1"/>
  <c r="E12" i="11"/>
  <c r="M166" i="10"/>
  <c r="O166" i="10" s="1"/>
  <c r="O165" i="10"/>
  <c r="M165" i="10"/>
  <c r="M164" i="10"/>
  <c r="O164" i="10" s="1"/>
  <c r="M163" i="10"/>
  <c r="O163" i="10" s="1"/>
  <c r="M162" i="10"/>
  <c r="O162" i="10" s="1"/>
  <c r="M161" i="10"/>
  <c r="O161" i="10" s="1"/>
  <c r="M160" i="10"/>
  <c r="O160" i="10" s="1"/>
  <c r="O159" i="10"/>
  <c r="M159" i="10"/>
  <c r="M158" i="10"/>
  <c r="O158" i="10" s="1"/>
  <c r="M157" i="10"/>
  <c r="O157" i="10" s="1"/>
  <c r="M156" i="10"/>
  <c r="O156" i="10" s="1"/>
  <c r="M155" i="10"/>
  <c r="O155" i="10" s="1"/>
  <c r="M154" i="10"/>
  <c r="O154" i="10" s="1"/>
  <c r="O153" i="10"/>
  <c r="M153" i="10"/>
  <c r="M152" i="10"/>
  <c r="O152" i="10" s="1"/>
  <c r="M151" i="10"/>
  <c r="O151" i="10" s="1"/>
  <c r="M150" i="10"/>
  <c r="O150" i="10" s="1"/>
  <c r="M149" i="10"/>
  <c r="O149" i="10" s="1"/>
  <c r="M148" i="10"/>
  <c r="O148" i="10" s="1"/>
  <c r="O147" i="10"/>
  <c r="M147" i="10"/>
  <c r="M146" i="10"/>
  <c r="O146" i="10" s="1"/>
  <c r="M145" i="10"/>
  <c r="O145" i="10" s="1"/>
  <c r="M144" i="10"/>
  <c r="O144" i="10" s="1"/>
  <c r="M143" i="10"/>
  <c r="O143" i="10" s="1"/>
  <c r="M142" i="10"/>
  <c r="O142" i="10" s="1"/>
  <c r="O141" i="10"/>
  <c r="M141" i="10"/>
  <c r="M140" i="10"/>
  <c r="O140" i="10" s="1"/>
  <c r="M139" i="10"/>
  <c r="O139" i="10" s="1"/>
  <c r="M138" i="10"/>
  <c r="O138" i="10" s="1"/>
  <c r="M137" i="10"/>
  <c r="O137" i="10" s="1"/>
  <c r="M136" i="10"/>
  <c r="O136" i="10" s="1"/>
  <c r="O135" i="10"/>
  <c r="M135" i="10"/>
  <c r="M134" i="10"/>
  <c r="O134" i="10" s="1"/>
  <c r="M133" i="10"/>
  <c r="O133" i="10" s="1"/>
  <c r="M132" i="10"/>
  <c r="O132" i="10" s="1"/>
  <c r="M131" i="10"/>
  <c r="O131" i="10" s="1"/>
  <c r="M130" i="10"/>
  <c r="O130" i="10" s="1"/>
  <c r="O129" i="10"/>
  <c r="M129" i="10"/>
  <c r="M128" i="10"/>
  <c r="O128" i="10" s="1"/>
  <c r="M127" i="10"/>
  <c r="O127" i="10" s="1"/>
  <c r="M126" i="10"/>
  <c r="O126" i="10" s="1"/>
  <c r="M125" i="10"/>
  <c r="O125" i="10" s="1"/>
  <c r="M124" i="10"/>
  <c r="O124" i="10" s="1"/>
  <c r="O123" i="10"/>
  <c r="M123" i="10"/>
  <c r="M122" i="10"/>
  <c r="O122" i="10" s="1"/>
  <c r="M121" i="10"/>
  <c r="O121" i="10" s="1"/>
  <c r="M120" i="10"/>
  <c r="O120" i="10" s="1"/>
  <c r="M119" i="10"/>
  <c r="O119" i="10" s="1"/>
  <c r="M118" i="10"/>
  <c r="O118" i="10" s="1"/>
  <c r="O117" i="10"/>
  <c r="M117" i="10"/>
  <c r="M116" i="10"/>
  <c r="O116" i="10" s="1"/>
  <c r="M115" i="10"/>
  <c r="O115" i="10" s="1"/>
  <c r="M114" i="10"/>
  <c r="O114" i="10" s="1"/>
  <c r="M113" i="10"/>
  <c r="O113" i="10" s="1"/>
  <c r="M112" i="10"/>
  <c r="O112" i="10" s="1"/>
  <c r="O111" i="10"/>
  <c r="M111" i="10"/>
  <c r="M110" i="10"/>
  <c r="O110" i="10" s="1"/>
  <c r="M109" i="10"/>
  <c r="O109" i="10" s="1"/>
  <c r="M108" i="10"/>
  <c r="O108" i="10" s="1"/>
  <c r="M107" i="10"/>
  <c r="O107" i="10" s="1"/>
  <c r="M106" i="10"/>
  <c r="O106" i="10" s="1"/>
  <c r="O105" i="10"/>
  <c r="M105" i="10"/>
  <c r="M104" i="10"/>
  <c r="O104" i="10" s="1"/>
  <c r="M103" i="10"/>
  <c r="O103" i="10" s="1"/>
  <c r="M102" i="10"/>
  <c r="O102" i="10" s="1"/>
  <c r="M101" i="10"/>
  <c r="O101" i="10" s="1"/>
  <c r="M100" i="10"/>
  <c r="O100" i="10" s="1"/>
  <c r="O99" i="10"/>
  <c r="M99" i="10"/>
  <c r="M98" i="10"/>
  <c r="O98" i="10" s="1"/>
  <c r="M97" i="10"/>
  <c r="O97" i="10" s="1"/>
  <c r="M96" i="10"/>
  <c r="O96" i="10" s="1"/>
  <c r="O95" i="10"/>
  <c r="O94" i="10"/>
  <c r="O93" i="10"/>
  <c r="O92" i="10"/>
  <c r="O91" i="10"/>
  <c r="O90" i="10"/>
  <c r="O89" i="10"/>
  <c r="O88" i="10"/>
  <c r="O87" i="10"/>
  <c r="O86" i="10"/>
  <c r="O85" i="10"/>
  <c r="O84" i="10"/>
  <c r="O83" i="10"/>
  <c r="O82" i="10"/>
  <c r="O81" i="10"/>
  <c r="O80" i="10"/>
  <c r="O79" i="10"/>
  <c r="O78" i="10"/>
  <c r="O77" i="10"/>
  <c r="O76" i="10"/>
  <c r="O75" i="10"/>
  <c r="O74" i="10"/>
  <c r="O73" i="10"/>
  <c r="O72" i="10"/>
  <c r="O71" i="10"/>
  <c r="O70" i="10"/>
  <c r="O69" i="10"/>
  <c r="O68" i="10"/>
  <c r="O67" i="10"/>
  <c r="O66" i="10"/>
  <c r="O65" i="10"/>
  <c r="O64" i="10"/>
  <c r="O63" i="10"/>
  <c r="O62" i="10"/>
  <c r="O61" i="10"/>
  <c r="O60" i="10"/>
  <c r="O59" i="10"/>
  <c r="O58" i="10"/>
  <c r="O57" i="10"/>
  <c r="O56" i="10"/>
  <c r="O55" i="10"/>
  <c r="O54" i="10"/>
  <c r="O53" i="10"/>
  <c r="O52" i="10"/>
  <c r="O51" i="10"/>
  <c r="O50" i="10"/>
  <c r="O49" i="10"/>
  <c r="O48" i="10"/>
  <c r="O47" i="10"/>
  <c r="O46" i="10"/>
  <c r="O45" i="10"/>
  <c r="O44" i="10"/>
  <c r="O43" i="10"/>
  <c r="O42" i="10"/>
  <c r="O41" i="10"/>
  <c r="O40" i="10"/>
  <c r="O39" i="10"/>
  <c r="O38" i="10"/>
  <c r="O37" i="10"/>
  <c r="O36" i="10"/>
  <c r="O35" i="10"/>
  <c r="O34" i="10"/>
  <c r="O33" i="10"/>
  <c r="O32" i="10"/>
  <c r="O31" i="10"/>
  <c r="O30" i="10"/>
  <c r="O29" i="10"/>
  <c r="O28" i="10"/>
  <c r="O27" i="10"/>
  <c r="O26" i="10"/>
  <c r="O25" i="10"/>
  <c r="O24" i="10"/>
  <c r="O23" i="10"/>
  <c r="O22" i="10"/>
  <c r="O21" i="10"/>
  <c r="O20" i="10"/>
  <c r="O19" i="10"/>
  <c r="O18" i="10"/>
  <c r="O17" i="10"/>
  <c r="O16" i="10"/>
  <c r="O15" i="10"/>
  <c r="O14" i="10"/>
  <c r="O13" i="10"/>
  <c r="O12" i="10"/>
  <c r="O11" i="10"/>
  <c r="O10" i="10"/>
  <c r="O9" i="10"/>
  <c r="O8" i="10"/>
  <c r="O7" i="10"/>
  <c r="O6" i="10"/>
  <c r="G24" i="5" a="1"/>
  <c r="G24" i="5" s="1"/>
  <c r="G6" i="5" a="1"/>
  <c r="G6" i="5" s="1"/>
  <c r="G7" i="5" a="1"/>
  <c r="G7" i="5" s="1"/>
  <c r="G8" i="5" a="1"/>
  <c r="G8" i="5" s="1"/>
  <c r="G9" i="5" a="1"/>
  <c r="G9" i="5" s="1"/>
  <c r="G10" i="5" a="1"/>
  <c r="G10" i="5" s="1"/>
  <c r="G11" i="5" a="1"/>
  <c r="G11" i="5" s="1"/>
  <c r="G12" i="5" a="1"/>
  <c r="G12" i="5" s="1"/>
  <c r="G13" i="5" a="1"/>
  <c r="G13" i="5" s="1"/>
  <c r="G14" i="5" a="1"/>
  <c r="G14" i="5" s="1"/>
  <c r="G15" i="5" a="1"/>
  <c r="G15" i="5" s="1"/>
  <c r="G16" i="5" a="1"/>
  <c r="G16" i="5" s="1"/>
  <c r="G17" i="5" a="1"/>
  <c r="G17" i="5" s="1"/>
  <c r="G18" i="5" a="1"/>
  <c r="G18" i="5" s="1"/>
  <c r="G19" i="5" a="1"/>
  <c r="G19" i="5" s="1"/>
  <c r="G20" i="5" a="1"/>
  <c r="G20" i="5" s="1"/>
  <c r="G21" i="5" a="1"/>
  <c r="G21" i="5" s="1"/>
  <c r="G22" i="5" a="1"/>
  <c r="G22" i="5" s="1"/>
  <c r="G23" i="5" a="1"/>
  <c r="G23" i="5" s="1"/>
  <c r="G25" i="5" a="1"/>
  <c r="G25" i="5" s="1"/>
  <c r="G26" i="5" a="1"/>
  <c r="G26" i="5" s="1"/>
  <c r="G27" i="5" a="1"/>
  <c r="G27" i="5" s="1"/>
  <c r="G28" i="5" a="1"/>
  <c r="G28" i="5" s="1"/>
  <c r="G29" i="5" a="1"/>
  <c r="G29" i="5" s="1"/>
  <c r="G30" i="5" a="1"/>
  <c r="G30" i="5" s="1"/>
  <c r="G31" i="5" a="1"/>
  <c r="G31" i="5" s="1"/>
  <c r="G32" i="5" a="1"/>
  <c r="G32" i="5" s="1"/>
  <c r="G33" i="5" a="1"/>
  <c r="G33" i="5" s="1"/>
  <c r="G34" i="5" a="1"/>
  <c r="G34" i="5" s="1"/>
  <c r="G35" i="5" a="1"/>
  <c r="G35" i="5" s="1"/>
  <c r="G36" i="5" a="1"/>
  <c r="G36" i="5" s="1"/>
  <c r="G37" i="5" a="1"/>
  <c r="G37" i="5" s="1"/>
  <c r="G38" i="5" a="1"/>
  <c r="G38" i="5" s="1"/>
  <c r="G39" i="5" a="1"/>
  <c r="G39" i="5" s="1"/>
  <c r="G40" i="5" a="1"/>
  <c r="G40" i="5" s="1"/>
  <c r="G41" i="5" a="1"/>
  <c r="G41" i="5" s="1"/>
  <c r="G42" i="5" a="1"/>
  <c r="G42" i="5" s="1"/>
  <c r="G43" i="5" a="1"/>
  <c r="G43" i="5" s="1"/>
  <c r="G44" i="5" a="1"/>
  <c r="G44" i="5" s="1"/>
  <c r="G45" i="5" a="1"/>
  <c r="G45" i="5" s="1"/>
  <c r="G46" i="5" a="1"/>
  <c r="G46" i="5" s="1"/>
  <c r="G47" i="5" a="1"/>
  <c r="G47" i="5" s="1"/>
  <c r="G48" i="5" a="1"/>
  <c r="G48" i="5" s="1"/>
  <c r="G49" i="5" a="1"/>
  <c r="G49" i="5" s="1"/>
  <c r="G50" i="5" a="1"/>
  <c r="G50" i="5" s="1"/>
  <c r="G51" i="5" a="1"/>
  <c r="G51" i="5" s="1"/>
  <c r="G52" i="5" a="1"/>
  <c r="G52" i="5" s="1"/>
  <c r="G53" i="5" a="1"/>
  <c r="G53" i="5" s="1"/>
  <c r="G54" i="5" a="1"/>
  <c r="G54" i="5" s="1"/>
  <c r="G55" i="5" a="1"/>
  <c r="G55" i="5" s="1"/>
  <c r="G56" i="5" a="1"/>
  <c r="G56" i="5" s="1"/>
  <c r="G57" i="5" a="1"/>
  <c r="G57" i="5" s="1"/>
  <c r="G58" i="5" a="1"/>
  <c r="G58" i="5" s="1"/>
  <c r="G59" i="5" a="1"/>
  <c r="G59" i="5" s="1"/>
  <c r="G60" i="5" a="1"/>
  <c r="G60" i="5" s="1"/>
  <c r="G61" i="5" a="1"/>
  <c r="G61" i="5" s="1"/>
  <c r="G62" i="5" a="1"/>
  <c r="G62" i="5" s="1"/>
  <c r="G63" i="5" a="1"/>
  <c r="G63" i="5" s="1"/>
  <c r="G64" i="5" a="1"/>
  <c r="G64" i="5" s="1"/>
  <c r="G65" i="5" a="1"/>
  <c r="G65" i="5" s="1"/>
  <c r="G66" i="5" a="1"/>
  <c r="G66" i="5" s="1"/>
  <c r="G67" i="5" a="1"/>
  <c r="G67" i="5" s="1"/>
  <c r="G68" i="5" a="1"/>
  <c r="G68" i="5" s="1"/>
  <c r="G69" i="5" a="1"/>
  <c r="G69" i="5" s="1"/>
  <c r="G70" i="5" a="1"/>
  <c r="G70" i="5" s="1"/>
  <c r="G71" i="5" a="1"/>
  <c r="G71" i="5" s="1"/>
  <c r="G72" i="5" a="1"/>
  <c r="G72" i="5" s="1"/>
  <c r="G73" i="5" a="1"/>
  <c r="G73" i="5" s="1"/>
  <c r="G74" i="5" a="1"/>
  <c r="G74" i="5" s="1"/>
  <c r="G75" i="5" a="1"/>
  <c r="G75" i="5" s="1"/>
  <c r="G76" i="5" a="1"/>
  <c r="G76" i="5" s="1"/>
  <c r="G77" i="5" a="1"/>
  <c r="G77" i="5" s="1"/>
  <c r="G78" i="5" a="1"/>
  <c r="G78" i="5" s="1"/>
  <c r="G79" i="5" a="1"/>
  <c r="G79" i="5" s="1"/>
  <c r="G80" i="5" a="1"/>
  <c r="G80" i="5" s="1"/>
  <c r="G81" i="5" a="1"/>
  <c r="G81" i="5" s="1"/>
  <c r="G82" i="5" a="1"/>
  <c r="G82" i="5" s="1"/>
  <c r="G83" i="5" a="1"/>
  <c r="G83" i="5" s="1"/>
  <c r="G84" i="5" a="1"/>
  <c r="G84" i="5" s="1"/>
  <c r="G85" i="5" a="1"/>
  <c r="G85" i="5" s="1"/>
  <c r="G86" i="5" a="1"/>
  <c r="G86" i="5" s="1"/>
  <c r="G87" i="5" a="1"/>
  <c r="G87" i="5" s="1"/>
  <c r="G88" i="5" a="1"/>
  <c r="G88" i="5" s="1"/>
  <c r="G89" i="5" a="1"/>
  <c r="G89" i="5" s="1"/>
  <c r="G90" i="5" a="1"/>
  <c r="G90" i="5" s="1"/>
  <c r="G91" i="5" a="1"/>
  <c r="G91" i="5" s="1"/>
  <c r="G92" i="5" a="1"/>
  <c r="G92" i="5" s="1"/>
  <c r="G93" i="5" a="1"/>
  <c r="G93" i="5" s="1"/>
  <c r="G94" i="5" a="1"/>
  <c r="G94" i="5" s="1"/>
  <c r="G95" i="5" a="1"/>
  <c r="G95" i="5"/>
  <c r="G96" i="5" a="1"/>
  <c r="G96" i="5" s="1"/>
  <c r="G97" i="5" a="1"/>
  <c r="G97" i="5" s="1"/>
  <c r="G98" i="5" a="1"/>
  <c r="G98" i="5" s="1"/>
  <c r="G99" i="5" a="1"/>
  <c r="G99" i="5" s="1"/>
  <c r="G100" i="5" a="1"/>
  <c r="G100" i="5" s="1"/>
  <c r="G101" i="5" a="1"/>
  <c r="G101" i="5" s="1"/>
  <c r="G102" i="5" a="1"/>
  <c r="G102" i="5" s="1"/>
  <c r="G103" i="5" a="1"/>
  <c r="G103" i="5" s="1"/>
  <c r="G104" i="5" a="1"/>
  <c r="G104" i="5" s="1"/>
  <c r="G105" i="5" a="1"/>
  <c r="G105" i="5" s="1"/>
  <c r="G106" i="5" a="1"/>
  <c r="G106" i="5" s="1"/>
  <c r="G107" i="5" a="1"/>
  <c r="G107" i="5" s="1"/>
  <c r="G108" i="5" a="1"/>
  <c r="G108" i="5" s="1"/>
  <c r="G109" i="5" a="1"/>
  <c r="G109" i="5" s="1"/>
  <c r="G110" i="5" a="1"/>
  <c r="G110" i="5" s="1"/>
  <c r="G111" i="5" a="1"/>
  <c r="G111" i="5" s="1"/>
  <c r="G112" i="5" a="1"/>
  <c r="G112" i="5" s="1"/>
  <c r="G113" i="5" a="1"/>
  <c r="G113" i="5" s="1"/>
  <c r="G114" i="5" a="1"/>
  <c r="G114" i="5" s="1"/>
  <c r="G115" i="5" a="1"/>
  <c r="G115" i="5" s="1"/>
  <c r="G116" i="5" a="1"/>
  <c r="G116" i="5" s="1"/>
  <c r="G117" i="5" a="1"/>
  <c r="G117" i="5" s="1"/>
  <c r="G118" i="5" a="1"/>
  <c r="G118" i="5" s="1"/>
  <c r="G119" i="5" a="1"/>
  <c r="G119" i="5" s="1"/>
  <c r="G120" i="5" a="1"/>
  <c r="G120" i="5" s="1"/>
  <c r="G121" i="5" a="1"/>
  <c r="G121" i="5" s="1"/>
  <c r="G122" i="5" a="1"/>
  <c r="G122" i="5" s="1"/>
  <c r="G123" i="5" a="1"/>
  <c r="G123" i="5" s="1"/>
  <c r="G124" i="5" a="1"/>
  <c r="G124" i="5" s="1"/>
  <c r="G125" i="5" a="1"/>
  <c r="G125" i="5" s="1"/>
  <c r="G126" i="5" a="1"/>
  <c r="G126" i="5" s="1"/>
  <c r="G127" i="5" a="1"/>
  <c r="G127" i="5" s="1"/>
  <c r="G128" i="5" a="1"/>
  <c r="G128" i="5" s="1"/>
  <c r="G129" i="5" a="1"/>
  <c r="G129" i="5" s="1"/>
  <c r="G130" i="5" a="1"/>
  <c r="G130" i="5" s="1"/>
  <c r="G131" i="5" a="1"/>
  <c r="G131" i="5" s="1"/>
  <c r="G132" i="5" a="1"/>
  <c r="G132" i="5" s="1"/>
  <c r="G133" i="5" a="1"/>
  <c r="G133" i="5" s="1"/>
  <c r="G134" i="5" a="1"/>
  <c r="G134" i="5" s="1"/>
  <c r="G135" i="5" a="1"/>
  <c r="G135" i="5" s="1"/>
  <c r="G136" i="5" a="1"/>
  <c r="G136" i="5" s="1"/>
  <c r="G137" i="5" a="1"/>
  <c r="G137" i="5" s="1"/>
  <c r="G138" i="5" a="1"/>
  <c r="G138" i="5" s="1"/>
  <c r="G139" i="5" a="1"/>
  <c r="G139" i="5" s="1"/>
  <c r="G140" i="5" a="1"/>
  <c r="G140" i="5" s="1"/>
  <c r="G141" i="5" a="1"/>
  <c r="G141" i="5" s="1"/>
  <c r="G142" i="5" a="1"/>
  <c r="G142" i="5" s="1"/>
  <c r="G143" i="5" a="1"/>
  <c r="G143" i="5" s="1"/>
  <c r="G144" i="5" a="1"/>
  <c r="G144" i="5" s="1"/>
  <c r="G145" i="5" a="1"/>
  <c r="G145" i="5" s="1"/>
  <c r="G146" i="5" a="1"/>
  <c r="G146" i="5" s="1"/>
  <c r="G147" i="5" a="1"/>
  <c r="G147" i="5" s="1"/>
  <c r="G148" i="5" a="1"/>
  <c r="G148" i="5" s="1"/>
  <c r="G149" i="5" a="1"/>
  <c r="G149" i="5"/>
  <c r="G150" i="5" a="1"/>
  <c r="G150" i="5" s="1"/>
  <c r="G151" i="5" a="1"/>
  <c r="G151" i="5" s="1"/>
  <c r="G152" i="5" a="1"/>
  <c r="G152" i="5" s="1"/>
  <c r="G153" i="5" a="1"/>
  <c r="G153" i="5" s="1"/>
  <c r="G154" i="5" a="1"/>
  <c r="G154" i="5" s="1"/>
  <c r="G5" i="5" a="1"/>
  <c r="G5" i="5" s="1"/>
  <c r="X154" i="5" a="1"/>
  <c r="X154" i="5" s="1"/>
  <c r="Y154" i="5" s="1"/>
  <c r="X153" i="5" a="1"/>
  <c r="X153" i="5" s="1"/>
  <c r="Y153" i="5" s="1"/>
  <c r="X152" i="5" a="1"/>
  <c r="X152" i="5" s="1"/>
  <c r="Y152" i="5" s="1"/>
  <c r="X151" i="5" a="1"/>
  <c r="X151" i="5" s="1"/>
  <c r="Y151" i="5" s="1"/>
  <c r="X150" i="5" a="1"/>
  <c r="X150" i="5" s="1"/>
  <c r="Y150" i="5" s="1"/>
  <c r="X149" i="5" a="1"/>
  <c r="X149" i="5" s="1"/>
  <c r="Y149" i="5" s="1"/>
  <c r="X148" i="5" a="1"/>
  <c r="X148" i="5" s="1"/>
  <c r="Y148" i="5" s="1"/>
  <c r="X147" i="5" a="1"/>
  <c r="X147" i="5" s="1"/>
  <c r="Y147" i="5" s="1"/>
  <c r="X146" i="5" a="1"/>
  <c r="X146" i="5" s="1"/>
  <c r="Y146" i="5" s="1"/>
  <c r="X145" i="5" a="1"/>
  <c r="X145" i="5" s="1"/>
  <c r="Y145" i="5" s="1"/>
  <c r="X144" i="5" a="1"/>
  <c r="X144" i="5" s="1"/>
  <c r="Y144" i="5" s="1"/>
  <c r="X143" i="5" a="1"/>
  <c r="X143" i="5" s="1"/>
  <c r="Y143" i="5" s="1"/>
  <c r="X142" i="5" a="1"/>
  <c r="X142" i="5" s="1"/>
  <c r="Y142" i="5" s="1"/>
  <c r="X141" i="5" a="1"/>
  <c r="X141" i="5" s="1"/>
  <c r="Y141" i="5" s="1"/>
  <c r="X140" i="5" a="1"/>
  <c r="X140" i="5" s="1"/>
  <c r="Y140" i="5" s="1"/>
  <c r="X139" i="5" a="1"/>
  <c r="X139" i="5" s="1"/>
  <c r="Y139" i="5" s="1"/>
  <c r="X138" i="5" a="1"/>
  <c r="X138" i="5" s="1"/>
  <c r="Y138" i="5" s="1"/>
  <c r="X137" i="5" a="1"/>
  <c r="X137" i="5" s="1"/>
  <c r="Y137" i="5" s="1"/>
  <c r="X136" i="5" a="1"/>
  <c r="X136" i="5" s="1"/>
  <c r="Y136" i="5" s="1"/>
  <c r="X135" i="5" a="1"/>
  <c r="X135" i="5" s="1"/>
  <c r="Y135" i="5" s="1"/>
  <c r="X134" i="5" a="1"/>
  <c r="X134" i="5" s="1"/>
  <c r="Y134" i="5" s="1"/>
  <c r="X133" i="5" a="1"/>
  <c r="X133" i="5" s="1"/>
  <c r="Y133" i="5" s="1"/>
  <c r="X132" i="5" a="1"/>
  <c r="X132" i="5" s="1"/>
  <c r="Y132" i="5" s="1"/>
  <c r="X131" i="5" a="1"/>
  <c r="X131" i="5" s="1"/>
  <c r="Y131" i="5" s="1"/>
  <c r="X130" i="5" a="1"/>
  <c r="X130" i="5" s="1"/>
  <c r="Y130" i="5" s="1"/>
  <c r="X129" i="5" a="1"/>
  <c r="X129" i="5" s="1"/>
  <c r="Y129" i="5" s="1"/>
  <c r="X128" i="5" a="1"/>
  <c r="X128" i="5" s="1"/>
  <c r="Y128" i="5" s="1"/>
  <c r="X127" i="5" a="1"/>
  <c r="X127" i="5" s="1"/>
  <c r="Y127" i="5" s="1"/>
  <c r="X126" i="5" a="1"/>
  <c r="X126" i="5" s="1"/>
  <c r="Y126" i="5" s="1"/>
  <c r="X125" i="5" a="1"/>
  <c r="X125" i="5" s="1"/>
  <c r="Y125" i="5" s="1"/>
  <c r="X124" i="5" a="1"/>
  <c r="X124" i="5" s="1"/>
  <c r="Y124" i="5" s="1"/>
  <c r="X123" i="5" a="1"/>
  <c r="X123" i="5" s="1"/>
  <c r="Y123" i="5" s="1"/>
  <c r="X122" i="5" a="1"/>
  <c r="X122" i="5" s="1"/>
  <c r="Y122" i="5" s="1"/>
  <c r="X121" i="5" a="1"/>
  <c r="X121" i="5" s="1"/>
  <c r="Y121" i="5" s="1"/>
  <c r="X120" i="5" a="1"/>
  <c r="X120" i="5" s="1"/>
  <c r="Y120" i="5" s="1"/>
  <c r="X119" i="5" a="1"/>
  <c r="X119" i="5" s="1"/>
  <c r="Y119" i="5" s="1"/>
  <c r="X118" i="5" a="1"/>
  <c r="X118" i="5" s="1"/>
  <c r="Y118" i="5" s="1"/>
  <c r="X117" i="5" a="1"/>
  <c r="X117" i="5" s="1"/>
  <c r="Y117" i="5" s="1"/>
  <c r="X116" i="5" a="1"/>
  <c r="X116" i="5" s="1"/>
  <c r="Y116" i="5" s="1"/>
  <c r="X115" i="5" a="1"/>
  <c r="X115" i="5" s="1"/>
  <c r="Y115" i="5" s="1"/>
  <c r="X114" i="5" a="1"/>
  <c r="X114" i="5" s="1"/>
  <c r="Y114" i="5" s="1"/>
  <c r="X113" i="5" a="1"/>
  <c r="X113" i="5" s="1"/>
  <c r="Y113" i="5" s="1"/>
  <c r="X112" i="5" a="1"/>
  <c r="X112" i="5" s="1"/>
  <c r="Y112" i="5" s="1"/>
  <c r="X111" i="5" a="1"/>
  <c r="X111" i="5" s="1"/>
  <c r="Y111" i="5" s="1"/>
  <c r="X110" i="5" a="1"/>
  <c r="X110" i="5" s="1"/>
  <c r="Y110" i="5" s="1"/>
  <c r="X109" i="5" a="1"/>
  <c r="X109" i="5" s="1"/>
  <c r="Y109" i="5" s="1"/>
  <c r="X108" i="5" a="1"/>
  <c r="X108" i="5" s="1"/>
  <c r="Y108" i="5" s="1"/>
  <c r="X107" i="5" a="1"/>
  <c r="X107" i="5" s="1"/>
  <c r="Y107" i="5" s="1"/>
  <c r="X106" i="5" a="1"/>
  <c r="X106" i="5" s="1"/>
  <c r="Y106" i="5" s="1"/>
  <c r="X105" i="5" a="1"/>
  <c r="X105" i="5" s="1"/>
  <c r="Y105" i="5" s="1"/>
  <c r="X104" i="5" a="1"/>
  <c r="X104" i="5" s="1"/>
  <c r="Y104" i="5" s="1"/>
  <c r="X103" i="5" a="1"/>
  <c r="X103" i="5" s="1"/>
  <c r="Y103" i="5" s="1"/>
  <c r="X102" i="5" a="1"/>
  <c r="X102" i="5" s="1"/>
  <c r="Y102" i="5" s="1"/>
  <c r="X101" i="5" a="1"/>
  <c r="X101" i="5" s="1"/>
  <c r="Y101" i="5" s="1"/>
  <c r="X100" i="5" a="1"/>
  <c r="X100" i="5" s="1"/>
  <c r="Y100" i="5" s="1"/>
  <c r="X99" i="5" a="1"/>
  <c r="X99" i="5" s="1"/>
  <c r="Y99" i="5" s="1"/>
  <c r="X98" i="5" a="1"/>
  <c r="X98" i="5" s="1"/>
  <c r="Y98" i="5" s="1"/>
  <c r="X97" i="5" a="1"/>
  <c r="X97" i="5" s="1"/>
  <c r="Y97" i="5" s="1"/>
  <c r="X96" i="5" a="1"/>
  <c r="X96" i="5" s="1"/>
  <c r="Y96" i="5" s="1"/>
  <c r="X95" i="5" a="1"/>
  <c r="X95" i="5" s="1"/>
  <c r="Y95" i="5" s="1"/>
  <c r="X94" i="5" a="1"/>
  <c r="X94" i="5" s="1"/>
  <c r="Y94" i="5" s="1"/>
  <c r="X93" i="5" a="1"/>
  <c r="X93" i="5" s="1"/>
  <c r="Y93" i="5" s="1"/>
  <c r="X92" i="5" a="1"/>
  <c r="X92" i="5" s="1"/>
  <c r="Y92" i="5" s="1"/>
  <c r="X91" i="5" a="1"/>
  <c r="X91" i="5" s="1"/>
  <c r="Y91" i="5" s="1"/>
  <c r="X90" i="5" a="1"/>
  <c r="X90" i="5" s="1"/>
  <c r="Y90" i="5" s="1"/>
  <c r="X89" i="5" a="1"/>
  <c r="X89" i="5" s="1"/>
  <c r="Y89" i="5" s="1"/>
  <c r="X88" i="5" a="1"/>
  <c r="X88" i="5" s="1"/>
  <c r="Y88" i="5" s="1"/>
  <c r="X87" i="5" a="1"/>
  <c r="X87" i="5" s="1"/>
  <c r="Y87" i="5" s="1"/>
  <c r="X86" i="5" a="1"/>
  <c r="X86" i="5" s="1"/>
  <c r="Y86" i="5" s="1"/>
  <c r="X85" i="5" a="1"/>
  <c r="X85" i="5" s="1"/>
  <c r="Y85" i="5" s="1"/>
  <c r="X84" i="5" a="1"/>
  <c r="X84" i="5" s="1"/>
  <c r="Y84" i="5" s="1"/>
  <c r="X83" i="5" a="1"/>
  <c r="X83" i="5" s="1"/>
  <c r="Y83" i="5" s="1"/>
  <c r="X82" i="5" a="1"/>
  <c r="X82" i="5" s="1"/>
  <c r="Y82" i="5" s="1"/>
  <c r="X81" i="5" a="1"/>
  <c r="X81" i="5" s="1"/>
  <c r="Y81" i="5" s="1"/>
  <c r="X80" i="5" a="1"/>
  <c r="X80" i="5" s="1"/>
  <c r="Y80" i="5" s="1"/>
  <c r="X79" i="5" a="1"/>
  <c r="X79" i="5" s="1"/>
  <c r="Y79" i="5" s="1"/>
  <c r="X78" i="5" a="1"/>
  <c r="X78" i="5" s="1"/>
  <c r="Y78" i="5" s="1"/>
  <c r="X77" i="5" a="1"/>
  <c r="X77" i="5" s="1"/>
  <c r="Y77" i="5" s="1"/>
  <c r="X76" i="5" a="1"/>
  <c r="X76" i="5" s="1"/>
  <c r="Y76" i="5" s="1"/>
  <c r="X75" i="5" a="1"/>
  <c r="X75" i="5" s="1"/>
  <c r="Y75" i="5" s="1"/>
  <c r="X74" i="5" a="1"/>
  <c r="X74" i="5" s="1"/>
  <c r="Y74" i="5" s="1"/>
  <c r="X73" i="5" a="1"/>
  <c r="X73" i="5" s="1"/>
  <c r="Y73" i="5" s="1"/>
  <c r="X72" i="5" a="1"/>
  <c r="X72" i="5" s="1"/>
  <c r="Y72" i="5" s="1"/>
  <c r="X71" i="5" a="1"/>
  <c r="X71" i="5" s="1"/>
  <c r="Y71" i="5" s="1"/>
  <c r="X70" i="5" a="1"/>
  <c r="X70" i="5" s="1"/>
  <c r="Y70" i="5" s="1"/>
  <c r="X69" i="5" a="1"/>
  <c r="X69" i="5" s="1"/>
  <c r="Y69" i="5" s="1"/>
  <c r="X68" i="5" a="1"/>
  <c r="X68" i="5" s="1"/>
  <c r="Y68" i="5" s="1"/>
  <c r="X67" i="5" a="1"/>
  <c r="X67" i="5" s="1"/>
  <c r="Y67" i="5" s="1"/>
  <c r="X66" i="5" a="1"/>
  <c r="X66" i="5" s="1"/>
  <c r="Y66" i="5" s="1"/>
  <c r="X65" i="5" a="1"/>
  <c r="X65" i="5" s="1"/>
  <c r="Y65" i="5" s="1"/>
  <c r="X64" i="5" a="1"/>
  <c r="X64" i="5" s="1"/>
  <c r="Y64" i="5" s="1"/>
  <c r="X63" i="5" a="1"/>
  <c r="X63" i="5" s="1"/>
  <c r="Y63" i="5" s="1"/>
  <c r="X62" i="5" a="1"/>
  <c r="X62" i="5" s="1"/>
  <c r="Y62" i="5" s="1"/>
  <c r="X61" i="5" a="1"/>
  <c r="X61" i="5" s="1"/>
  <c r="Y61" i="5" s="1"/>
  <c r="X60" i="5" a="1"/>
  <c r="X60" i="5" s="1"/>
  <c r="Y60" i="5" s="1"/>
  <c r="X59" i="5" a="1"/>
  <c r="X59" i="5" s="1"/>
  <c r="Y59" i="5" s="1"/>
  <c r="X58" i="5" a="1"/>
  <c r="X58" i="5" s="1"/>
  <c r="Y58" i="5" s="1"/>
  <c r="X57" i="5" a="1"/>
  <c r="X57" i="5" s="1"/>
  <c r="Y57" i="5" s="1"/>
  <c r="X56" i="5" a="1"/>
  <c r="X56" i="5" s="1"/>
  <c r="Y56" i="5" s="1"/>
  <c r="X55" i="5" a="1"/>
  <c r="X55" i="5" s="1"/>
  <c r="Y55" i="5" s="1"/>
  <c r="X54" i="5" a="1"/>
  <c r="X54" i="5" s="1"/>
  <c r="Y54" i="5" s="1"/>
  <c r="X53" i="5" a="1"/>
  <c r="X53" i="5" s="1"/>
  <c r="Y53" i="5" s="1"/>
  <c r="X52" i="5" a="1"/>
  <c r="X52" i="5" s="1"/>
  <c r="Y52" i="5" s="1"/>
  <c r="X51" i="5" a="1"/>
  <c r="X51" i="5" s="1"/>
  <c r="Y51" i="5" s="1"/>
  <c r="X50" i="5" a="1"/>
  <c r="X50" i="5" s="1"/>
  <c r="Y50" i="5" s="1"/>
  <c r="X49" i="5" a="1"/>
  <c r="X49" i="5" s="1"/>
  <c r="Y49" i="5" s="1"/>
  <c r="X48" i="5" a="1"/>
  <c r="X48" i="5" s="1"/>
  <c r="Y48" i="5" s="1"/>
  <c r="X47" i="5" a="1"/>
  <c r="X47" i="5" s="1"/>
  <c r="Y47" i="5" s="1"/>
  <c r="X46" i="5" a="1"/>
  <c r="X46" i="5" s="1"/>
  <c r="Y46" i="5" s="1"/>
  <c r="X45" i="5" a="1"/>
  <c r="X45" i="5" s="1"/>
  <c r="Y45" i="5" s="1"/>
  <c r="X44" i="5" a="1"/>
  <c r="X44" i="5" s="1"/>
  <c r="Y44" i="5" s="1"/>
  <c r="X43" i="5" a="1"/>
  <c r="X43" i="5" s="1"/>
  <c r="Y43" i="5" s="1"/>
  <c r="X42" i="5" a="1"/>
  <c r="X42" i="5" s="1"/>
  <c r="Y42" i="5" s="1"/>
  <c r="X41" i="5" a="1"/>
  <c r="X41" i="5" s="1"/>
  <c r="Y41" i="5" s="1"/>
  <c r="X40" i="5" a="1"/>
  <c r="X40" i="5" s="1"/>
  <c r="Y40" i="5" s="1"/>
  <c r="X39" i="5" a="1"/>
  <c r="X39" i="5" s="1"/>
  <c r="Y39" i="5" s="1"/>
  <c r="X38" i="5" a="1"/>
  <c r="X38" i="5" s="1"/>
  <c r="Y38" i="5" s="1"/>
  <c r="X37" i="5" a="1"/>
  <c r="X37" i="5" s="1"/>
  <c r="Y37" i="5" s="1"/>
  <c r="X36" i="5" a="1"/>
  <c r="X36" i="5" s="1"/>
  <c r="Y36" i="5" s="1"/>
  <c r="X35" i="5" a="1"/>
  <c r="X35" i="5" s="1"/>
  <c r="Y35" i="5" s="1"/>
  <c r="X34" i="5" a="1"/>
  <c r="X34" i="5" s="1"/>
  <c r="Y34" i="5" s="1"/>
  <c r="X33" i="5" a="1"/>
  <c r="X33" i="5" s="1"/>
  <c r="Y33" i="5" s="1"/>
  <c r="X32" i="5" a="1"/>
  <c r="X32" i="5" s="1"/>
  <c r="Y32" i="5" s="1"/>
  <c r="X31" i="5" a="1"/>
  <c r="X31" i="5" s="1"/>
  <c r="Y31" i="5" s="1"/>
  <c r="X30" i="5" a="1"/>
  <c r="X30" i="5" s="1"/>
  <c r="Y30" i="5" s="1"/>
  <c r="X29" i="5" a="1"/>
  <c r="X29" i="5" s="1"/>
  <c r="Y29" i="5" s="1"/>
  <c r="X28" i="5" a="1"/>
  <c r="X28" i="5" s="1"/>
  <c r="Y28" i="5" s="1"/>
  <c r="X27" i="5" a="1"/>
  <c r="X27" i="5" s="1"/>
  <c r="Y27" i="5" s="1"/>
  <c r="X26" i="5" a="1"/>
  <c r="X26" i="5" s="1"/>
  <c r="Y26" i="5" s="1"/>
  <c r="X25" i="5" a="1"/>
  <c r="X25" i="5" s="1"/>
  <c r="Y25" i="5" s="1"/>
  <c r="X24" i="5" a="1"/>
  <c r="X24" i="5" s="1"/>
  <c r="Y24" i="5" s="1"/>
  <c r="X23" i="5" a="1"/>
  <c r="X23" i="5" s="1"/>
  <c r="Y23" i="5" s="1"/>
  <c r="X22" i="5" a="1"/>
  <c r="X22" i="5" s="1"/>
  <c r="Y22" i="5" s="1"/>
  <c r="X21" i="5" a="1"/>
  <c r="X21" i="5" s="1"/>
  <c r="Y21" i="5" s="1"/>
  <c r="X20" i="5" a="1"/>
  <c r="X20" i="5" s="1"/>
  <c r="Y20" i="5" s="1"/>
  <c r="X19" i="5" a="1"/>
  <c r="X19" i="5" s="1"/>
  <c r="Y19" i="5" s="1"/>
  <c r="X18" i="5" a="1"/>
  <c r="X18" i="5" s="1"/>
  <c r="Y18" i="5" s="1"/>
  <c r="X17" i="5" a="1"/>
  <c r="X17" i="5" s="1"/>
  <c r="Y17" i="5" s="1"/>
  <c r="X16" i="5" a="1"/>
  <c r="X16" i="5" s="1"/>
  <c r="Y16" i="5" s="1"/>
  <c r="X15" i="5" a="1"/>
  <c r="X15" i="5" s="1"/>
  <c r="Y15" i="5" s="1"/>
  <c r="X14" i="5" a="1"/>
  <c r="X14" i="5" s="1"/>
  <c r="Y14" i="5" s="1"/>
  <c r="X13" i="5" a="1"/>
  <c r="X13" i="5" s="1"/>
  <c r="Y13" i="5" s="1"/>
  <c r="X12" i="5" a="1"/>
  <c r="X12" i="5" s="1"/>
  <c r="Y12" i="5" s="1"/>
  <c r="X11" i="5" a="1"/>
  <c r="X11" i="5" s="1"/>
  <c r="Y11" i="5" s="1"/>
  <c r="X10" i="5" a="1"/>
  <c r="X10" i="5" s="1"/>
  <c r="Y10" i="5" s="1"/>
  <c r="X9" i="5" a="1"/>
  <c r="X9" i="5" s="1"/>
  <c r="Y9" i="5" s="1"/>
  <c r="X8" i="5" a="1"/>
  <c r="X8" i="5" s="1"/>
  <c r="Y8" i="5" s="1"/>
  <c r="X7" i="5" a="1"/>
  <c r="X7" i="5" s="1"/>
  <c r="Y7" i="5" s="1"/>
  <c r="X6" i="5" a="1"/>
  <c r="X6" i="5" s="1"/>
  <c r="Y6" i="5" s="1"/>
  <c r="X5" i="5" a="1"/>
  <c r="X5" i="5" s="1"/>
  <c r="Y5" i="5" s="1"/>
  <c r="F5" i="5" l="1" a="1"/>
  <c r="F5" i="5" s="1"/>
  <c r="D1" i="8" l="1"/>
  <c r="AA6" i="5" a="1"/>
  <c r="AA6" i="5" s="1"/>
  <c r="AA7" i="5" a="1"/>
  <c r="AA7" i="5" s="1"/>
  <c r="AA8" i="5" a="1"/>
  <c r="AA8" i="5" s="1"/>
  <c r="AA9" i="5" a="1"/>
  <c r="AA9" i="5" s="1"/>
  <c r="AA10" i="5" a="1"/>
  <c r="AA10" i="5" s="1"/>
  <c r="AA11" i="5" a="1"/>
  <c r="AA11" i="5" s="1"/>
  <c r="AA12" i="5" a="1"/>
  <c r="AA12" i="5" s="1"/>
  <c r="AA13" i="5" a="1"/>
  <c r="AA13" i="5" s="1"/>
  <c r="AA14" i="5" a="1"/>
  <c r="AA14" i="5" s="1"/>
  <c r="AA15" i="5" a="1"/>
  <c r="AA15" i="5" s="1"/>
  <c r="AA16" i="5" a="1"/>
  <c r="AA16" i="5" s="1"/>
  <c r="AA17" i="5" a="1"/>
  <c r="AA17" i="5" s="1"/>
  <c r="AA18" i="5" a="1"/>
  <c r="AA18" i="5" s="1"/>
  <c r="AA19" i="5" a="1"/>
  <c r="AA19" i="5" s="1"/>
  <c r="AA20" i="5" a="1"/>
  <c r="AA20" i="5" s="1"/>
  <c r="AA21" i="5" a="1"/>
  <c r="AA21" i="5" s="1"/>
  <c r="AA22" i="5" a="1"/>
  <c r="AA22" i="5" s="1"/>
  <c r="AA23" i="5" a="1"/>
  <c r="AA23" i="5" s="1"/>
  <c r="AA24" i="5" a="1"/>
  <c r="AA24" i="5" s="1"/>
  <c r="AA25" i="5" a="1"/>
  <c r="AA25" i="5" s="1"/>
  <c r="AA26" i="5" a="1"/>
  <c r="AA26" i="5" s="1"/>
  <c r="AA27" i="5" a="1"/>
  <c r="AA27" i="5" s="1"/>
  <c r="AA28" i="5" a="1"/>
  <c r="AA28" i="5" s="1"/>
  <c r="AA29" i="5" a="1"/>
  <c r="AA29" i="5" s="1"/>
  <c r="AA30" i="5" a="1"/>
  <c r="AA30" i="5" s="1"/>
  <c r="AA31" i="5" a="1"/>
  <c r="AA31" i="5" s="1"/>
  <c r="AA32" i="5" a="1"/>
  <c r="AA32" i="5" s="1"/>
  <c r="AA33" i="5" a="1"/>
  <c r="AA33" i="5" s="1"/>
  <c r="AA34" i="5" a="1"/>
  <c r="AA34" i="5" s="1"/>
  <c r="AA35" i="5" a="1"/>
  <c r="AA35" i="5" s="1"/>
  <c r="AA36" i="5" a="1"/>
  <c r="AA36" i="5" s="1"/>
  <c r="AA37" i="5" a="1"/>
  <c r="AA37" i="5" s="1"/>
  <c r="AA38" i="5" a="1"/>
  <c r="AA38" i="5" s="1"/>
  <c r="AA39" i="5" a="1"/>
  <c r="AA39" i="5" s="1"/>
  <c r="AA40" i="5" a="1"/>
  <c r="AA40" i="5" s="1"/>
  <c r="AA41" i="5" a="1"/>
  <c r="AA41" i="5" s="1"/>
  <c r="AA42" i="5" a="1"/>
  <c r="AA42" i="5" s="1"/>
  <c r="AA43" i="5" a="1"/>
  <c r="AA43" i="5" s="1"/>
  <c r="AA44" i="5" a="1"/>
  <c r="AA44" i="5" s="1"/>
  <c r="AA45" i="5" a="1"/>
  <c r="AA45" i="5" s="1"/>
  <c r="AA46" i="5" a="1"/>
  <c r="AA46" i="5" s="1"/>
  <c r="AA47" i="5" a="1"/>
  <c r="AA47" i="5" s="1"/>
  <c r="AA48" i="5" a="1"/>
  <c r="AA48" i="5" s="1"/>
  <c r="AA49" i="5" a="1"/>
  <c r="AA49" i="5" s="1"/>
  <c r="AA50" i="5" a="1"/>
  <c r="AA50" i="5" s="1"/>
  <c r="AA51" i="5" a="1"/>
  <c r="AA51" i="5" s="1"/>
  <c r="AA52" i="5" a="1"/>
  <c r="AA52" i="5" s="1"/>
  <c r="AA53" i="5" a="1"/>
  <c r="AA53" i="5" s="1"/>
  <c r="AA54" i="5" a="1"/>
  <c r="AA54" i="5" s="1"/>
  <c r="AA55" i="5" a="1"/>
  <c r="AA55" i="5" s="1"/>
  <c r="AA56" i="5" a="1"/>
  <c r="AA56" i="5" s="1"/>
  <c r="AA57" i="5" a="1"/>
  <c r="AA57" i="5" s="1"/>
  <c r="AA58" i="5" a="1"/>
  <c r="AA58" i="5" s="1"/>
  <c r="AA59" i="5" a="1"/>
  <c r="AA59" i="5" s="1"/>
  <c r="AA60" i="5" a="1"/>
  <c r="AA60" i="5" s="1"/>
  <c r="AA61" i="5" a="1"/>
  <c r="AA61" i="5" s="1"/>
  <c r="AA62" i="5" a="1"/>
  <c r="AA62" i="5" s="1"/>
  <c r="AA63" i="5" a="1"/>
  <c r="AA63" i="5" s="1"/>
  <c r="AA64" i="5" a="1"/>
  <c r="AA64" i="5" s="1"/>
  <c r="AA65" i="5" a="1"/>
  <c r="AA65" i="5" s="1"/>
  <c r="AA66" i="5" a="1"/>
  <c r="AA66" i="5" s="1"/>
  <c r="AA67" i="5" a="1"/>
  <c r="AA67" i="5" s="1"/>
  <c r="AA68" i="5" a="1"/>
  <c r="AA68" i="5" s="1"/>
  <c r="AA69" i="5" a="1"/>
  <c r="AA69" i="5" s="1"/>
  <c r="AA70" i="5" a="1"/>
  <c r="AA70" i="5" s="1"/>
  <c r="AA71" i="5" a="1"/>
  <c r="AA71" i="5" s="1"/>
  <c r="AA72" i="5" a="1"/>
  <c r="AA72" i="5" s="1"/>
  <c r="AA73" i="5" a="1"/>
  <c r="AA73" i="5" s="1"/>
  <c r="AA74" i="5" a="1"/>
  <c r="AA74" i="5" s="1"/>
  <c r="AA75" i="5" a="1"/>
  <c r="AA75" i="5" s="1"/>
  <c r="AA76" i="5" a="1"/>
  <c r="AA76" i="5" s="1"/>
  <c r="AA77" i="5" a="1"/>
  <c r="AA77" i="5" s="1"/>
  <c r="AA78" i="5" a="1"/>
  <c r="AA78" i="5" s="1"/>
  <c r="AA79" i="5" a="1"/>
  <c r="AA79" i="5" s="1"/>
  <c r="AA80" i="5" a="1"/>
  <c r="AA80" i="5" s="1"/>
  <c r="AA81" i="5" a="1"/>
  <c r="AA81" i="5" s="1"/>
  <c r="AA82" i="5" a="1"/>
  <c r="AA82" i="5" s="1"/>
  <c r="AA83" i="5" a="1"/>
  <c r="AA83" i="5" s="1"/>
  <c r="AA84" i="5" a="1"/>
  <c r="AA84" i="5" s="1"/>
  <c r="AA85" i="5" a="1"/>
  <c r="AA85" i="5" s="1"/>
  <c r="AA86" i="5" a="1"/>
  <c r="AA86" i="5" s="1"/>
  <c r="AA87" i="5" a="1"/>
  <c r="AA87" i="5" s="1"/>
  <c r="AA88" i="5" a="1"/>
  <c r="AA88" i="5" s="1"/>
  <c r="AA89" i="5" a="1"/>
  <c r="AA89" i="5" s="1"/>
  <c r="AA90" i="5" a="1"/>
  <c r="AA90" i="5" s="1"/>
  <c r="AA91" i="5" a="1"/>
  <c r="AA91" i="5" s="1"/>
  <c r="AA92" i="5" a="1"/>
  <c r="AA92" i="5" s="1"/>
  <c r="AA93" i="5" a="1"/>
  <c r="AA93" i="5" s="1"/>
  <c r="AA94" i="5" a="1"/>
  <c r="AA94" i="5" s="1"/>
  <c r="AA95" i="5" a="1"/>
  <c r="AA95" i="5" s="1"/>
  <c r="AA96" i="5" a="1"/>
  <c r="AA96" i="5" s="1"/>
  <c r="AA97" i="5" a="1"/>
  <c r="AA97" i="5" s="1"/>
  <c r="AA98" i="5" a="1"/>
  <c r="AA98" i="5" s="1"/>
  <c r="AA99" i="5" a="1"/>
  <c r="AA99" i="5" s="1"/>
  <c r="AA100" i="5" a="1"/>
  <c r="AA100" i="5" s="1"/>
  <c r="AA101" i="5" a="1"/>
  <c r="AA101" i="5" s="1"/>
  <c r="AA102" i="5" a="1"/>
  <c r="AA102" i="5" s="1"/>
  <c r="AA103" i="5" a="1"/>
  <c r="AA103" i="5" s="1"/>
  <c r="AA104" i="5" a="1"/>
  <c r="AA104" i="5" s="1"/>
  <c r="AA105" i="5" a="1"/>
  <c r="AA105" i="5" s="1"/>
  <c r="AA106" i="5" a="1"/>
  <c r="AA106" i="5" s="1"/>
  <c r="AA107" i="5" a="1"/>
  <c r="AA107" i="5" s="1"/>
  <c r="AA108" i="5" a="1"/>
  <c r="AA108" i="5" s="1"/>
  <c r="AA109" i="5" a="1"/>
  <c r="AA109" i="5" s="1"/>
  <c r="AA110" i="5" a="1"/>
  <c r="AA110" i="5" s="1"/>
  <c r="AA111" i="5" a="1"/>
  <c r="AA111" i="5" s="1"/>
  <c r="AA112" i="5" a="1"/>
  <c r="AA112" i="5" s="1"/>
  <c r="AA113" i="5" a="1"/>
  <c r="AA113" i="5" s="1"/>
  <c r="AA114" i="5" a="1"/>
  <c r="AA114" i="5" s="1"/>
  <c r="AA115" i="5" a="1"/>
  <c r="AA115" i="5" s="1"/>
  <c r="AA116" i="5" a="1"/>
  <c r="AA116" i="5" s="1"/>
  <c r="AA117" i="5" a="1"/>
  <c r="AA117" i="5" s="1"/>
  <c r="AA118" i="5" a="1"/>
  <c r="AA118" i="5" s="1"/>
  <c r="AA119" i="5" a="1"/>
  <c r="AA119" i="5" s="1"/>
  <c r="AA120" i="5" a="1"/>
  <c r="AA120" i="5" s="1"/>
  <c r="AA121" i="5" a="1"/>
  <c r="AA121" i="5" s="1"/>
  <c r="AA122" i="5" a="1"/>
  <c r="AA122" i="5" s="1"/>
  <c r="AA123" i="5" a="1"/>
  <c r="AA123" i="5" s="1"/>
  <c r="AA124" i="5" a="1"/>
  <c r="AA124" i="5" s="1"/>
  <c r="AA125" i="5" a="1"/>
  <c r="AA125" i="5" s="1"/>
  <c r="AA126" i="5" a="1"/>
  <c r="AA126" i="5" s="1"/>
  <c r="AA127" i="5" a="1"/>
  <c r="AA127" i="5" s="1"/>
  <c r="AA128" i="5" a="1"/>
  <c r="AA128" i="5" s="1"/>
  <c r="AA129" i="5" a="1"/>
  <c r="AA129" i="5" s="1"/>
  <c r="AA130" i="5" a="1"/>
  <c r="AA130" i="5" s="1"/>
  <c r="AA131" i="5" a="1"/>
  <c r="AA131" i="5" s="1"/>
  <c r="AA132" i="5" a="1"/>
  <c r="AA132" i="5" s="1"/>
  <c r="AA133" i="5" a="1"/>
  <c r="AA133" i="5" s="1"/>
  <c r="AA134" i="5" a="1"/>
  <c r="AA134" i="5" s="1"/>
  <c r="AA135" i="5" a="1"/>
  <c r="AA135" i="5" s="1"/>
  <c r="AA136" i="5" a="1"/>
  <c r="AA136" i="5" s="1"/>
  <c r="AA137" i="5" a="1"/>
  <c r="AA137" i="5" s="1"/>
  <c r="AA138" i="5" a="1"/>
  <c r="AA138" i="5" s="1"/>
  <c r="AA139" i="5" a="1"/>
  <c r="AA139" i="5" s="1"/>
  <c r="AA140" i="5" a="1"/>
  <c r="AA140" i="5" s="1"/>
  <c r="AA141" i="5" a="1"/>
  <c r="AA141" i="5" s="1"/>
  <c r="AA142" i="5" a="1"/>
  <c r="AA142" i="5" s="1"/>
  <c r="AA143" i="5" a="1"/>
  <c r="AA143" i="5" s="1"/>
  <c r="AA144" i="5" a="1"/>
  <c r="AA144" i="5" s="1"/>
  <c r="AA145" i="5" a="1"/>
  <c r="AA145" i="5" s="1"/>
  <c r="AA146" i="5" a="1"/>
  <c r="AA146" i="5" s="1"/>
  <c r="AA147" i="5" a="1"/>
  <c r="AA147" i="5" s="1"/>
  <c r="AA148" i="5" a="1"/>
  <c r="AA148" i="5" s="1"/>
  <c r="AA149" i="5" a="1"/>
  <c r="AA149" i="5" s="1"/>
  <c r="AA150" i="5" a="1"/>
  <c r="AA150" i="5" s="1"/>
  <c r="AA151" i="5" a="1"/>
  <c r="AA151" i="5" s="1"/>
  <c r="AA152" i="5" a="1"/>
  <c r="AA152" i="5" s="1"/>
  <c r="AA153" i="5" a="1"/>
  <c r="AA153" i="5" s="1"/>
  <c r="AA154" i="5" a="1"/>
  <c r="AA154" i="5" s="1"/>
  <c r="AA5" i="5" a="1"/>
  <c r="AA5" i="5" s="1"/>
  <c r="W6" i="5" a="1"/>
  <c r="W6" i="5" s="1"/>
  <c r="W7" i="5" a="1"/>
  <c r="W7" i="5" s="1"/>
  <c r="W8" i="5" a="1"/>
  <c r="W8" i="5" s="1"/>
  <c r="W9" i="5" a="1"/>
  <c r="W9" i="5" s="1"/>
  <c r="W10" i="5" a="1"/>
  <c r="W10" i="5" s="1"/>
  <c r="W11" i="5" a="1"/>
  <c r="W11" i="5" s="1"/>
  <c r="W12" i="5" a="1"/>
  <c r="W12" i="5" s="1"/>
  <c r="W13" i="5" a="1"/>
  <c r="W13" i="5" s="1"/>
  <c r="W14" i="5" a="1"/>
  <c r="W14" i="5" s="1"/>
  <c r="W15" i="5" a="1"/>
  <c r="W15" i="5" s="1"/>
  <c r="W16" i="5" a="1"/>
  <c r="W16" i="5" s="1"/>
  <c r="W17" i="5" a="1"/>
  <c r="W17" i="5" s="1"/>
  <c r="W18" i="5" a="1"/>
  <c r="W18" i="5" s="1"/>
  <c r="W19" i="5" a="1"/>
  <c r="W19" i="5" s="1"/>
  <c r="W20" i="5" a="1"/>
  <c r="W20" i="5" s="1"/>
  <c r="W21" i="5" a="1"/>
  <c r="W21" i="5" s="1"/>
  <c r="W22" i="5" a="1"/>
  <c r="W22" i="5" s="1"/>
  <c r="Z22" i="5" s="1"/>
  <c r="W23" i="5" a="1"/>
  <c r="W23" i="5" s="1"/>
  <c r="Z23" i="5" s="1"/>
  <c r="W24" i="5" a="1"/>
  <c r="W24" i="5" s="1"/>
  <c r="Z24" i="5" s="1"/>
  <c r="W25" i="5" a="1"/>
  <c r="W25" i="5" s="1"/>
  <c r="Z25" i="5" s="1"/>
  <c r="W26" i="5" a="1"/>
  <c r="W26" i="5" s="1"/>
  <c r="Z26" i="5" s="1"/>
  <c r="W27" i="5" a="1"/>
  <c r="W27" i="5" s="1"/>
  <c r="Z27" i="5" s="1"/>
  <c r="W28" i="5" a="1"/>
  <c r="W28" i="5" s="1"/>
  <c r="Z28" i="5" s="1"/>
  <c r="W29" i="5" a="1"/>
  <c r="W29" i="5" s="1"/>
  <c r="Z29" i="5" s="1"/>
  <c r="W30" i="5" a="1"/>
  <c r="W30" i="5" s="1"/>
  <c r="W31" i="5" a="1"/>
  <c r="W31" i="5" s="1"/>
  <c r="Z31" i="5" s="1"/>
  <c r="W32" i="5" a="1"/>
  <c r="W32" i="5" s="1"/>
  <c r="Z32" i="5" s="1"/>
  <c r="W33" i="5" a="1"/>
  <c r="W33" i="5" s="1"/>
  <c r="W34" i="5" a="1"/>
  <c r="W34" i="5" s="1"/>
  <c r="Z34" i="5" s="1"/>
  <c r="W35" i="5" a="1"/>
  <c r="W35" i="5" s="1"/>
  <c r="Z35" i="5" s="1"/>
  <c r="W36" i="5" a="1"/>
  <c r="W36" i="5" s="1"/>
  <c r="Z36" i="5" s="1"/>
  <c r="W37" i="5" a="1"/>
  <c r="W37" i="5" s="1"/>
  <c r="Z37" i="5" s="1"/>
  <c r="W38" i="5" a="1"/>
  <c r="W38" i="5" s="1"/>
  <c r="Z38" i="5" s="1"/>
  <c r="W39" i="5" a="1"/>
  <c r="W39" i="5" s="1"/>
  <c r="Z39" i="5" s="1"/>
  <c r="W40" i="5" a="1"/>
  <c r="W40" i="5" s="1"/>
  <c r="Z40" i="5" s="1"/>
  <c r="W41" i="5" a="1"/>
  <c r="W41" i="5" s="1"/>
  <c r="Z41" i="5" s="1"/>
  <c r="W42" i="5" a="1"/>
  <c r="W42" i="5" s="1"/>
  <c r="Z42" i="5" s="1"/>
  <c r="W43" i="5" a="1"/>
  <c r="W43" i="5" s="1"/>
  <c r="Z43" i="5" s="1"/>
  <c r="W44" i="5" a="1"/>
  <c r="W44" i="5" s="1"/>
  <c r="Z44" i="5" s="1"/>
  <c r="W45" i="5" a="1"/>
  <c r="W45" i="5" s="1"/>
  <c r="Z45" i="5" s="1"/>
  <c r="W46" i="5" a="1"/>
  <c r="W46" i="5" s="1"/>
  <c r="Z46" i="5" s="1"/>
  <c r="W47" i="5" a="1"/>
  <c r="W47" i="5" s="1"/>
  <c r="Z47" i="5" s="1"/>
  <c r="W48" i="5" a="1"/>
  <c r="W48" i="5" s="1"/>
  <c r="Z48" i="5" s="1"/>
  <c r="W49" i="5" a="1"/>
  <c r="W49" i="5" s="1"/>
  <c r="Z49" i="5" s="1"/>
  <c r="W50" i="5" a="1"/>
  <c r="W50" i="5" s="1"/>
  <c r="Z50" i="5" s="1"/>
  <c r="W51" i="5" a="1"/>
  <c r="W51" i="5" s="1"/>
  <c r="Z51" i="5" s="1"/>
  <c r="W52" i="5" a="1"/>
  <c r="W52" i="5" s="1"/>
  <c r="Z52" i="5" s="1"/>
  <c r="W53" i="5" a="1"/>
  <c r="W53" i="5" s="1"/>
  <c r="Z53" i="5" s="1"/>
  <c r="W54" i="5" a="1"/>
  <c r="W54" i="5" s="1"/>
  <c r="Z54" i="5" s="1"/>
  <c r="W55" i="5" a="1"/>
  <c r="W55" i="5" s="1"/>
  <c r="Z55" i="5" s="1"/>
  <c r="W56" i="5" a="1"/>
  <c r="W56" i="5" s="1"/>
  <c r="Z56" i="5" s="1"/>
  <c r="W57" i="5" a="1"/>
  <c r="W57" i="5" s="1"/>
  <c r="Z57" i="5" s="1"/>
  <c r="W58" i="5" a="1"/>
  <c r="W58" i="5" s="1"/>
  <c r="Z58" i="5" s="1"/>
  <c r="W59" i="5" a="1"/>
  <c r="W59" i="5" s="1"/>
  <c r="Z59" i="5" s="1"/>
  <c r="W60" i="5" a="1"/>
  <c r="W60" i="5" s="1"/>
  <c r="Z60" i="5" s="1"/>
  <c r="W61" i="5" a="1"/>
  <c r="W61" i="5" s="1"/>
  <c r="Z61" i="5" s="1"/>
  <c r="W62" i="5" a="1"/>
  <c r="W62" i="5" s="1"/>
  <c r="Z62" i="5" s="1"/>
  <c r="W63" i="5" a="1"/>
  <c r="W63" i="5" s="1"/>
  <c r="Z63" i="5" s="1"/>
  <c r="W64" i="5" a="1"/>
  <c r="W64" i="5" s="1"/>
  <c r="Z64" i="5" s="1"/>
  <c r="W65" i="5" a="1"/>
  <c r="W65" i="5" s="1"/>
  <c r="Z65" i="5" s="1"/>
  <c r="W66" i="5" a="1"/>
  <c r="W66" i="5" s="1"/>
  <c r="Z66" i="5" s="1"/>
  <c r="W67" i="5" a="1"/>
  <c r="W67" i="5" s="1"/>
  <c r="Z67" i="5" s="1"/>
  <c r="W68" i="5" a="1"/>
  <c r="W68" i="5" s="1"/>
  <c r="Z68" i="5" s="1"/>
  <c r="W69" i="5" a="1"/>
  <c r="W69" i="5" s="1"/>
  <c r="Z69" i="5" s="1"/>
  <c r="W70" i="5" a="1"/>
  <c r="W70" i="5" s="1"/>
  <c r="Z70" i="5" s="1"/>
  <c r="W71" i="5" a="1"/>
  <c r="W71" i="5" s="1"/>
  <c r="Z71" i="5" s="1"/>
  <c r="W72" i="5" a="1"/>
  <c r="W72" i="5" s="1"/>
  <c r="Z72" i="5" s="1"/>
  <c r="W73" i="5" a="1"/>
  <c r="W73" i="5" s="1"/>
  <c r="Z73" i="5" s="1"/>
  <c r="W74" i="5" a="1"/>
  <c r="W74" i="5" s="1"/>
  <c r="Z74" i="5" s="1"/>
  <c r="W75" i="5" a="1"/>
  <c r="W75" i="5" s="1"/>
  <c r="Z75" i="5" s="1"/>
  <c r="W76" i="5" a="1"/>
  <c r="W76" i="5" s="1"/>
  <c r="Z76" i="5" s="1"/>
  <c r="W77" i="5" a="1"/>
  <c r="W77" i="5" s="1"/>
  <c r="Z77" i="5" s="1"/>
  <c r="W78" i="5" a="1"/>
  <c r="W78" i="5" s="1"/>
  <c r="W79" i="5" a="1"/>
  <c r="W79" i="5" s="1"/>
  <c r="Z79" i="5" s="1"/>
  <c r="W80" i="5" a="1"/>
  <c r="W80" i="5" s="1"/>
  <c r="Z80" i="5" s="1"/>
  <c r="W81" i="5" a="1"/>
  <c r="W81" i="5" s="1"/>
  <c r="W82" i="5" a="1"/>
  <c r="W82" i="5" s="1"/>
  <c r="Z82" i="5" s="1"/>
  <c r="W83" i="5" a="1"/>
  <c r="W83" i="5" s="1"/>
  <c r="Z83" i="5" s="1"/>
  <c r="W84" i="5" a="1"/>
  <c r="W84" i="5" s="1"/>
  <c r="Z84" i="5" s="1"/>
  <c r="W85" i="5" a="1"/>
  <c r="W85" i="5" s="1"/>
  <c r="Z85" i="5" s="1"/>
  <c r="W86" i="5" a="1"/>
  <c r="W86" i="5" s="1"/>
  <c r="Z86" i="5" s="1"/>
  <c r="W87" i="5" a="1"/>
  <c r="W87" i="5" s="1"/>
  <c r="Z87" i="5" s="1"/>
  <c r="W88" i="5" a="1"/>
  <c r="W88" i="5" s="1"/>
  <c r="Z88" i="5" s="1"/>
  <c r="W89" i="5" a="1"/>
  <c r="W89" i="5" s="1"/>
  <c r="Z89" i="5" s="1"/>
  <c r="W90" i="5" a="1"/>
  <c r="W90" i="5" s="1"/>
  <c r="W91" i="5" a="1"/>
  <c r="W91" i="5" s="1"/>
  <c r="Z91" i="5" s="1"/>
  <c r="W92" i="5" a="1"/>
  <c r="W92" i="5" s="1"/>
  <c r="Z92" i="5" s="1"/>
  <c r="W93" i="5" a="1"/>
  <c r="W93" i="5" s="1"/>
  <c r="W94" i="5" a="1"/>
  <c r="W94" i="5" s="1"/>
  <c r="Z94" i="5" s="1"/>
  <c r="W95" i="5" a="1"/>
  <c r="W95" i="5" s="1"/>
  <c r="Z95" i="5" s="1"/>
  <c r="W96" i="5" a="1"/>
  <c r="W96" i="5" s="1"/>
  <c r="Z96" i="5" s="1"/>
  <c r="W97" i="5" a="1"/>
  <c r="W97" i="5" s="1"/>
  <c r="Z97" i="5" s="1"/>
  <c r="W98" i="5" a="1"/>
  <c r="W98" i="5" s="1"/>
  <c r="Z98" i="5" s="1"/>
  <c r="W99" i="5" a="1"/>
  <c r="W99" i="5" s="1"/>
  <c r="Z99" i="5" s="1"/>
  <c r="W100" i="5" a="1"/>
  <c r="W100" i="5" s="1"/>
  <c r="Z100" i="5" s="1"/>
  <c r="W101" i="5" a="1"/>
  <c r="W101" i="5" s="1"/>
  <c r="Z101" i="5" s="1"/>
  <c r="W102" i="5" a="1"/>
  <c r="W102" i="5" s="1"/>
  <c r="Z102" i="5" s="1"/>
  <c r="W103" i="5" a="1"/>
  <c r="W103" i="5" s="1"/>
  <c r="Z103" i="5" s="1"/>
  <c r="W104" i="5" a="1"/>
  <c r="W104" i="5" s="1"/>
  <c r="Z104" i="5" s="1"/>
  <c r="W105" i="5" a="1"/>
  <c r="W105" i="5" s="1"/>
  <c r="W106" i="5" a="1"/>
  <c r="W106" i="5" s="1"/>
  <c r="Z106" i="5" s="1"/>
  <c r="W107" i="5" a="1"/>
  <c r="W107" i="5" s="1"/>
  <c r="Z107" i="5" s="1"/>
  <c r="W108" i="5" a="1"/>
  <c r="W108" i="5" s="1"/>
  <c r="Z108" i="5" s="1"/>
  <c r="W109" i="5" a="1"/>
  <c r="W109" i="5" s="1"/>
  <c r="Z109" i="5" s="1"/>
  <c r="W110" i="5" a="1"/>
  <c r="W110" i="5" s="1"/>
  <c r="Z110" i="5" s="1"/>
  <c r="W111" i="5" a="1"/>
  <c r="W111" i="5" s="1"/>
  <c r="Z111" i="5" s="1"/>
  <c r="W112" i="5" a="1"/>
  <c r="W112" i="5" s="1"/>
  <c r="Z112" i="5" s="1"/>
  <c r="W113" i="5" a="1"/>
  <c r="W113" i="5" s="1"/>
  <c r="Z113" i="5" s="1"/>
  <c r="W114" i="5" a="1"/>
  <c r="W114" i="5" s="1"/>
  <c r="Z114" i="5" s="1"/>
  <c r="W115" i="5" a="1"/>
  <c r="W115" i="5" s="1"/>
  <c r="Z115" i="5" s="1"/>
  <c r="W116" i="5" a="1"/>
  <c r="W116" i="5" s="1"/>
  <c r="Z116" i="5" s="1"/>
  <c r="W117" i="5" a="1"/>
  <c r="W117" i="5" s="1"/>
  <c r="Z117" i="5" s="1"/>
  <c r="W118" i="5" a="1"/>
  <c r="W118" i="5" s="1"/>
  <c r="Z118" i="5" s="1"/>
  <c r="W119" i="5" a="1"/>
  <c r="W119" i="5" s="1"/>
  <c r="Z119" i="5" s="1"/>
  <c r="W120" i="5" a="1"/>
  <c r="W120" i="5" s="1"/>
  <c r="Z120" i="5" s="1"/>
  <c r="W121" i="5" a="1"/>
  <c r="W121" i="5" s="1"/>
  <c r="Z121" i="5" s="1"/>
  <c r="W122" i="5" a="1"/>
  <c r="W122" i="5" s="1"/>
  <c r="Z122" i="5" s="1"/>
  <c r="W123" i="5" a="1"/>
  <c r="W123" i="5" s="1"/>
  <c r="Z123" i="5" s="1"/>
  <c r="W124" i="5" a="1"/>
  <c r="W124" i="5" s="1"/>
  <c r="Z124" i="5" s="1"/>
  <c r="W125" i="5" a="1"/>
  <c r="W125" i="5" s="1"/>
  <c r="Z125" i="5" s="1"/>
  <c r="W126" i="5" a="1"/>
  <c r="W126" i="5" s="1"/>
  <c r="Z126" i="5" s="1"/>
  <c r="W127" i="5" a="1"/>
  <c r="W127" i="5" s="1"/>
  <c r="W128" i="5" a="1"/>
  <c r="W128" i="5" s="1"/>
  <c r="Z128" i="5" s="1"/>
  <c r="W129" i="5" a="1"/>
  <c r="W129" i="5" s="1"/>
  <c r="Z129" i="5" s="1"/>
  <c r="W130" i="5" a="1"/>
  <c r="W130" i="5" s="1"/>
  <c r="Z130" i="5" s="1"/>
  <c r="W131" i="5" a="1"/>
  <c r="W131" i="5" s="1"/>
  <c r="Z131" i="5" s="1"/>
  <c r="W132" i="5" a="1"/>
  <c r="W132" i="5" s="1"/>
  <c r="Z132" i="5" s="1"/>
  <c r="W133" i="5" a="1"/>
  <c r="W133" i="5" s="1"/>
  <c r="Z133" i="5" s="1"/>
  <c r="W134" i="5" a="1"/>
  <c r="W134" i="5" s="1"/>
  <c r="Z134" i="5" s="1"/>
  <c r="W135" i="5" a="1"/>
  <c r="W135" i="5" s="1"/>
  <c r="Z135" i="5" s="1"/>
  <c r="W136" i="5" a="1"/>
  <c r="W136" i="5" s="1"/>
  <c r="Z136" i="5" s="1"/>
  <c r="W137" i="5" a="1"/>
  <c r="W137" i="5" s="1"/>
  <c r="Z137" i="5" s="1"/>
  <c r="W138" i="5" a="1"/>
  <c r="W138" i="5" s="1"/>
  <c r="W139" i="5" a="1"/>
  <c r="W139" i="5" s="1"/>
  <c r="Z139" i="5" s="1"/>
  <c r="W140" i="5" a="1"/>
  <c r="W140" i="5" s="1"/>
  <c r="Z140" i="5" s="1"/>
  <c r="W141" i="5" a="1"/>
  <c r="W141" i="5" s="1"/>
  <c r="Z141" i="5" s="1"/>
  <c r="W142" i="5" a="1"/>
  <c r="W142" i="5" s="1"/>
  <c r="Z142" i="5" s="1"/>
  <c r="W143" i="5" a="1"/>
  <c r="W143" i="5" s="1"/>
  <c r="Z143" i="5" s="1"/>
  <c r="W144" i="5" a="1"/>
  <c r="W144" i="5" s="1"/>
  <c r="Z144" i="5" s="1"/>
  <c r="W145" i="5" a="1"/>
  <c r="W145" i="5" s="1"/>
  <c r="Z145" i="5" s="1"/>
  <c r="W146" i="5" a="1"/>
  <c r="W146" i="5" s="1"/>
  <c r="Z146" i="5" s="1"/>
  <c r="W147" i="5" a="1"/>
  <c r="W147" i="5" s="1"/>
  <c r="Z147" i="5" s="1"/>
  <c r="W148" i="5" a="1"/>
  <c r="W148" i="5" s="1"/>
  <c r="Z148" i="5" s="1"/>
  <c r="W149" i="5" a="1"/>
  <c r="W149" i="5" s="1"/>
  <c r="Z149" i="5" s="1"/>
  <c r="W150" i="5" a="1"/>
  <c r="W150" i="5" s="1"/>
  <c r="Z150" i="5" s="1"/>
  <c r="W151" i="5" a="1"/>
  <c r="W151" i="5" s="1"/>
  <c r="Z151" i="5" s="1"/>
  <c r="W152" i="5" a="1"/>
  <c r="W152" i="5" s="1"/>
  <c r="Z152" i="5" s="1"/>
  <c r="W153" i="5" a="1"/>
  <c r="W153" i="5" s="1"/>
  <c r="W154" i="5" a="1"/>
  <c r="W154" i="5" s="1"/>
  <c r="Z154" i="5" s="1"/>
  <c r="W5" i="5" a="1"/>
  <c r="W5" i="5" s="1"/>
  <c r="Z5" i="5" s="1"/>
  <c r="V6" i="5" a="1"/>
  <c r="V6" i="5" s="1"/>
  <c r="V7" i="5" a="1"/>
  <c r="V7" i="5" s="1"/>
  <c r="V8" i="5" a="1"/>
  <c r="V8" i="5" s="1"/>
  <c r="V9" i="5" a="1"/>
  <c r="V9" i="5" s="1"/>
  <c r="V10" i="5" a="1"/>
  <c r="V10" i="5" s="1"/>
  <c r="V11" i="5" a="1"/>
  <c r="V11" i="5" s="1"/>
  <c r="V12" i="5" a="1"/>
  <c r="V12" i="5" s="1"/>
  <c r="V13" i="5" a="1"/>
  <c r="V13" i="5" s="1"/>
  <c r="V14" i="5" a="1"/>
  <c r="V14" i="5" s="1"/>
  <c r="V15" i="5" a="1"/>
  <c r="V15" i="5" s="1"/>
  <c r="V16" i="5" a="1"/>
  <c r="V16" i="5" s="1"/>
  <c r="V17" i="5" a="1"/>
  <c r="V17" i="5" s="1"/>
  <c r="V18" i="5" a="1"/>
  <c r="V18" i="5" s="1"/>
  <c r="V19" i="5" a="1"/>
  <c r="V19" i="5" s="1"/>
  <c r="V20" i="5" a="1"/>
  <c r="V20" i="5" s="1"/>
  <c r="V21" i="5" a="1"/>
  <c r="V21" i="5" s="1"/>
  <c r="V22" i="5" a="1"/>
  <c r="V22" i="5" s="1"/>
  <c r="V23" i="5" a="1"/>
  <c r="V23" i="5" s="1"/>
  <c r="V24" i="5" a="1"/>
  <c r="V24" i="5" s="1"/>
  <c r="V25" i="5" a="1"/>
  <c r="V25" i="5" s="1"/>
  <c r="V26" i="5" a="1"/>
  <c r="V26" i="5" s="1"/>
  <c r="V27" i="5" a="1"/>
  <c r="V27" i="5" s="1"/>
  <c r="V28" i="5" a="1"/>
  <c r="V28" i="5" s="1"/>
  <c r="V29" i="5" a="1"/>
  <c r="V29" i="5" s="1"/>
  <c r="V30" i="5" a="1"/>
  <c r="V30" i="5" s="1"/>
  <c r="V31" i="5" a="1"/>
  <c r="V31" i="5" s="1"/>
  <c r="V32" i="5" a="1"/>
  <c r="V32" i="5" s="1"/>
  <c r="V33" i="5" a="1"/>
  <c r="V33" i="5" s="1"/>
  <c r="V34" i="5" a="1"/>
  <c r="V34" i="5" s="1"/>
  <c r="V35" i="5" a="1"/>
  <c r="V35" i="5" s="1"/>
  <c r="V36" i="5" a="1"/>
  <c r="V36" i="5" s="1"/>
  <c r="V37" i="5" a="1"/>
  <c r="V37" i="5" s="1"/>
  <c r="V38" i="5" a="1"/>
  <c r="V38" i="5" s="1"/>
  <c r="V39" i="5" a="1"/>
  <c r="V39" i="5" s="1"/>
  <c r="V40" i="5" a="1"/>
  <c r="V40" i="5" s="1"/>
  <c r="V41" i="5" a="1"/>
  <c r="V41" i="5" s="1"/>
  <c r="V42" i="5" a="1"/>
  <c r="V42" i="5" s="1"/>
  <c r="V43" i="5" a="1"/>
  <c r="V43" i="5" s="1"/>
  <c r="V44" i="5" a="1"/>
  <c r="V44" i="5" s="1"/>
  <c r="V45" i="5" a="1"/>
  <c r="V45" i="5" s="1"/>
  <c r="V46" i="5" a="1"/>
  <c r="V46" i="5" s="1"/>
  <c r="V47" i="5" a="1"/>
  <c r="V47" i="5" s="1"/>
  <c r="V48" i="5" a="1"/>
  <c r="V48" i="5" s="1"/>
  <c r="V49" i="5" a="1"/>
  <c r="V49" i="5" s="1"/>
  <c r="V50" i="5" a="1"/>
  <c r="V50" i="5" s="1"/>
  <c r="V51" i="5" a="1"/>
  <c r="V51" i="5" s="1"/>
  <c r="V52" i="5" a="1"/>
  <c r="V52" i="5" s="1"/>
  <c r="V53" i="5" a="1"/>
  <c r="V53" i="5" s="1"/>
  <c r="V54" i="5" a="1"/>
  <c r="V54" i="5" s="1"/>
  <c r="V55" i="5" a="1"/>
  <c r="V55" i="5" s="1"/>
  <c r="V56" i="5" a="1"/>
  <c r="V56" i="5" s="1"/>
  <c r="V57" i="5" a="1"/>
  <c r="V57" i="5" s="1"/>
  <c r="V58" i="5" a="1"/>
  <c r="V58" i="5" s="1"/>
  <c r="V59" i="5" a="1"/>
  <c r="V59" i="5" s="1"/>
  <c r="V60" i="5" a="1"/>
  <c r="V60" i="5" s="1"/>
  <c r="V61" i="5" a="1"/>
  <c r="V61" i="5" s="1"/>
  <c r="V62" i="5" a="1"/>
  <c r="V62" i="5" s="1"/>
  <c r="V63" i="5" a="1"/>
  <c r="V63" i="5" s="1"/>
  <c r="V64" i="5" a="1"/>
  <c r="V64" i="5" s="1"/>
  <c r="V65" i="5" a="1"/>
  <c r="V65" i="5" s="1"/>
  <c r="V66" i="5" a="1"/>
  <c r="V66" i="5" s="1"/>
  <c r="V67" i="5" a="1"/>
  <c r="V67" i="5" s="1"/>
  <c r="V68" i="5" a="1"/>
  <c r="V68" i="5" s="1"/>
  <c r="V69" i="5" a="1"/>
  <c r="V69" i="5" s="1"/>
  <c r="V70" i="5" a="1"/>
  <c r="V70" i="5" s="1"/>
  <c r="V71" i="5" a="1"/>
  <c r="V71" i="5" s="1"/>
  <c r="V72" i="5" a="1"/>
  <c r="V72" i="5" s="1"/>
  <c r="V73" i="5" a="1"/>
  <c r="V73" i="5" s="1"/>
  <c r="V74" i="5" a="1"/>
  <c r="V74" i="5" s="1"/>
  <c r="V75" i="5" a="1"/>
  <c r="V75" i="5" s="1"/>
  <c r="V76" i="5" a="1"/>
  <c r="V76" i="5" s="1"/>
  <c r="V77" i="5" a="1"/>
  <c r="V77" i="5" s="1"/>
  <c r="V78" i="5" a="1"/>
  <c r="V78" i="5" s="1"/>
  <c r="V79" i="5" a="1"/>
  <c r="V79" i="5" s="1"/>
  <c r="V80" i="5" a="1"/>
  <c r="V80" i="5" s="1"/>
  <c r="V81" i="5" a="1"/>
  <c r="V81" i="5" s="1"/>
  <c r="V82" i="5" a="1"/>
  <c r="V82" i="5" s="1"/>
  <c r="V83" i="5" a="1"/>
  <c r="V83" i="5" s="1"/>
  <c r="V84" i="5" a="1"/>
  <c r="V84" i="5" s="1"/>
  <c r="V85" i="5" a="1"/>
  <c r="V85" i="5" s="1"/>
  <c r="V86" i="5" a="1"/>
  <c r="V86" i="5" s="1"/>
  <c r="V87" i="5" a="1"/>
  <c r="V87" i="5" s="1"/>
  <c r="V88" i="5" a="1"/>
  <c r="V88" i="5" s="1"/>
  <c r="V89" i="5" a="1"/>
  <c r="V89" i="5" s="1"/>
  <c r="V90" i="5" a="1"/>
  <c r="V90" i="5" s="1"/>
  <c r="V91" i="5" a="1"/>
  <c r="V91" i="5" s="1"/>
  <c r="V92" i="5" a="1"/>
  <c r="V92" i="5" s="1"/>
  <c r="V93" i="5" a="1"/>
  <c r="V93" i="5" s="1"/>
  <c r="V94" i="5" a="1"/>
  <c r="V94" i="5" s="1"/>
  <c r="V95" i="5" a="1"/>
  <c r="V95" i="5" s="1"/>
  <c r="V96" i="5" a="1"/>
  <c r="V96" i="5" s="1"/>
  <c r="V97" i="5" a="1"/>
  <c r="V97" i="5" s="1"/>
  <c r="V98" i="5" a="1"/>
  <c r="V98" i="5" s="1"/>
  <c r="V99" i="5" a="1"/>
  <c r="V99" i="5" s="1"/>
  <c r="V100" i="5" a="1"/>
  <c r="V100" i="5" s="1"/>
  <c r="V101" i="5" a="1"/>
  <c r="V101" i="5" s="1"/>
  <c r="V102" i="5" a="1"/>
  <c r="V102" i="5" s="1"/>
  <c r="V103" i="5" a="1"/>
  <c r="V103" i="5" s="1"/>
  <c r="V104" i="5" a="1"/>
  <c r="V104" i="5" s="1"/>
  <c r="V105" i="5" a="1"/>
  <c r="V105" i="5" s="1"/>
  <c r="V106" i="5" a="1"/>
  <c r="V106" i="5" s="1"/>
  <c r="V107" i="5" a="1"/>
  <c r="V107" i="5" s="1"/>
  <c r="V108" i="5" a="1"/>
  <c r="V108" i="5" s="1"/>
  <c r="V109" i="5" a="1"/>
  <c r="V109" i="5" s="1"/>
  <c r="V110" i="5" a="1"/>
  <c r="V110" i="5" s="1"/>
  <c r="V111" i="5" a="1"/>
  <c r="V111" i="5" s="1"/>
  <c r="V112" i="5" a="1"/>
  <c r="V112" i="5" s="1"/>
  <c r="V113" i="5" a="1"/>
  <c r="V113" i="5" s="1"/>
  <c r="V114" i="5" a="1"/>
  <c r="V114" i="5" s="1"/>
  <c r="V115" i="5" a="1"/>
  <c r="V115" i="5" s="1"/>
  <c r="V116" i="5" a="1"/>
  <c r="V116" i="5" s="1"/>
  <c r="V117" i="5" a="1"/>
  <c r="V117" i="5" s="1"/>
  <c r="V118" i="5" a="1"/>
  <c r="V118" i="5" s="1"/>
  <c r="V119" i="5" a="1"/>
  <c r="V119" i="5" s="1"/>
  <c r="V120" i="5" a="1"/>
  <c r="V120" i="5" s="1"/>
  <c r="V121" i="5" a="1"/>
  <c r="V121" i="5" s="1"/>
  <c r="V122" i="5" a="1"/>
  <c r="V122" i="5" s="1"/>
  <c r="V123" i="5" a="1"/>
  <c r="V123" i="5" s="1"/>
  <c r="V124" i="5" a="1"/>
  <c r="V124" i="5" s="1"/>
  <c r="V125" i="5" a="1"/>
  <c r="V125" i="5" s="1"/>
  <c r="V126" i="5" a="1"/>
  <c r="V126" i="5" s="1"/>
  <c r="V127" i="5" a="1"/>
  <c r="V127" i="5" s="1"/>
  <c r="V128" i="5" a="1"/>
  <c r="V128" i="5" s="1"/>
  <c r="V129" i="5" a="1"/>
  <c r="V129" i="5" s="1"/>
  <c r="V130" i="5" a="1"/>
  <c r="V130" i="5" s="1"/>
  <c r="V131" i="5" a="1"/>
  <c r="V131" i="5" s="1"/>
  <c r="V132" i="5" a="1"/>
  <c r="V132" i="5" s="1"/>
  <c r="V133" i="5" a="1"/>
  <c r="V133" i="5" s="1"/>
  <c r="V134" i="5" a="1"/>
  <c r="V134" i="5" s="1"/>
  <c r="V135" i="5" a="1"/>
  <c r="V135" i="5" s="1"/>
  <c r="V136" i="5" a="1"/>
  <c r="V136" i="5" s="1"/>
  <c r="V137" i="5" a="1"/>
  <c r="V137" i="5" s="1"/>
  <c r="V138" i="5" a="1"/>
  <c r="V138" i="5" s="1"/>
  <c r="V139" i="5" a="1"/>
  <c r="V139" i="5" s="1"/>
  <c r="V140" i="5" a="1"/>
  <c r="V140" i="5" s="1"/>
  <c r="V141" i="5" a="1"/>
  <c r="V141" i="5" s="1"/>
  <c r="V142" i="5" a="1"/>
  <c r="V142" i="5" s="1"/>
  <c r="V143" i="5" a="1"/>
  <c r="V143" i="5" s="1"/>
  <c r="V144" i="5" a="1"/>
  <c r="V144" i="5" s="1"/>
  <c r="V145" i="5" a="1"/>
  <c r="V145" i="5" s="1"/>
  <c r="V146" i="5" a="1"/>
  <c r="V146" i="5" s="1"/>
  <c r="V147" i="5" a="1"/>
  <c r="V147" i="5" s="1"/>
  <c r="V148" i="5" a="1"/>
  <c r="V148" i="5" s="1"/>
  <c r="V149" i="5" a="1"/>
  <c r="V149" i="5" s="1"/>
  <c r="V150" i="5" a="1"/>
  <c r="V150" i="5" s="1"/>
  <c r="V151" i="5" a="1"/>
  <c r="V151" i="5" s="1"/>
  <c r="V152" i="5" a="1"/>
  <c r="V152" i="5" s="1"/>
  <c r="V153" i="5" a="1"/>
  <c r="V153" i="5" s="1"/>
  <c r="V154" i="5" a="1"/>
  <c r="V154" i="5" s="1"/>
  <c r="V5" i="5" a="1"/>
  <c r="V5" i="5" s="1"/>
  <c r="T6" i="5" a="1"/>
  <c r="T6" i="5" s="1"/>
  <c r="T7" i="5" a="1"/>
  <c r="T7" i="5" s="1"/>
  <c r="T8" i="5" a="1"/>
  <c r="T8" i="5" s="1"/>
  <c r="T9" i="5" a="1"/>
  <c r="T9" i="5" s="1"/>
  <c r="T10" i="5" a="1"/>
  <c r="T10" i="5" s="1"/>
  <c r="T11" i="5" a="1"/>
  <c r="T11" i="5" s="1"/>
  <c r="T12" i="5" a="1"/>
  <c r="T12" i="5" s="1"/>
  <c r="T13" i="5" a="1"/>
  <c r="T13" i="5" s="1"/>
  <c r="T14" i="5" a="1"/>
  <c r="T14" i="5" s="1"/>
  <c r="T15" i="5" a="1"/>
  <c r="T15" i="5" s="1"/>
  <c r="T16" i="5" a="1"/>
  <c r="T16" i="5" s="1"/>
  <c r="T17" i="5" a="1"/>
  <c r="T17" i="5" s="1"/>
  <c r="T18" i="5" a="1"/>
  <c r="T18" i="5" s="1"/>
  <c r="T19" i="5" a="1"/>
  <c r="T19" i="5" s="1"/>
  <c r="T20" i="5" a="1"/>
  <c r="T20" i="5" s="1"/>
  <c r="T21" i="5" a="1"/>
  <c r="T21" i="5" s="1"/>
  <c r="T22" i="5" a="1"/>
  <c r="T22" i="5" s="1"/>
  <c r="T23" i="5" a="1"/>
  <c r="T23" i="5" s="1"/>
  <c r="T24" i="5" a="1"/>
  <c r="T24" i="5" s="1"/>
  <c r="T25" i="5" a="1"/>
  <c r="T25" i="5" s="1"/>
  <c r="T26" i="5" a="1"/>
  <c r="T26" i="5" s="1"/>
  <c r="T27" i="5" a="1"/>
  <c r="T27" i="5" s="1"/>
  <c r="T28" i="5" a="1"/>
  <c r="T28" i="5" s="1"/>
  <c r="T29" i="5" a="1"/>
  <c r="T29" i="5" s="1"/>
  <c r="T30" i="5" a="1"/>
  <c r="T30" i="5" s="1"/>
  <c r="T31" i="5" a="1"/>
  <c r="T31" i="5" s="1"/>
  <c r="T32" i="5" a="1"/>
  <c r="T32" i="5" s="1"/>
  <c r="T33" i="5" a="1"/>
  <c r="T33" i="5" s="1"/>
  <c r="T34" i="5" a="1"/>
  <c r="T34" i="5" s="1"/>
  <c r="T35" i="5" a="1"/>
  <c r="T35" i="5" s="1"/>
  <c r="T36" i="5" a="1"/>
  <c r="T36" i="5" s="1"/>
  <c r="T37" i="5" a="1"/>
  <c r="T37" i="5" s="1"/>
  <c r="T38" i="5" a="1"/>
  <c r="T38" i="5" s="1"/>
  <c r="T39" i="5" a="1"/>
  <c r="T39" i="5" s="1"/>
  <c r="T40" i="5" a="1"/>
  <c r="T40" i="5" s="1"/>
  <c r="T41" i="5" a="1"/>
  <c r="T41" i="5" s="1"/>
  <c r="T42" i="5" a="1"/>
  <c r="T42" i="5" s="1"/>
  <c r="T43" i="5" a="1"/>
  <c r="T43" i="5" s="1"/>
  <c r="T44" i="5" a="1"/>
  <c r="T44" i="5" s="1"/>
  <c r="T45" i="5" a="1"/>
  <c r="T45" i="5" s="1"/>
  <c r="T46" i="5" a="1"/>
  <c r="T46" i="5" s="1"/>
  <c r="T47" i="5" a="1"/>
  <c r="T47" i="5" s="1"/>
  <c r="T48" i="5" a="1"/>
  <c r="T48" i="5" s="1"/>
  <c r="T49" i="5" a="1"/>
  <c r="T49" i="5" s="1"/>
  <c r="T50" i="5" a="1"/>
  <c r="T50" i="5" s="1"/>
  <c r="T51" i="5" a="1"/>
  <c r="T51" i="5" s="1"/>
  <c r="T52" i="5" a="1"/>
  <c r="T52" i="5" s="1"/>
  <c r="T53" i="5" a="1"/>
  <c r="T53" i="5" s="1"/>
  <c r="T54" i="5" a="1"/>
  <c r="T54" i="5" s="1"/>
  <c r="T55" i="5" a="1"/>
  <c r="T55" i="5" s="1"/>
  <c r="T56" i="5" a="1"/>
  <c r="T56" i="5" s="1"/>
  <c r="T57" i="5" a="1"/>
  <c r="T57" i="5" s="1"/>
  <c r="T58" i="5" a="1"/>
  <c r="T58" i="5" s="1"/>
  <c r="T59" i="5" a="1"/>
  <c r="T59" i="5" s="1"/>
  <c r="T60" i="5" a="1"/>
  <c r="T60" i="5" s="1"/>
  <c r="T61" i="5" a="1"/>
  <c r="T61" i="5" s="1"/>
  <c r="T62" i="5" a="1"/>
  <c r="T62" i="5" s="1"/>
  <c r="T63" i="5" a="1"/>
  <c r="T63" i="5" s="1"/>
  <c r="T64" i="5" a="1"/>
  <c r="T64" i="5" s="1"/>
  <c r="T65" i="5" a="1"/>
  <c r="T65" i="5" s="1"/>
  <c r="T66" i="5" a="1"/>
  <c r="T66" i="5" s="1"/>
  <c r="T67" i="5" a="1"/>
  <c r="T67" i="5" s="1"/>
  <c r="T68" i="5" a="1"/>
  <c r="T68" i="5" s="1"/>
  <c r="T69" i="5" a="1"/>
  <c r="T69" i="5" s="1"/>
  <c r="T70" i="5" a="1"/>
  <c r="T70" i="5" s="1"/>
  <c r="T71" i="5" a="1"/>
  <c r="T71" i="5" s="1"/>
  <c r="T72" i="5" a="1"/>
  <c r="T72" i="5" s="1"/>
  <c r="T73" i="5" a="1"/>
  <c r="T73" i="5" s="1"/>
  <c r="T74" i="5" a="1"/>
  <c r="T74" i="5" s="1"/>
  <c r="T75" i="5" a="1"/>
  <c r="T75" i="5" s="1"/>
  <c r="T76" i="5" a="1"/>
  <c r="T76" i="5" s="1"/>
  <c r="T77" i="5" a="1"/>
  <c r="T77" i="5" s="1"/>
  <c r="T78" i="5" a="1"/>
  <c r="T78" i="5" s="1"/>
  <c r="T79" i="5" a="1"/>
  <c r="T79" i="5" s="1"/>
  <c r="T80" i="5" a="1"/>
  <c r="T80" i="5" s="1"/>
  <c r="T81" i="5" a="1"/>
  <c r="T81" i="5" s="1"/>
  <c r="T82" i="5" a="1"/>
  <c r="T82" i="5" s="1"/>
  <c r="T83" i="5" a="1"/>
  <c r="T83" i="5" s="1"/>
  <c r="T84" i="5" a="1"/>
  <c r="T84" i="5" s="1"/>
  <c r="T85" i="5" a="1"/>
  <c r="T85" i="5" s="1"/>
  <c r="T86" i="5" a="1"/>
  <c r="T86" i="5" s="1"/>
  <c r="T87" i="5" a="1"/>
  <c r="T87" i="5" s="1"/>
  <c r="T88" i="5" a="1"/>
  <c r="T88" i="5" s="1"/>
  <c r="T89" i="5" a="1"/>
  <c r="T89" i="5" s="1"/>
  <c r="T90" i="5" a="1"/>
  <c r="T90" i="5" s="1"/>
  <c r="T91" i="5" a="1"/>
  <c r="T91" i="5" s="1"/>
  <c r="T92" i="5" a="1"/>
  <c r="T92" i="5" s="1"/>
  <c r="T93" i="5" a="1"/>
  <c r="T93" i="5" s="1"/>
  <c r="T94" i="5" a="1"/>
  <c r="T94" i="5" s="1"/>
  <c r="T95" i="5" a="1"/>
  <c r="T95" i="5" s="1"/>
  <c r="T96" i="5" a="1"/>
  <c r="T96" i="5" s="1"/>
  <c r="T97" i="5" a="1"/>
  <c r="T97" i="5" s="1"/>
  <c r="T98" i="5" a="1"/>
  <c r="T98" i="5" s="1"/>
  <c r="T99" i="5" a="1"/>
  <c r="T99" i="5" s="1"/>
  <c r="T100" i="5" a="1"/>
  <c r="T100" i="5" s="1"/>
  <c r="T101" i="5" a="1"/>
  <c r="T101" i="5" s="1"/>
  <c r="T102" i="5" a="1"/>
  <c r="T102" i="5" s="1"/>
  <c r="T103" i="5" a="1"/>
  <c r="T103" i="5" s="1"/>
  <c r="T104" i="5" a="1"/>
  <c r="T104" i="5" s="1"/>
  <c r="T105" i="5" a="1"/>
  <c r="T105" i="5" s="1"/>
  <c r="T106" i="5" a="1"/>
  <c r="T106" i="5" s="1"/>
  <c r="T107" i="5" a="1"/>
  <c r="T107" i="5" s="1"/>
  <c r="T108" i="5" a="1"/>
  <c r="T108" i="5" s="1"/>
  <c r="T109" i="5" a="1"/>
  <c r="T109" i="5" s="1"/>
  <c r="T110" i="5" a="1"/>
  <c r="T110" i="5" s="1"/>
  <c r="T111" i="5" a="1"/>
  <c r="T111" i="5" s="1"/>
  <c r="T112" i="5" a="1"/>
  <c r="T112" i="5" s="1"/>
  <c r="T113" i="5" a="1"/>
  <c r="T113" i="5" s="1"/>
  <c r="T114" i="5" a="1"/>
  <c r="T114" i="5" s="1"/>
  <c r="T115" i="5" a="1"/>
  <c r="T115" i="5" s="1"/>
  <c r="T116" i="5" a="1"/>
  <c r="T116" i="5" s="1"/>
  <c r="T117" i="5" a="1"/>
  <c r="T117" i="5" s="1"/>
  <c r="T118" i="5" a="1"/>
  <c r="T118" i="5" s="1"/>
  <c r="T119" i="5" a="1"/>
  <c r="T119" i="5" s="1"/>
  <c r="T120" i="5" a="1"/>
  <c r="T120" i="5" s="1"/>
  <c r="T121" i="5" a="1"/>
  <c r="T121" i="5" s="1"/>
  <c r="T122" i="5" a="1"/>
  <c r="T122" i="5" s="1"/>
  <c r="T123" i="5" a="1"/>
  <c r="T123" i="5" s="1"/>
  <c r="T124" i="5" a="1"/>
  <c r="T124" i="5" s="1"/>
  <c r="T125" i="5" a="1"/>
  <c r="T125" i="5" s="1"/>
  <c r="T126" i="5" a="1"/>
  <c r="T126" i="5" s="1"/>
  <c r="T127" i="5" a="1"/>
  <c r="T127" i="5" s="1"/>
  <c r="T128" i="5" a="1"/>
  <c r="T128" i="5" s="1"/>
  <c r="T129" i="5" a="1"/>
  <c r="T129" i="5" s="1"/>
  <c r="T130" i="5" a="1"/>
  <c r="T130" i="5" s="1"/>
  <c r="T131" i="5" a="1"/>
  <c r="T131" i="5" s="1"/>
  <c r="T132" i="5" a="1"/>
  <c r="T132" i="5" s="1"/>
  <c r="T133" i="5" a="1"/>
  <c r="T133" i="5" s="1"/>
  <c r="T134" i="5" a="1"/>
  <c r="T134" i="5" s="1"/>
  <c r="T135" i="5" a="1"/>
  <c r="T135" i="5" s="1"/>
  <c r="T136" i="5" a="1"/>
  <c r="T136" i="5" s="1"/>
  <c r="T137" i="5" a="1"/>
  <c r="T137" i="5" s="1"/>
  <c r="T138" i="5" a="1"/>
  <c r="T138" i="5" s="1"/>
  <c r="T139" i="5" a="1"/>
  <c r="T139" i="5" s="1"/>
  <c r="T140" i="5" a="1"/>
  <c r="T140" i="5" s="1"/>
  <c r="T141" i="5" a="1"/>
  <c r="T141" i="5" s="1"/>
  <c r="T142" i="5" a="1"/>
  <c r="T142" i="5" s="1"/>
  <c r="T143" i="5" a="1"/>
  <c r="T143" i="5" s="1"/>
  <c r="T144" i="5" a="1"/>
  <c r="T144" i="5" s="1"/>
  <c r="T145" i="5" a="1"/>
  <c r="T145" i="5" s="1"/>
  <c r="T146" i="5" a="1"/>
  <c r="T146" i="5" s="1"/>
  <c r="T147" i="5" a="1"/>
  <c r="T147" i="5" s="1"/>
  <c r="T148" i="5" a="1"/>
  <c r="T148" i="5" s="1"/>
  <c r="T149" i="5" a="1"/>
  <c r="T149" i="5" s="1"/>
  <c r="T150" i="5" a="1"/>
  <c r="T150" i="5" s="1"/>
  <c r="T151" i="5" a="1"/>
  <c r="T151" i="5" s="1"/>
  <c r="T152" i="5" a="1"/>
  <c r="T152" i="5" s="1"/>
  <c r="T153" i="5" a="1"/>
  <c r="T153" i="5" s="1"/>
  <c r="T154" i="5" a="1"/>
  <c r="T154" i="5" s="1"/>
  <c r="T5" i="5" a="1"/>
  <c r="T5" i="5" s="1"/>
  <c r="R6" i="5" a="1"/>
  <c r="R6" i="5" s="1"/>
  <c r="S6" i="5" a="1"/>
  <c r="S6" i="5" s="1"/>
  <c r="R7" i="5" a="1"/>
  <c r="R7" i="5" s="1"/>
  <c r="S7" i="5" a="1"/>
  <c r="S7" i="5" s="1"/>
  <c r="R8" i="5" a="1"/>
  <c r="R8" i="5" s="1"/>
  <c r="S8" i="5" a="1"/>
  <c r="S8" i="5" s="1"/>
  <c r="R9" i="5" a="1"/>
  <c r="R9" i="5" s="1"/>
  <c r="S9" i="5" a="1"/>
  <c r="S9" i="5" s="1"/>
  <c r="R10" i="5" a="1"/>
  <c r="R10" i="5" s="1"/>
  <c r="S10" i="5" a="1"/>
  <c r="S10" i="5" s="1"/>
  <c r="R11" i="5" a="1"/>
  <c r="R11" i="5" s="1"/>
  <c r="S11" i="5" a="1"/>
  <c r="S11" i="5" s="1"/>
  <c r="R12" i="5" a="1"/>
  <c r="R12" i="5" s="1"/>
  <c r="S12" i="5" a="1"/>
  <c r="S12" i="5" s="1"/>
  <c r="R13" i="5" a="1"/>
  <c r="R13" i="5" s="1"/>
  <c r="S13" i="5" a="1"/>
  <c r="S13" i="5" s="1"/>
  <c r="R14" i="5" a="1"/>
  <c r="R14" i="5" s="1"/>
  <c r="S14" i="5" a="1"/>
  <c r="S14" i="5" s="1"/>
  <c r="R15" i="5" a="1"/>
  <c r="R15" i="5" s="1"/>
  <c r="S15" i="5" a="1"/>
  <c r="S15" i="5" s="1"/>
  <c r="R16" i="5" a="1"/>
  <c r="R16" i="5" s="1"/>
  <c r="S16" i="5" a="1"/>
  <c r="S16" i="5" s="1"/>
  <c r="R17" i="5" a="1"/>
  <c r="R17" i="5" s="1"/>
  <c r="S17" i="5" a="1"/>
  <c r="S17" i="5" s="1"/>
  <c r="R18" i="5" a="1"/>
  <c r="R18" i="5" s="1"/>
  <c r="S18" i="5" a="1"/>
  <c r="S18" i="5" s="1"/>
  <c r="R19" i="5" a="1"/>
  <c r="R19" i="5" s="1"/>
  <c r="S19" i="5" a="1"/>
  <c r="S19" i="5" s="1"/>
  <c r="R20" i="5" a="1"/>
  <c r="R20" i="5" s="1"/>
  <c r="S20" i="5" a="1"/>
  <c r="S20" i="5" s="1"/>
  <c r="R21" i="5" a="1"/>
  <c r="R21" i="5" s="1"/>
  <c r="S21" i="5" a="1"/>
  <c r="S21" i="5" s="1"/>
  <c r="R22" i="5" a="1"/>
  <c r="R22" i="5" s="1"/>
  <c r="S22" i="5" a="1"/>
  <c r="S22" i="5" s="1"/>
  <c r="R23" i="5" a="1"/>
  <c r="R23" i="5" s="1"/>
  <c r="S23" i="5" a="1"/>
  <c r="S23" i="5" s="1"/>
  <c r="R24" i="5" a="1"/>
  <c r="R24" i="5" s="1"/>
  <c r="S24" i="5" a="1"/>
  <c r="S24" i="5" s="1"/>
  <c r="R25" i="5" a="1"/>
  <c r="R25" i="5" s="1"/>
  <c r="S25" i="5" a="1"/>
  <c r="S25" i="5" s="1"/>
  <c r="R26" i="5" a="1"/>
  <c r="R26" i="5" s="1"/>
  <c r="S26" i="5" a="1"/>
  <c r="S26" i="5" s="1"/>
  <c r="R27" i="5" a="1"/>
  <c r="R27" i="5" s="1"/>
  <c r="S27" i="5" a="1"/>
  <c r="S27" i="5" s="1"/>
  <c r="R28" i="5" a="1"/>
  <c r="R28" i="5" s="1"/>
  <c r="S28" i="5" a="1"/>
  <c r="S28" i="5" s="1"/>
  <c r="R29" i="5" a="1"/>
  <c r="R29" i="5" s="1"/>
  <c r="S29" i="5" a="1"/>
  <c r="S29" i="5" s="1"/>
  <c r="R30" i="5" a="1"/>
  <c r="R30" i="5" s="1"/>
  <c r="S30" i="5" a="1"/>
  <c r="S30" i="5" s="1"/>
  <c r="R31" i="5" a="1"/>
  <c r="R31" i="5" s="1"/>
  <c r="S31" i="5" a="1"/>
  <c r="S31" i="5" s="1"/>
  <c r="R32" i="5" a="1"/>
  <c r="R32" i="5" s="1"/>
  <c r="S32" i="5" a="1"/>
  <c r="S32" i="5" s="1"/>
  <c r="R33" i="5" a="1"/>
  <c r="R33" i="5" s="1"/>
  <c r="S33" i="5" a="1"/>
  <c r="S33" i="5" s="1"/>
  <c r="R34" i="5" a="1"/>
  <c r="R34" i="5" s="1"/>
  <c r="S34" i="5" a="1"/>
  <c r="S34" i="5" s="1"/>
  <c r="R35" i="5" a="1"/>
  <c r="R35" i="5" s="1"/>
  <c r="S35" i="5" a="1"/>
  <c r="S35" i="5" s="1"/>
  <c r="R36" i="5" a="1"/>
  <c r="R36" i="5" s="1"/>
  <c r="S36" i="5" a="1"/>
  <c r="S36" i="5" s="1"/>
  <c r="R37" i="5" a="1"/>
  <c r="R37" i="5" s="1"/>
  <c r="S37" i="5" a="1"/>
  <c r="S37" i="5" s="1"/>
  <c r="R38" i="5" a="1"/>
  <c r="R38" i="5" s="1"/>
  <c r="S38" i="5" a="1"/>
  <c r="S38" i="5" s="1"/>
  <c r="R39" i="5" a="1"/>
  <c r="R39" i="5" s="1"/>
  <c r="S39" i="5" a="1"/>
  <c r="S39" i="5" s="1"/>
  <c r="R40" i="5" a="1"/>
  <c r="R40" i="5" s="1"/>
  <c r="S40" i="5" a="1"/>
  <c r="S40" i="5" s="1"/>
  <c r="R41" i="5" a="1"/>
  <c r="R41" i="5" s="1"/>
  <c r="S41" i="5" a="1"/>
  <c r="S41" i="5" s="1"/>
  <c r="R42" i="5" a="1"/>
  <c r="R42" i="5" s="1"/>
  <c r="S42" i="5" a="1"/>
  <c r="S42" i="5" s="1"/>
  <c r="R43" i="5" a="1"/>
  <c r="R43" i="5" s="1"/>
  <c r="S43" i="5" a="1"/>
  <c r="S43" i="5" s="1"/>
  <c r="R44" i="5" a="1"/>
  <c r="R44" i="5" s="1"/>
  <c r="S44" i="5" a="1"/>
  <c r="S44" i="5" s="1"/>
  <c r="R45" i="5" a="1"/>
  <c r="R45" i="5" s="1"/>
  <c r="S45" i="5" a="1"/>
  <c r="S45" i="5" s="1"/>
  <c r="R46" i="5" a="1"/>
  <c r="R46" i="5" s="1"/>
  <c r="S46" i="5" a="1"/>
  <c r="S46" i="5" s="1"/>
  <c r="R47" i="5" a="1"/>
  <c r="R47" i="5" s="1"/>
  <c r="S47" i="5" a="1"/>
  <c r="S47" i="5" s="1"/>
  <c r="R48" i="5" a="1"/>
  <c r="R48" i="5" s="1"/>
  <c r="S48" i="5" a="1"/>
  <c r="S48" i="5" s="1"/>
  <c r="R49" i="5" a="1"/>
  <c r="R49" i="5" s="1"/>
  <c r="S49" i="5" a="1"/>
  <c r="S49" i="5" s="1"/>
  <c r="R50" i="5" a="1"/>
  <c r="R50" i="5" s="1"/>
  <c r="S50" i="5" a="1"/>
  <c r="S50" i="5" s="1"/>
  <c r="R51" i="5" a="1"/>
  <c r="R51" i="5" s="1"/>
  <c r="S51" i="5" a="1"/>
  <c r="S51" i="5" s="1"/>
  <c r="R52" i="5" a="1"/>
  <c r="R52" i="5" s="1"/>
  <c r="S52" i="5" a="1"/>
  <c r="S52" i="5" s="1"/>
  <c r="R53" i="5" a="1"/>
  <c r="R53" i="5" s="1"/>
  <c r="S53" i="5" a="1"/>
  <c r="S53" i="5" s="1"/>
  <c r="R54" i="5" a="1"/>
  <c r="R54" i="5" s="1"/>
  <c r="S54" i="5" a="1"/>
  <c r="S54" i="5" s="1"/>
  <c r="R55" i="5" a="1"/>
  <c r="R55" i="5" s="1"/>
  <c r="S55" i="5" a="1"/>
  <c r="S55" i="5" s="1"/>
  <c r="R56" i="5" a="1"/>
  <c r="R56" i="5" s="1"/>
  <c r="S56" i="5" a="1"/>
  <c r="S56" i="5" s="1"/>
  <c r="R57" i="5" a="1"/>
  <c r="R57" i="5" s="1"/>
  <c r="S57" i="5" a="1"/>
  <c r="S57" i="5" s="1"/>
  <c r="R58" i="5" a="1"/>
  <c r="R58" i="5" s="1"/>
  <c r="S58" i="5" a="1"/>
  <c r="S58" i="5" s="1"/>
  <c r="R59" i="5" a="1"/>
  <c r="R59" i="5" s="1"/>
  <c r="S59" i="5" a="1"/>
  <c r="S59" i="5" s="1"/>
  <c r="R60" i="5" a="1"/>
  <c r="R60" i="5" s="1"/>
  <c r="S60" i="5" a="1"/>
  <c r="S60" i="5" s="1"/>
  <c r="R61" i="5" a="1"/>
  <c r="R61" i="5" s="1"/>
  <c r="S61" i="5" a="1"/>
  <c r="S61" i="5" s="1"/>
  <c r="R62" i="5" a="1"/>
  <c r="R62" i="5" s="1"/>
  <c r="S62" i="5" a="1"/>
  <c r="S62" i="5" s="1"/>
  <c r="R63" i="5" a="1"/>
  <c r="R63" i="5" s="1"/>
  <c r="S63" i="5" a="1"/>
  <c r="S63" i="5" s="1"/>
  <c r="R64" i="5" a="1"/>
  <c r="R64" i="5" s="1"/>
  <c r="S64" i="5" a="1"/>
  <c r="S64" i="5" s="1"/>
  <c r="R65" i="5" a="1"/>
  <c r="R65" i="5" s="1"/>
  <c r="S65" i="5" a="1"/>
  <c r="S65" i="5" s="1"/>
  <c r="R66" i="5" a="1"/>
  <c r="R66" i="5" s="1"/>
  <c r="S66" i="5" a="1"/>
  <c r="S66" i="5" s="1"/>
  <c r="R67" i="5" a="1"/>
  <c r="R67" i="5" s="1"/>
  <c r="S67" i="5" a="1"/>
  <c r="S67" i="5" s="1"/>
  <c r="R68" i="5" a="1"/>
  <c r="R68" i="5" s="1"/>
  <c r="S68" i="5" a="1"/>
  <c r="S68" i="5" s="1"/>
  <c r="R69" i="5" a="1"/>
  <c r="R69" i="5" s="1"/>
  <c r="S69" i="5" a="1"/>
  <c r="S69" i="5" s="1"/>
  <c r="R70" i="5" a="1"/>
  <c r="R70" i="5" s="1"/>
  <c r="S70" i="5" a="1"/>
  <c r="S70" i="5" s="1"/>
  <c r="R71" i="5" a="1"/>
  <c r="R71" i="5" s="1"/>
  <c r="S71" i="5" a="1"/>
  <c r="S71" i="5" s="1"/>
  <c r="R72" i="5" a="1"/>
  <c r="R72" i="5" s="1"/>
  <c r="S72" i="5" a="1"/>
  <c r="S72" i="5" s="1"/>
  <c r="R73" i="5" a="1"/>
  <c r="R73" i="5" s="1"/>
  <c r="S73" i="5" a="1"/>
  <c r="S73" i="5" s="1"/>
  <c r="R74" i="5" a="1"/>
  <c r="R74" i="5" s="1"/>
  <c r="S74" i="5" a="1"/>
  <c r="S74" i="5" s="1"/>
  <c r="R75" i="5" a="1"/>
  <c r="R75" i="5" s="1"/>
  <c r="S75" i="5" a="1"/>
  <c r="S75" i="5" s="1"/>
  <c r="R76" i="5" a="1"/>
  <c r="R76" i="5" s="1"/>
  <c r="S76" i="5" a="1"/>
  <c r="S76" i="5" s="1"/>
  <c r="R77" i="5" a="1"/>
  <c r="R77" i="5" s="1"/>
  <c r="S77" i="5" a="1"/>
  <c r="S77" i="5" s="1"/>
  <c r="R78" i="5" a="1"/>
  <c r="R78" i="5" s="1"/>
  <c r="S78" i="5" a="1"/>
  <c r="S78" i="5" s="1"/>
  <c r="R79" i="5" a="1"/>
  <c r="R79" i="5" s="1"/>
  <c r="S79" i="5" a="1"/>
  <c r="S79" i="5" s="1"/>
  <c r="R80" i="5" a="1"/>
  <c r="R80" i="5" s="1"/>
  <c r="S80" i="5" a="1"/>
  <c r="S80" i="5" s="1"/>
  <c r="R81" i="5" a="1"/>
  <c r="R81" i="5" s="1"/>
  <c r="S81" i="5" a="1"/>
  <c r="S81" i="5" s="1"/>
  <c r="R82" i="5" a="1"/>
  <c r="R82" i="5" s="1"/>
  <c r="S82" i="5" a="1"/>
  <c r="S82" i="5" s="1"/>
  <c r="R83" i="5" a="1"/>
  <c r="R83" i="5" s="1"/>
  <c r="S83" i="5" a="1"/>
  <c r="S83" i="5" s="1"/>
  <c r="R84" i="5" a="1"/>
  <c r="R84" i="5" s="1"/>
  <c r="S84" i="5" a="1"/>
  <c r="S84" i="5" s="1"/>
  <c r="R85" i="5" a="1"/>
  <c r="R85" i="5" s="1"/>
  <c r="S85" i="5" a="1"/>
  <c r="S85" i="5" s="1"/>
  <c r="R86" i="5" a="1"/>
  <c r="R86" i="5" s="1"/>
  <c r="S86" i="5" a="1"/>
  <c r="S86" i="5" s="1"/>
  <c r="R87" i="5" a="1"/>
  <c r="R87" i="5" s="1"/>
  <c r="S87" i="5" a="1"/>
  <c r="S87" i="5" s="1"/>
  <c r="R88" i="5" a="1"/>
  <c r="R88" i="5" s="1"/>
  <c r="S88" i="5" a="1"/>
  <c r="S88" i="5" s="1"/>
  <c r="R89" i="5" a="1"/>
  <c r="R89" i="5" s="1"/>
  <c r="S89" i="5" a="1"/>
  <c r="S89" i="5" s="1"/>
  <c r="R90" i="5" a="1"/>
  <c r="R90" i="5" s="1"/>
  <c r="S90" i="5" a="1"/>
  <c r="S90" i="5" s="1"/>
  <c r="R91" i="5" a="1"/>
  <c r="R91" i="5" s="1"/>
  <c r="S91" i="5" a="1"/>
  <c r="S91" i="5" s="1"/>
  <c r="R92" i="5" a="1"/>
  <c r="R92" i="5" s="1"/>
  <c r="S92" i="5" a="1"/>
  <c r="S92" i="5" s="1"/>
  <c r="R93" i="5" a="1"/>
  <c r="R93" i="5" s="1"/>
  <c r="S93" i="5" a="1"/>
  <c r="S93" i="5" s="1"/>
  <c r="R94" i="5" a="1"/>
  <c r="R94" i="5" s="1"/>
  <c r="S94" i="5" a="1"/>
  <c r="S94" i="5" s="1"/>
  <c r="R95" i="5" a="1"/>
  <c r="R95" i="5" s="1"/>
  <c r="S95" i="5" a="1"/>
  <c r="S95" i="5" s="1"/>
  <c r="R96" i="5" a="1"/>
  <c r="R96" i="5" s="1"/>
  <c r="S96" i="5" a="1"/>
  <c r="S96" i="5" s="1"/>
  <c r="R97" i="5" a="1"/>
  <c r="R97" i="5" s="1"/>
  <c r="S97" i="5" a="1"/>
  <c r="S97" i="5" s="1"/>
  <c r="R98" i="5" a="1"/>
  <c r="R98" i="5" s="1"/>
  <c r="S98" i="5" a="1"/>
  <c r="S98" i="5" s="1"/>
  <c r="R99" i="5" a="1"/>
  <c r="R99" i="5" s="1"/>
  <c r="S99" i="5" a="1"/>
  <c r="S99" i="5" s="1"/>
  <c r="R100" i="5" a="1"/>
  <c r="R100" i="5" s="1"/>
  <c r="S100" i="5" a="1"/>
  <c r="S100" i="5" s="1"/>
  <c r="R101" i="5" a="1"/>
  <c r="R101" i="5" s="1"/>
  <c r="S101" i="5" a="1"/>
  <c r="S101" i="5" s="1"/>
  <c r="R102" i="5" a="1"/>
  <c r="R102" i="5" s="1"/>
  <c r="S102" i="5" a="1"/>
  <c r="S102" i="5" s="1"/>
  <c r="R103" i="5" a="1"/>
  <c r="R103" i="5" s="1"/>
  <c r="S103" i="5" a="1"/>
  <c r="S103" i="5" s="1"/>
  <c r="R104" i="5" a="1"/>
  <c r="R104" i="5" s="1"/>
  <c r="S104" i="5" a="1"/>
  <c r="S104" i="5" s="1"/>
  <c r="R105" i="5" a="1"/>
  <c r="R105" i="5" s="1"/>
  <c r="S105" i="5" a="1"/>
  <c r="S105" i="5" s="1"/>
  <c r="R106" i="5" a="1"/>
  <c r="R106" i="5" s="1"/>
  <c r="S106" i="5" a="1"/>
  <c r="S106" i="5" s="1"/>
  <c r="R107" i="5" a="1"/>
  <c r="R107" i="5" s="1"/>
  <c r="S107" i="5" a="1"/>
  <c r="S107" i="5" s="1"/>
  <c r="R108" i="5" a="1"/>
  <c r="R108" i="5" s="1"/>
  <c r="S108" i="5" a="1"/>
  <c r="S108" i="5" s="1"/>
  <c r="R109" i="5" a="1"/>
  <c r="R109" i="5" s="1"/>
  <c r="S109" i="5" a="1"/>
  <c r="S109" i="5" s="1"/>
  <c r="R110" i="5" a="1"/>
  <c r="R110" i="5" s="1"/>
  <c r="S110" i="5" a="1"/>
  <c r="S110" i="5" s="1"/>
  <c r="R111" i="5" a="1"/>
  <c r="R111" i="5" s="1"/>
  <c r="S111" i="5" a="1"/>
  <c r="S111" i="5" s="1"/>
  <c r="R112" i="5" a="1"/>
  <c r="R112" i="5" s="1"/>
  <c r="S112" i="5" a="1"/>
  <c r="S112" i="5" s="1"/>
  <c r="R113" i="5" a="1"/>
  <c r="R113" i="5" s="1"/>
  <c r="S113" i="5" a="1"/>
  <c r="S113" i="5" s="1"/>
  <c r="R114" i="5" a="1"/>
  <c r="R114" i="5" s="1"/>
  <c r="S114" i="5" a="1"/>
  <c r="S114" i="5" s="1"/>
  <c r="R115" i="5" a="1"/>
  <c r="R115" i="5" s="1"/>
  <c r="S115" i="5" a="1"/>
  <c r="S115" i="5" s="1"/>
  <c r="R116" i="5" a="1"/>
  <c r="R116" i="5" s="1"/>
  <c r="S116" i="5" a="1"/>
  <c r="S116" i="5" s="1"/>
  <c r="R117" i="5" a="1"/>
  <c r="R117" i="5" s="1"/>
  <c r="S117" i="5" a="1"/>
  <c r="S117" i="5" s="1"/>
  <c r="R118" i="5" a="1"/>
  <c r="R118" i="5" s="1"/>
  <c r="S118" i="5" a="1"/>
  <c r="S118" i="5" s="1"/>
  <c r="R119" i="5" a="1"/>
  <c r="R119" i="5" s="1"/>
  <c r="S119" i="5" a="1"/>
  <c r="S119" i="5" s="1"/>
  <c r="R120" i="5" a="1"/>
  <c r="R120" i="5" s="1"/>
  <c r="S120" i="5" a="1"/>
  <c r="S120" i="5" s="1"/>
  <c r="R121" i="5" a="1"/>
  <c r="R121" i="5" s="1"/>
  <c r="S121" i="5" a="1"/>
  <c r="S121" i="5" s="1"/>
  <c r="R122" i="5" a="1"/>
  <c r="R122" i="5" s="1"/>
  <c r="S122" i="5" a="1"/>
  <c r="S122" i="5" s="1"/>
  <c r="R123" i="5" a="1"/>
  <c r="R123" i="5" s="1"/>
  <c r="S123" i="5" a="1"/>
  <c r="S123" i="5" s="1"/>
  <c r="R124" i="5" a="1"/>
  <c r="R124" i="5" s="1"/>
  <c r="S124" i="5" a="1"/>
  <c r="S124" i="5" s="1"/>
  <c r="R125" i="5" a="1"/>
  <c r="R125" i="5" s="1"/>
  <c r="S125" i="5" a="1"/>
  <c r="S125" i="5" s="1"/>
  <c r="R126" i="5" a="1"/>
  <c r="R126" i="5" s="1"/>
  <c r="S126" i="5" a="1"/>
  <c r="S126" i="5" s="1"/>
  <c r="R127" i="5" a="1"/>
  <c r="R127" i="5" s="1"/>
  <c r="S127" i="5" a="1"/>
  <c r="S127" i="5" s="1"/>
  <c r="R128" i="5" a="1"/>
  <c r="R128" i="5" s="1"/>
  <c r="S128" i="5" a="1"/>
  <c r="S128" i="5" s="1"/>
  <c r="R129" i="5" a="1"/>
  <c r="R129" i="5" s="1"/>
  <c r="S129" i="5" a="1"/>
  <c r="S129" i="5" s="1"/>
  <c r="R130" i="5" a="1"/>
  <c r="R130" i="5" s="1"/>
  <c r="S130" i="5" a="1"/>
  <c r="S130" i="5" s="1"/>
  <c r="R131" i="5" a="1"/>
  <c r="R131" i="5" s="1"/>
  <c r="S131" i="5" a="1"/>
  <c r="S131" i="5" s="1"/>
  <c r="R132" i="5" a="1"/>
  <c r="R132" i="5" s="1"/>
  <c r="S132" i="5" a="1"/>
  <c r="S132" i="5" s="1"/>
  <c r="R133" i="5" a="1"/>
  <c r="R133" i="5" s="1"/>
  <c r="S133" i="5" a="1"/>
  <c r="S133" i="5" s="1"/>
  <c r="R134" i="5" a="1"/>
  <c r="R134" i="5" s="1"/>
  <c r="S134" i="5" a="1"/>
  <c r="S134" i="5" s="1"/>
  <c r="R135" i="5" a="1"/>
  <c r="R135" i="5" s="1"/>
  <c r="S135" i="5" a="1"/>
  <c r="S135" i="5" s="1"/>
  <c r="R136" i="5" a="1"/>
  <c r="R136" i="5" s="1"/>
  <c r="S136" i="5" a="1"/>
  <c r="S136" i="5" s="1"/>
  <c r="R137" i="5" a="1"/>
  <c r="R137" i="5" s="1"/>
  <c r="S137" i="5" a="1"/>
  <c r="S137" i="5" s="1"/>
  <c r="R138" i="5" a="1"/>
  <c r="R138" i="5" s="1"/>
  <c r="S138" i="5" a="1"/>
  <c r="S138" i="5" s="1"/>
  <c r="R139" i="5" a="1"/>
  <c r="R139" i="5" s="1"/>
  <c r="S139" i="5" a="1"/>
  <c r="S139" i="5" s="1"/>
  <c r="R140" i="5" a="1"/>
  <c r="R140" i="5" s="1"/>
  <c r="S140" i="5" a="1"/>
  <c r="S140" i="5" s="1"/>
  <c r="R141" i="5" a="1"/>
  <c r="R141" i="5" s="1"/>
  <c r="S141" i="5" a="1"/>
  <c r="S141" i="5" s="1"/>
  <c r="R142" i="5" a="1"/>
  <c r="R142" i="5" s="1"/>
  <c r="S142" i="5" a="1"/>
  <c r="S142" i="5" s="1"/>
  <c r="R143" i="5" a="1"/>
  <c r="R143" i="5" s="1"/>
  <c r="S143" i="5" a="1"/>
  <c r="S143" i="5" s="1"/>
  <c r="R144" i="5" a="1"/>
  <c r="R144" i="5" s="1"/>
  <c r="S144" i="5" a="1"/>
  <c r="S144" i="5" s="1"/>
  <c r="R145" i="5" a="1"/>
  <c r="R145" i="5" s="1"/>
  <c r="S145" i="5" a="1"/>
  <c r="S145" i="5" s="1"/>
  <c r="R146" i="5" a="1"/>
  <c r="R146" i="5" s="1"/>
  <c r="S146" i="5" a="1"/>
  <c r="S146" i="5" s="1"/>
  <c r="R147" i="5" a="1"/>
  <c r="R147" i="5" s="1"/>
  <c r="S147" i="5" a="1"/>
  <c r="S147" i="5" s="1"/>
  <c r="R148" i="5" a="1"/>
  <c r="R148" i="5" s="1"/>
  <c r="S148" i="5" a="1"/>
  <c r="S148" i="5" s="1"/>
  <c r="R149" i="5" a="1"/>
  <c r="R149" i="5" s="1"/>
  <c r="S149" i="5" a="1"/>
  <c r="S149" i="5" s="1"/>
  <c r="R150" i="5" a="1"/>
  <c r="R150" i="5" s="1"/>
  <c r="S150" i="5" a="1"/>
  <c r="S150" i="5" s="1"/>
  <c r="R151" i="5" a="1"/>
  <c r="R151" i="5" s="1"/>
  <c r="S151" i="5" a="1"/>
  <c r="S151" i="5" s="1"/>
  <c r="R152" i="5" a="1"/>
  <c r="R152" i="5" s="1"/>
  <c r="S152" i="5" a="1"/>
  <c r="S152" i="5" s="1"/>
  <c r="R153" i="5" a="1"/>
  <c r="R153" i="5" s="1"/>
  <c r="S153" i="5" a="1"/>
  <c r="S153" i="5" s="1"/>
  <c r="R154" i="5" a="1"/>
  <c r="R154" i="5" s="1"/>
  <c r="S154" i="5" a="1"/>
  <c r="S154" i="5" s="1"/>
  <c r="S5" i="5" a="1"/>
  <c r="S5" i="5" s="1"/>
  <c r="R5" i="5" a="1"/>
  <c r="R5" i="5" s="1"/>
  <c r="Q6" i="5" a="1"/>
  <c r="Q6" i="5" s="1"/>
  <c r="Q7" i="5" a="1"/>
  <c r="Q7" i="5" s="1"/>
  <c r="Q8" i="5" a="1"/>
  <c r="Q8" i="5" s="1"/>
  <c r="Q9" i="5" a="1"/>
  <c r="Q9" i="5" s="1"/>
  <c r="Q10" i="5" a="1"/>
  <c r="Q10" i="5" s="1"/>
  <c r="Q11" i="5" a="1"/>
  <c r="Q11" i="5" s="1"/>
  <c r="Q12" i="5" a="1"/>
  <c r="Q12" i="5" s="1"/>
  <c r="Q13" i="5" a="1"/>
  <c r="Q13" i="5" s="1"/>
  <c r="Q14" i="5" a="1"/>
  <c r="Q14" i="5" s="1"/>
  <c r="Q15" i="5" a="1"/>
  <c r="Q15" i="5" s="1"/>
  <c r="Q16" i="5" a="1"/>
  <c r="Q16" i="5" s="1"/>
  <c r="Q17" i="5" a="1"/>
  <c r="Q17" i="5" s="1"/>
  <c r="Q18" i="5" a="1"/>
  <c r="Q18" i="5" s="1"/>
  <c r="Q19" i="5" a="1"/>
  <c r="Q19" i="5" s="1"/>
  <c r="Q20" i="5" a="1"/>
  <c r="Q20" i="5" s="1"/>
  <c r="Q21" i="5" a="1"/>
  <c r="Q21" i="5" s="1"/>
  <c r="Q22" i="5" a="1"/>
  <c r="Q22" i="5" s="1"/>
  <c r="Q23" i="5" a="1"/>
  <c r="Q23" i="5" s="1"/>
  <c r="Q24" i="5" a="1"/>
  <c r="Q24" i="5" s="1"/>
  <c r="Q25" i="5" a="1"/>
  <c r="Q25" i="5" s="1"/>
  <c r="Q26" i="5" a="1"/>
  <c r="Q26" i="5" s="1"/>
  <c r="Q27" i="5" a="1"/>
  <c r="Q27" i="5" s="1"/>
  <c r="Q28" i="5" a="1"/>
  <c r="Q28" i="5" s="1"/>
  <c r="Q29" i="5" a="1"/>
  <c r="Q29" i="5" s="1"/>
  <c r="Q30" i="5" a="1"/>
  <c r="Q30" i="5" s="1"/>
  <c r="Q31" i="5" a="1"/>
  <c r="Q31" i="5" s="1"/>
  <c r="Q32" i="5" a="1"/>
  <c r="Q32" i="5" s="1"/>
  <c r="Q33" i="5" a="1"/>
  <c r="Q33" i="5" s="1"/>
  <c r="Q34" i="5" a="1"/>
  <c r="Q34" i="5" s="1"/>
  <c r="Q35" i="5" a="1"/>
  <c r="Q35" i="5" s="1"/>
  <c r="Q36" i="5" a="1"/>
  <c r="Q36" i="5" s="1"/>
  <c r="Q37" i="5" a="1"/>
  <c r="Q37" i="5" s="1"/>
  <c r="Q38" i="5" a="1"/>
  <c r="Q38" i="5" s="1"/>
  <c r="Q39" i="5" a="1"/>
  <c r="Q39" i="5" s="1"/>
  <c r="Q40" i="5" a="1"/>
  <c r="Q40" i="5" s="1"/>
  <c r="Q41" i="5" a="1"/>
  <c r="Q41" i="5" s="1"/>
  <c r="Q42" i="5" a="1"/>
  <c r="Q42" i="5" s="1"/>
  <c r="Q43" i="5" a="1"/>
  <c r="Q43" i="5" s="1"/>
  <c r="Q44" i="5" a="1"/>
  <c r="Q44" i="5" s="1"/>
  <c r="Q45" i="5" a="1"/>
  <c r="Q45" i="5" s="1"/>
  <c r="Q46" i="5" a="1"/>
  <c r="Q46" i="5" s="1"/>
  <c r="Q47" i="5" a="1"/>
  <c r="Q47" i="5" s="1"/>
  <c r="Q48" i="5" a="1"/>
  <c r="Q48" i="5" s="1"/>
  <c r="Q49" i="5" a="1"/>
  <c r="Q49" i="5" s="1"/>
  <c r="Q50" i="5" a="1"/>
  <c r="Q50" i="5" s="1"/>
  <c r="Q51" i="5" a="1"/>
  <c r="Q51" i="5" s="1"/>
  <c r="Q52" i="5" a="1"/>
  <c r="Q52" i="5" s="1"/>
  <c r="Q53" i="5" a="1"/>
  <c r="Q53" i="5" s="1"/>
  <c r="Q54" i="5" a="1"/>
  <c r="Q54" i="5" s="1"/>
  <c r="Q55" i="5" a="1"/>
  <c r="Q55" i="5" s="1"/>
  <c r="Q56" i="5" a="1"/>
  <c r="Q56" i="5" s="1"/>
  <c r="Q57" i="5" a="1"/>
  <c r="Q57" i="5" s="1"/>
  <c r="Q58" i="5" a="1"/>
  <c r="Q58" i="5" s="1"/>
  <c r="Q59" i="5" a="1"/>
  <c r="Q59" i="5" s="1"/>
  <c r="Q60" i="5" a="1"/>
  <c r="Q60" i="5" s="1"/>
  <c r="Q61" i="5" a="1"/>
  <c r="Q61" i="5" s="1"/>
  <c r="Q62" i="5" a="1"/>
  <c r="Q62" i="5" s="1"/>
  <c r="Q63" i="5" a="1"/>
  <c r="Q63" i="5" s="1"/>
  <c r="Q64" i="5" a="1"/>
  <c r="Q64" i="5" s="1"/>
  <c r="Q65" i="5" a="1"/>
  <c r="Q65" i="5" s="1"/>
  <c r="Q66" i="5" a="1"/>
  <c r="Q66" i="5" s="1"/>
  <c r="Q67" i="5" a="1"/>
  <c r="Q67" i="5" s="1"/>
  <c r="Q68" i="5" a="1"/>
  <c r="Q68" i="5" s="1"/>
  <c r="Q69" i="5" a="1"/>
  <c r="Q69" i="5" s="1"/>
  <c r="Q70" i="5" a="1"/>
  <c r="Q70" i="5" s="1"/>
  <c r="Q71" i="5" a="1"/>
  <c r="Q71" i="5" s="1"/>
  <c r="Q72" i="5" a="1"/>
  <c r="Q72" i="5" s="1"/>
  <c r="Q73" i="5" a="1"/>
  <c r="Q73" i="5" s="1"/>
  <c r="Q74" i="5" a="1"/>
  <c r="Q74" i="5" s="1"/>
  <c r="Q75" i="5" a="1"/>
  <c r="Q75" i="5" s="1"/>
  <c r="Q76" i="5" a="1"/>
  <c r="Q76" i="5" s="1"/>
  <c r="Q77" i="5" a="1"/>
  <c r="Q77" i="5" s="1"/>
  <c r="Q78" i="5" a="1"/>
  <c r="Q78" i="5" s="1"/>
  <c r="Q79" i="5" a="1"/>
  <c r="Q79" i="5" s="1"/>
  <c r="Q80" i="5" a="1"/>
  <c r="Q80" i="5" s="1"/>
  <c r="Q81" i="5" a="1"/>
  <c r="Q81" i="5" s="1"/>
  <c r="Q82" i="5" a="1"/>
  <c r="Q82" i="5" s="1"/>
  <c r="Q83" i="5" a="1"/>
  <c r="Q83" i="5" s="1"/>
  <c r="Q84" i="5" a="1"/>
  <c r="Q84" i="5" s="1"/>
  <c r="Q85" i="5" a="1"/>
  <c r="Q85" i="5" s="1"/>
  <c r="Q86" i="5" a="1"/>
  <c r="Q86" i="5" s="1"/>
  <c r="Q87" i="5" a="1"/>
  <c r="Q87" i="5" s="1"/>
  <c r="Q88" i="5" a="1"/>
  <c r="Q88" i="5" s="1"/>
  <c r="Q89" i="5" a="1"/>
  <c r="Q89" i="5" s="1"/>
  <c r="Q90" i="5" a="1"/>
  <c r="Q90" i="5" s="1"/>
  <c r="Q91" i="5" a="1"/>
  <c r="Q91" i="5" s="1"/>
  <c r="Q92" i="5" a="1"/>
  <c r="Q92" i="5" s="1"/>
  <c r="Q93" i="5" a="1"/>
  <c r="Q93" i="5" s="1"/>
  <c r="Q94" i="5" a="1"/>
  <c r="Q94" i="5" s="1"/>
  <c r="Q95" i="5" a="1"/>
  <c r="Q95" i="5" s="1"/>
  <c r="Q96" i="5" a="1"/>
  <c r="Q96" i="5" s="1"/>
  <c r="Q97" i="5" a="1"/>
  <c r="Q97" i="5" s="1"/>
  <c r="Q98" i="5" a="1"/>
  <c r="Q98" i="5" s="1"/>
  <c r="Q99" i="5" a="1"/>
  <c r="Q99" i="5" s="1"/>
  <c r="Q100" i="5" a="1"/>
  <c r="Q100" i="5" s="1"/>
  <c r="Q101" i="5" a="1"/>
  <c r="Q101" i="5" s="1"/>
  <c r="Q102" i="5" a="1"/>
  <c r="Q102" i="5" s="1"/>
  <c r="Q103" i="5" a="1"/>
  <c r="Q103" i="5" s="1"/>
  <c r="Q104" i="5" a="1"/>
  <c r="Q104" i="5" s="1"/>
  <c r="Q105" i="5" a="1"/>
  <c r="Q105" i="5" s="1"/>
  <c r="Q106" i="5" a="1"/>
  <c r="Q106" i="5" s="1"/>
  <c r="Q107" i="5" a="1"/>
  <c r="Q107" i="5" s="1"/>
  <c r="Q108" i="5" a="1"/>
  <c r="Q108" i="5" s="1"/>
  <c r="Q109" i="5" a="1"/>
  <c r="Q109" i="5" s="1"/>
  <c r="Q110" i="5" a="1"/>
  <c r="Q110" i="5" s="1"/>
  <c r="Q111" i="5" a="1"/>
  <c r="Q111" i="5" s="1"/>
  <c r="Q112" i="5" a="1"/>
  <c r="Q112" i="5" s="1"/>
  <c r="Q113" i="5" a="1"/>
  <c r="Q113" i="5" s="1"/>
  <c r="Q114" i="5" a="1"/>
  <c r="Q114" i="5" s="1"/>
  <c r="Q115" i="5" a="1"/>
  <c r="Q115" i="5" s="1"/>
  <c r="Q116" i="5" a="1"/>
  <c r="Q116" i="5" s="1"/>
  <c r="Q117" i="5" a="1"/>
  <c r="Q117" i="5" s="1"/>
  <c r="Q118" i="5" a="1"/>
  <c r="Q118" i="5" s="1"/>
  <c r="Q119" i="5" a="1"/>
  <c r="Q119" i="5" s="1"/>
  <c r="Q120" i="5" a="1"/>
  <c r="Q120" i="5" s="1"/>
  <c r="Q121" i="5" a="1"/>
  <c r="Q121" i="5" s="1"/>
  <c r="Q122" i="5" a="1"/>
  <c r="Q122" i="5" s="1"/>
  <c r="Q123" i="5" a="1"/>
  <c r="Q123" i="5" s="1"/>
  <c r="Q124" i="5" a="1"/>
  <c r="Q124" i="5" s="1"/>
  <c r="Q125" i="5" a="1"/>
  <c r="Q125" i="5" s="1"/>
  <c r="Q126" i="5" a="1"/>
  <c r="Q126" i="5" s="1"/>
  <c r="Q127" i="5" a="1"/>
  <c r="Q127" i="5" s="1"/>
  <c r="Q128" i="5" a="1"/>
  <c r="Q128" i="5" s="1"/>
  <c r="Q129" i="5" a="1"/>
  <c r="Q129" i="5" s="1"/>
  <c r="Q130" i="5" a="1"/>
  <c r="Q130" i="5" s="1"/>
  <c r="Q131" i="5" a="1"/>
  <c r="Q131" i="5" s="1"/>
  <c r="Q132" i="5" a="1"/>
  <c r="Q132" i="5" s="1"/>
  <c r="Q133" i="5" a="1"/>
  <c r="Q133" i="5" s="1"/>
  <c r="Q134" i="5" a="1"/>
  <c r="Q134" i="5" s="1"/>
  <c r="Q135" i="5" a="1"/>
  <c r="Q135" i="5" s="1"/>
  <c r="Q136" i="5" a="1"/>
  <c r="Q136" i="5" s="1"/>
  <c r="Q137" i="5" a="1"/>
  <c r="Q137" i="5" s="1"/>
  <c r="Q138" i="5" a="1"/>
  <c r="Q138" i="5" s="1"/>
  <c r="Q139" i="5" a="1"/>
  <c r="Q139" i="5" s="1"/>
  <c r="Q140" i="5" a="1"/>
  <c r="Q140" i="5" s="1"/>
  <c r="Q141" i="5" a="1"/>
  <c r="Q141" i="5" s="1"/>
  <c r="Q142" i="5" a="1"/>
  <c r="Q142" i="5" s="1"/>
  <c r="Q143" i="5" a="1"/>
  <c r="Q143" i="5" s="1"/>
  <c r="Q144" i="5" a="1"/>
  <c r="Q144" i="5" s="1"/>
  <c r="Q145" i="5" a="1"/>
  <c r="Q145" i="5" s="1"/>
  <c r="Q146" i="5" a="1"/>
  <c r="Q146" i="5" s="1"/>
  <c r="Q147" i="5" a="1"/>
  <c r="Q147" i="5" s="1"/>
  <c r="Q148" i="5" a="1"/>
  <c r="Q148" i="5" s="1"/>
  <c r="Q149" i="5" a="1"/>
  <c r="Q149" i="5" s="1"/>
  <c r="Q150" i="5" a="1"/>
  <c r="Q150" i="5" s="1"/>
  <c r="Q151" i="5" a="1"/>
  <c r="Q151" i="5" s="1"/>
  <c r="Q152" i="5" a="1"/>
  <c r="Q152" i="5" s="1"/>
  <c r="Q153" i="5" a="1"/>
  <c r="Q153" i="5" s="1"/>
  <c r="Q154" i="5" a="1"/>
  <c r="Q154" i="5" s="1"/>
  <c r="Q5" i="5" a="1"/>
  <c r="Q5" i="5" s="1"/>
  <c r="P6" i="5" a="1"/>
  <c r="P6" i="5" s="1"/>
  <c r="P7" i="5" a="1"/>
  <c r="P7" i="5" s="1"/>
  <c r="P8" i="5" a="1"/>
  <c r="P8" i="5" s="1"/>
  <c r="P9" i="5" a="1"/>
  <c r="P9" i="5" s="1"/>
  <c r="P10" i="5" a="1"/>
  <c r="P10" i="5" s="1"/>
  <c r="P11" i="5" a="1"/>
  <c r="P11" i="5" s="1"/>
  <c r="P12" i="5" a="1"/>
  <c r="P12" i="5" s="1"/>
  <c r="P13" i="5" a="1"/>
  <c r="P13" i="5" s="1"/>
  <c r="P14" i="5" a="1"/>
  <c r="P14" i="5" s="1"/>
  <c r="P15" i="5" a="1"/>
  <c r="P15" i="5" s="1"/>
  <c r="P16" i="5" a="1"/>
  <c r="P16" i="5" s="1"/>
  <c r="P17" i="5" a="1"/>
  <c r="P17" i="5" s="1"/>
  <c r="P18" i="5" a="1"/>
  <c r="P18" i="5" s="1"/>
  <c r="P19" i="5" a="1"/>
  <c r="P19" i="5" s="1"/>
  <c r="P20" i="5" a="1"/>
  <c r="P20" i="5" s="1"/>
  <c r="P21" i="5" a="1"/>
  <c r="P21" i="5" s="1"/>
  <c r="P22" i="5" a="1"/>
  <c r="P22" i="5" s="1"/>
  <c r="P23" i="5" a="1"/>
  <c r="P23" i="5" s="1"/>
  <c r="P24" i="5" a="1"/>
  <c r="P24" i="5" s="1"/>
  <c r="P25" i="5" a="1"/>
  <c r="P25" i="5" s="1"/>
  <c r="P26" i="5" a="1"/>
  <c r="P26" i="5" s="1"/>
  <c r="P27" i="5" a="1"/>
  <c r="P27" i="5" s="1"/>
  <c r="P28" i="5" a="1"/>
  <c r="P28" i="5" s="1"/>
  <c r="P29" i="5" a="1"/>
  <c r="P29" i="5" s="1"/>
  <c r="P30" i="5" a="1"/>
  <c r="P30" i="5" s="1"/>
  <c r="P31" i="5" a="1"/>
  <c r="P31" i="5" s="1"/>
  <c r="P32" i="5" a="1"/>
  <c r="P32" i="5" s="1"/>
  <c r="P33" i="5" a="1"/>
  <c r="P33" i="5" s="1"/>
  <c r="P34" i="5" a="1"/>
  <c r="P34" i="5" s="1"/>
  <c r="P35" i="5" a="1"/>
  <c r="P35" i="5" s="1"/>
  <c r="P36" i="5" a="1"/>
  <c r="P36" i="5" s="1"/>
  <c r="P37" i="5" a="1"/>
  <c r="P37" i="5" s="1"/>
  <c r="P38" i="5" a="1"/>
  <c r="P38" i="5" s="1"/>
  <c r="P39" i="5" a="1"/>
  <c r="P39" i="5" s="1"/>
  <c r="P40" i="5" a="1"/>
  <c r="P40" i="5" s="1"/>
  <c r="P41" i="5" a="1"/>
  <c r="P41" i="5" s="1"/>
  <c r="P42" i="5" a="1"/>
  <c r="P42" i="5" s="1"/>
  <c r="P43" i="5" a="1"/>
  <c r="P43" i="5" s="1"/>
  <c r="P44" i="5" a="1"/>
  <c r="P44" i="5" s="1"/>
  <c r="P45" i="5" a="1"/>
  <c r="P45" i="5" s="1"/>
  <c r="P46" i="5" a="1"/>
  <c r="P46" i="5" s="1"/>
  <c r="P47" i="5" a="1"/>
  <c r="P47" i="5" s="1"/>
  <c r="P48" i="5" a="1"/>
  <c r="P48" i="5" s="1"/>
  <c r="P49" i="5" a="1"/>
  <c r="P49" i="5" s="1"/>
  <c r="P50" i="5" a="1"/>
  <c r="P50" i="5" s="1"/>
  <c r="P51" i="5" a="1"/>
  <c r="P51" i="5" s="1"/>
  <c r="P52" i="5" a="1"/>
  <c r="P52" i="5" s="1"/>
  <c r="P53" i="5" a="1"/>
  <c r="P53" i="5" s="1"/>
  <c r="P54" i="5" a="1"/>
  <c r="P54" i="5" s="1"/>
  <c r="P55" i="5" a="1"/>
  <c r="P55" i="5" s="1"/>
  <c r="P56" i="5" a="1"/>
  <c r="P56" i="5" s="1"/>
  <c r="P57" i="5" a="1"/>
  <c r="P57" i="5" s="1"/>
  <c r="P58" i="5" a="1"/>
  <c r="P58" i="5" s="1"/>
  <c r="P59" i="5" a="1"/>
  <c r="P59" i="5" s="1"/>
  <c r="P60" i="5" a="1"/>
  <c r="P60" i="5" s="1"/>
  <c r="P61" i="5" a="1"/>
  <c r="P61" i="5" s="1"/>
  <c r="P62" i="5" a="1"/>
  <c r="P62" i="5" s="1"/>
  <c r="P63" i="5" a="1"/>
  <c r="P63" i="5" s="1"/>
  <c r="P64" i="5" a="1"/>
  <c r="P64" i="5" s="1"/>
  <c r="P65" i="5" a="1"/>
  <c r="P65" i="5" s="1"/>
  <c r="P66" i="5" a="1"/>
  <c r="P66" i="5" s="1"/>
  <c r="P67" i="5" a="1"/>
  <c r="P67" i="5" s="1"/>
  <c r="P68" i="5" a="1"/>
  <c r="P68" i="5" s="1"/>
  <c r="P69" i="5" a="1"/>
  <c r="P69" i="5" s="1"/>
  <c r="P70" i="5" a="1"/>
  <c r="P70" i="5" s="1"/>
  <c r="P71" i="5" a="1"/>
  <c r="P71" i="5" s="1"/>
  <c r="P72" i="5" a="1"/>
  <c r="P72" i="5" s="1"/>
  <c r="P73" i="5" a="1"/>
  <c r="P73" i="5" s="1"/>
  <c r="P74" i="5" a="1"/>
  <c r="P74" i="5" s="1"/>
  <c r="P75" i="5" a="1"/>
  <c r="P75" i="5" s="1"/>
  <c r="P76" i="5" a="1"/>
  <c r="P76" i="5" s="1"/>
  <c r="P77" i="5" a="1"/>
  <c r="P77" i="5" s="1"/>
  <c r="P78" i="5" a="1"/>
  <c r="P78" i="5" s="1"/>
  <c r="P79" i="5" a="1"/>
  <c r="P79" i="5" s="1"/>
  <c r="P80" i="5" a="1"/>
  <c r="P80" i="5" s="1"/>
  <c r="P81" i="5" a="1"/>
  <c r="P81" i="5" s="1"/>
  <c r="P82" i="5" a="1"/>
  <c r="P82" i="5" s="1"/>
  <c r="P83" i="5" a="1"/>
  <c r="P83" i="5" s="1"/>
  <c r="P84" i="5" a="1"/>
  <c r="P84" i="5" s="1"/>
  <c r="P85" i="5" a="1"/>
  <c r="P85" i="5" s="1"/>
  <c r="P86" i="5" a="1"/>
  <c r="P86" i="5" s="1"/>
  <c r="P87" i="5" a="1"/>
  <c r="P87" i="5" s="1"/>
  <c r="P88" i="5" a="1"/>
  <c r="P88" i="5" s="1"/>
  <c r="P89" i="5" a="1"/>
  <c r="P89" i="5" s="1"/>
  <c r="P90" i="5" a="1"/>
  <c r="P90" i="5" s="1"/>
  <c r="P91" i="5" a="1"/>
  <c r="P91" i="5" s="1"/>
  <c r="P92" i="5" a="1"/>
  <c r="P92" i="5" s="1"/>
  <c r="P93" i="5" a="1"/>
  <c r="P93" i="5" s="1"/>
  <c r="P94" i="5" a="1"/>
  <c r="P94" i="5" s="1"/>
  <c r="P95" i="5" a="1"/>
  <c r="P95" i="5" s="1"/>
  <c r="P96" i="5" a="1"/>
  <c r="P96" i="5" s="1"/>
  <c r="P97" i="5" a="1"/>
  <c r="P97" i="5" s="1"/>
  <c r="P98" i="5" a="1"/>
  <c r="P98" i="5" s="1"/>
  <c r="P99" i="5" a="1"/>
  <c r="P99" i="5" s="1"/>
  <c r="P100" i="5" a="1"/>
  <c r="P100" i="5" s="1"/>
  <c r="P101" i="5" a="1"/>
  <c r="P101" i="5" s="1"/>
  <c r="P102" i="5" a="1"/>
  <c r="P102" i="5" s="1"/>
  <c r="P103" i="5" a="1"/>
  <c r="P103" i="5" s="1"/>
  <c r="P104" i="5" a="1"/>
  <c r="P104" i="5" s="1"/>
  <c r="P105" i="5" a="1"/>
  <c r="P105" i="5" s="1"/>
  <c r="P106" i="5" a="1"/>
  <c r="P106" i="5" s="1"/>
  <c r="P107" i="5" a="1"/>
  <c r="P107" i="5" s="1"/>
  <c r="P108" i="5" a="1"/>
  <c r="P108" i="5" s="1"/>
  <c r="P109" i="5" a="1"/>
  <c r="P109" i="5" s="1"/>
  <c r="P110" i="5" a="1"/>
  <c r="P110" i="5" s="1"/>
  <c r="P111" i="5" a="1"/>
  <c r="P111" i="5" s="1"/>
  <c r="P112" i="5" a="1"/>
  <c r="P112" i="5" s="1"/>
  <c r="P113" i="5" a="1"/>
  <c r="P113" i="5" s="1"/>
  <c r="P114" i="5" a="1"/>
  <c r="P114" i="5" s="1"/>
  <c r="P115" i="5" a="1"/>
  <c r="P115" i="5" s="1"/>
  <c r="P116" i="5" a="1"/>
  <c r="P116" i="5" s="1"/>
  <c r="P117" i="5" a="1"/>
  <c r="P117" i="5" s="1"/>
  <c r="P118" i="5" a="1"/>
  <c r="P118" i="5" s="1"/>
  <c r="P119" i="5" a="1"/>
  <c r="P119" i="5" s="1"/>
  <c r="P120" i="5" a="1"/>
  <c r="P120" i="5" s="1"/>
  <c r="P121" i="5" a="1"/>
  <c r="P121" i="5" s="1"/>
  <c r="P122" i="5" a="1"/>
  <c r="P122" i="5" s="1"/>
  <c r="P123" i="5" a="1"/>
  <c r="P123" i="5" s="1"/>
  <c r="P124" i="5" a="1"/>
  <c r="P124" i="5" s="1"/>
  <c r="P125" i="5" a="1"/>
  <c r="P125" i="5" s="1"/>
  <c r="P126" i="5" a="1"/>
  <c r="P126" i="5" s="1"/>
  <c r="P127" i="5" a="1"/>
  <c r="P127" i="5" s="1"/>
  <c r="P128" i="5" a="1"/>
  <c r="P128" i="5" s="1"/>
  <c r="P129" i="5" a="1"/>
  <c r="P129" i="5" s="1"/>
  <c r="P130" i="5" a="1"/>
  <c r="P130" i="5" s="1"/>
  <c r="P131" i="5" a="1"/>
  <c r="P131" i="5" s="1"/>
  <c r="P132" i="5" a="1"/>
  <c r="P132" i="5" s="1"/>
  <c r="P133" i="5" a="1"/>
  <c r="P133" i="5" s="1"/>
  <c r="P134" i="5" a="1"/>
  <c r="P134" i="5" s="1"/>
  <c r="P135" i="5" a="1"/>
  <c r="P135" i="5" s="1"/>
  <c r="P136" i="5" a="1"/>
  <c r="P136" i="5" s="1"/>
  <c r="P137" i="5" a="1"/>
  <c r="P137" i="5" s="1"/>
  <c r="P138" i="5" a="1"/>
  <c r="P138" i="5" s="1"/>
  <c r="P139" i="5" a="1"/>
  <c r="P139" i="5" s="1"/>
  <c r="P140" i="5" a="1"/>
  <c r="P140" i="5" s="1"/>
  <c r="P141" i="5" a="1"/>
  <c r="P141" i="5" s="1"/>
  <c r="P142" i="5" a="1"/>
  <c r="P142" i="5" s="1"/>
  <c r="P143" i="5" a="1"/>
  <c r="P143" i="5" s="1"/>
  <c r="P144" i="5" a="1"/>
  <c r="P144" i="5" s="1"/>
  <c r="P145" i="5" a="1"/>
  <c r="P145" i="5" s="1"/>
  <c r="P146" i="5" a="1"/>
  <c r="P146" i="5" s="1"/>
  <c r="P147" i="5" a="1"/>
  <c r="P147" i="5" s="1"/>
  <c r="P148" i="5" a="1"/>
  <c r="P148" i="5" s="1"/>
  <c r="P149" i="5" a="1"/>
  <c r="P149" i="5" s="1"/>
  <c r="P150" i="5" a="1"/>
  <c r="P150" i="5" s="1"/>
  <c r="P151" i="5" a="1"/>
  <c r="P151" i="5" s="1"/>
  <c r="P152" i="5" a="1"/>
  <c r="P152" i="5" s="1"/>
  <c r="P153" i="5" a="1"/>
  <c r="P153" i="5" s="1"/>
  <c r="P154" i="5" a="1"/>
  <c r="P154" i="5" s="1"/>
  <c r="P5" i="5" a="1"/>
  <c r="P5" i="5" s="1"/>
  <c r="O6" i="5" a="1"/>
  <c r="O6" i="5" s="1"/>
  <c r="O7" i="5" a="1"/>
  <c r="O7" i="5" s="1"/>
  <c r="O8" i="5" a="1"/>
  <c r="O8" i="5" s="1"/>
  <c r="O9" i="5" a="1"/>
  <c r="O9" i="5" s="1"/>
  <c r="O10" i="5" a="1"/>
  <c r="O10" i="5" s="1"/>
  <c r="O11" i="5" a="1"/>
  <c r="O11" i="5" s="1"/>
  <c r="O12" i="5" a="1"/>
  <c r="O12" i="5" s="1"/>
  <c r="O13" i="5" a="1"/>
  <c r="O13" i="5" s="1"/>
  <c r="O14" i="5" a="1"/>
  <c r="O14" i="5" s="1"/>
  <c r="O15" i="5" a="1"/>
  <c r="O15" i="5" s="1"/>
  <c r="O16" i="5" a="1"/>
  <c r="O16" i="5" s="1"/>
  <c r="O17" i="5" a="1"/>
  <c r="O17" i="5" s="1"/>
  <c r="O18" i="5" a="1"/>
  <c r="O18" i="5" s="1"/>
  <c r="O19" i="5" a="1"/>
  <c r="O19" i="5" s="1"/>
  <c r="O20" i="5" a="1"/>
  <c r="O20" i="5" s="1"/>
  <c r="O21" i="5" a="1"/>
  <c r="O21" i="5" s="1"/>
  <c r="O22" i="5" a="1"/>
  <c r="O22" i="5" s="1"/>
  <c r="O23" i="5" a="1"/>
  <c r="O23" i="5" s="1"/>
  <c r="O24" i="5" a="1"/>
  <c r="O24" i="5" s="1"/>
  <c r="O25" i="5" a="1"/>
  <c r="O25" i="5" s="1"/>
  <c r="O26" i="5" a="1"/>
  <c r="O26" i="5" s="1"/>
  <c r="O27" i="5" a="1"/>
  <c r="O27" i="5" s="1"/>
  <c r="O28" i="5" a="1"/>
  <c r="O28" i="5" s="1"/>
  <c r="O29" i="5" a="1"/>
  <c r="O29" i="5" s="1"/>
  <c r="O30" i="5" a="1"/>
  <c r="O30" i="5" s="1"/>
  <c r="O31" i="5" a="1"/>
  <c r="O31" i="5" s="1"/>
  <c r="O32" i="5" a="1"/>
  <c r="O32" i="5" s="1"/>
  <c r="O33" i="5" a="1"/>
  <c r="O33" i="5" s="1"/>
  <c r="O34" i="5" a="1"/>
  <c r="O34" i="5" s="1"/>
  <c r="O35" i="5" a="1"/>
  <c r="O35" i="5" s="1"/>
  <c r="O36" i="5" a="1"/>
  <c r="O36" i="5" s="1"/>
  <c r="O37" i="5" a="1"/>
  <c r="O37" i="5" s="1"/>
  <c r="O38" i="5" a="1"/>
  <c r="O38" i="5" s="1"/>
  <c r="O39" i="5" a="1"/>
  <c r="O39" i="5" s="1"/>
  <c r="O40" i="5" a="1"/>
  <c r="O40" i="5" s="1"/>
  <c r="O41" i="5" a="1"/>
  <c r="O41" i="5" s="1"/>
  <c r="O42" i="5" a="1"/>
  <c r="O42" i="5" s="1"/>
  <c r="O43" i="5" a="1"/>
  <c r="O43" i="5" s="1"/>
  <c r="O44" i="5" a="1"/>
  <c r="O44" i="5" s="1"/>
  <c r="O45" i="5" a="1"/>
  <c r="O45" i="5" s="1"/>
  <c r="O46" i="5" a="1"/>
  <c r="O46" i="5" s="1"/>
  <c r="O47" i="5" a="1"/>
  <c r="O47" i="5" s="1"/>
  <c r="O48" i="5" a="1"/>
  <c r="O48" i="5" s="1"/>
  <c r="O49" i="5" a="1"/>
  <c r="O49" i="5" s="1"/>
  <c r="O50" i="5" a="1"/>
  <c r="O50" i="5" s="1"/>
  <c r="O51" i="5" a="1"/>
  <c r="O51" i="5" s="1"/>
  <c r="O52" i="5" a="1"/>
  <c r="O52" i="5" s="1"/>
  <c r="O53" i="5" a="1"/>
  <c r="O53" i="5" s="1"/>
  <c r="O54" i="5" a="1"/>
  <c r="O54" i="5" s="1"/>
  <c r="O55" i="5" a="1"/>
  <c r="O55" i="5" s="1"/>
  <c r="O56" i="5" a="1"/>
  <c r="O56" i="5" s="1"/>
  <c r="O57" i="5" a="1"/>
  <c r="O57" i="5" s="1"/>
  <c r="O58" i="5" a="1"/>
  <c r="O58" i="5" s="1"/>
  <c r="O59" i="5" a="1"/>
  <c r="O59" i="5" s="1"/>
  <c r="O60" i="5" a="1"/>
  <c r="O60" i="5" s="1"/>
  <c r="O61" i="5" a="1"/>
  <c r="O61" i="5" s="1"/>
  <c r="O62" i="5" a="1"/>
  <c r="O62" i="5" s="1"/>
  <c r="O63" i="5" a="1"/>
  <c r="O63" i="5" s="1"/>
  <c r="O64" i="5" a="1"/>
  <c r="O64" i="5" s="1"/>
  <c r="O65" i="5" a="1"/>
  <c r="O65" i="5" s="1"/>
  <c r="O66" i="5" a="1"/>
  <c r="O66" i="5" s="1"/>
  <c r="O67" i="5" a="1"/>
  <c r="O67" i="5" s="1"/>
  <c r="O68" i="5" a="1"/>
  <c r="O68" i="5" s="1"/>
  <c r="O69" i="5" a="1"/>
  <c r="O69" i="5" s="1"/>
  <c r="O70" i="5" a="1"/>
  <c r="O70" i="5" s="1"/>
  <c r="O71" i="5" a="1"/>
  <c r="O71" i="5" s="1"/>
  <c r="O72" i="5" a="1"/>
  <c r="O72" i="5" s="1"/>
  <c r="O73" i="5" a="1"/>
  <c r="O73" i="5" s="1"/>
  <c r="O74" i="5" a="1"/>
  <c r="O74" i="5" s="1"/>
  <c r="O75" i="5" a="1"/>
  <c r="O75" i="5" s="1"/>
  <c r="O76" i="5" a="1"/>
  <c r="O76" i="5" s="1"/>
  <c r="O77" i="5" a="1"/>
  <c r="O77" i="5" s="1"/>
  <c r="O78" i="5" a="1"/>
  <c r="O78" i="5" s="1"/>
  <c r="O79" i="5" a="1"/>
  <c r="O79" i="5" s="1"/>
  <c r="O80" i="5" a="1"/>
  <c r="O80" i="5" s="1"/>
  <c r="O81" i="5" a="1"/>
  <c r="O81" i="5" s="1"/>
  <c r="O82" i="5" a="1"/>
  <c r="O82" i="5" s="1"/>
  <c r="O83" i="5" a="1"/>
  <c r="O83" i="5" s="1"/>
  <c r="O84" i="5" a="1"/>
  <c r="O84" i="5" s="1"/>
  <c r="O85" i="5" a="1"/>
  <c r="O85" i="5" s="1"/>
  <c r="O86" i="5" a="1"/>
  <c r="O86" i="5" s="1"/>
  <c r="O87" i="5" a="1"/>
  <c r="O87" i="5" s="1"/>
  <c r="O88" i="5" a="1"/>
  <c r="O88" i="5" s="1"/>
  <c r="O89" i="5" a="1"/>
  <c r="O89" i="5" s="1"/>
  <c r="O90" i="5" a="1"/>
  <c r="O90" i="5" s="1"/>
  <c r="O91" i="5" a="1"/>
  <c r="O91" i="5" s="1"/>
  <c r="O92" i="5" a="1"/>
  <c r="O92" i="5" s="1"/>
  <c r="O93" i="5" a="1"/>
  <c r="O93" i="5" s="1"/>
  <c r="O94" i="5" a="1"/>
  <c r="O94" i="5" s="1"/>
  <c r="O95" i="5" a="1"/>
  <c r="O95" i="5" s="1"/>
  <c r="O96" i="5" a="1"/>
  <c r="O96" i="5" s="1"/>
  <c r="O97" i="5" a="1"/>
  <c r="O97" i="5" s="1"/>
  <c r="O98" i="5" a="1"/>
  <c r="O98" i="5" s="1"/>
  <c r="O99" i="5" a="1"/>
  <c r="O99" i="5" s="1"/>
  <c r="O100" i="5" a="1"/>
  <c r="O100" i="5" s="1"/>
  <c r="O101" i="5" a="1"/>
  <c r="O101" i="5" s="1"/>
  <c r="O102" i="5" a="1"/>
  <c r="O102" i="5" s="1"/>
  <c r="O103" i="5" a="1"/>
  <c r="O103" i="5" s="1"/>
  <c r="O104" i="5" a="1"/>
  <c r="O104" i="5" s="1"/>
  <c r="O105" i="5" a="1"/>
  <c r="O105" i="5" s="1"/>
  <c r="O106" i="5" a="1"/>
  <c r="O106" i="5" s="1"/>
  <c r="O107" i="5" a="1"/>
  <c r="O107" i="5" s="1"/>
  <c r="O108" i="5" a="1"/>
  <c r="O108" i="5" s="1"/>
  <c r="O109" i="5" a="1"/>
  <c r="O109" i="5" s="1"/>
  <c r="O110" i="5" a="1"/>
  <c r="O110" i="5" s="1"/>
  <c r="O111" i="5" a="1"/>
  <c r="O111" i="5" s="1"/>
  <c r="O112" i="5" a="1"/>
  <c r="O112" i="5" s="1"/>
  <c r="O113" i="5" a="1"/>
  <c r="O113" i="5" s="1"/>
  <c r="O114" i="5" a="1"/>
  <c r="O114" i="5" s="1"/>
  <c r="O115" i="5" a="1"/>
  <c r="O115" i="5" s="1"/>
  <c r="O116" i="5" a="1"/>
  <c r="O116" i="5" s="1"/>
  <c r="O117" i="5" a="1"/>
  <c r="O117" i="5" s="1"/>
  <c r="O118" i="5" a="1"/>
  <c r="O118" i="5" s="1"/>
  <c r="O119" i="5" a="1"/>
  <c r="O119" i="5" s="1"/>
  <c r="O120" i="5" a="1"/>
  <c r="O120" i="5" s="1"/>
  <c r="O121" i="5" a="1"/>
  <c r="O121" i="5" s="1"/>
  <c r="O122" i="5" a="1"/>
  <c r="O122" i="5" s="1"/>
  <c r="O123" i="5" a="1"/>
  <c r="O123" i="5" s="1"/>
  <c r="O124" i="5" a="1"/>
  <c r="O124" i="5" s="1"/>
  <c r="O125" i="5" a="1"/>
  <c r="O125" i="5" s="1"/>
  <c r="O126" i="5" a="1"/>
  <c r="O126" i="5" s="1"/>
  <c r="O127" i="5" a="1"/>
  <c r="O127" i="5" s="1"/>
  <c r="O128" i="5" a="1"/>
  <c r="O128" i="5" s="1"/>
  <c r="O129" i="5" a="1"/>
  <c r="O129" i="5" s="1"/>
  <c r="O130" i="5" a="1"/>
  <c r="O130" i="5" s="1"/>
  <c r="O131" i="5" a="1"/>
  <c r="O131" i="5" s="1"/>
  <c r="O132" i="5" a="1"/>
  <c r="O132" i="5" s="1"/>
  <c r="O133" i="5" a="1"/>
  <c r="O133" i="5" s="1"/>
  <c r="O134" i="5" a="1"/>
  <c r="O134" i="5" s="1"/>
  <c r="O135" i="5" a="1"/>
  <c r="O135" i="5" s="1"/>
  <c r="O136" i="5" a="1"/>
  <c r="O136" i="5" s="1"/>
  <c r="O137" i="5" a="1"/>
  <c r="O137" i="5" s="1"/>
  <c r="O138" i="5" a="1"/>
  <c r="O138" i="5" s="1"/>
  <c r="O139" i="5" a="1"/>
  <c r="O139" i="5" s="1"/>
  <c r="O140" i="5" a="1"/>
  <c r="O140" i="5" s="1"/>
  <c r="O141" i="5" a="1"/>
  <c r="O141" i="5" s="1"/>
  <c r="O142" i="5" a="1"/>
  <c r="O142" i="5" s="1"/>
  <c r="O143" i="5" a="1"/>
  <c r="O143" i="5" s="1"/>
  <c r="O144" i="5" a="1"/>
  <c r="O144" i="5" s="1"/>
  <c r="O145" i="5" a="1"/>
  <c r="O145" i="5" s="1"/>
  <c r="O146" i="5" a="1"/>
  <c r="O146" i="5" s="1"/>
  <c r="O147" i="5" a="1"/>
  <c r="O147" i="5" s="1"/>
  <c r="O148" i="5" a="1"/>
  <c r="O148" i="5" s="1"/>
  <c r="O149" i="5" a="1"/>
  <c r="O149" i="5" s="1"/>
  <c r="O150" i="5" a="1"/>
  <c r="O150" i="5" s="1"/>
  <c r="O151" i="5" a="1"/>
  <c r="O151" i="5" s="1"/>
  <c r="O152" i="5" a="1"/>
  <c r="O152" i="5" s="1"/>
  <c r="O153" i="5" a="1"/>
  <c r="O153" i="5" s="1"/>
  <c r="O154" i="5" a="1"/>
  <c r="O154" i="5" s="1"/>
  <c r="O5" i="5" a="1"/>
  <c r="O5" i="5" s="1"/>
  <c r="M6" i="5" a="1"/>
  <c r="M6" i="5" s="1"/>
  <c r="N6" i="5" a="1"/>
  <c r="N6" i="5" s="1"/>
  <c r="M7" i="5" a="1"/>
  <c r="M7" i="5" s="1"/>
  <c r="N7" i="5" a="1"/>
  <c r="N7" i="5" s="1"/>
  <c r="M8" i="5" a="1"/>
  <c r="M8" i="5" s="1"/>
  <c r="N8" i="5" a="1"/>
  <c r="N8" i="5" s="1"/>
  <c r="M9" i="5" a="1"/>
  <c r="M9" i="5" s="1"/>
  <c r="N9" i="5" a="1"/>
  <c r="N9" i="5" s="1"/>
  <c r="M10" i="5" a="1"/>
  <c r="M10" i="5" s="1"/>
  <c r="N10" i="5" a="1"/>
  <c r="N10" i="5" s="1"/>
  <c r="M11" i="5" a="1"/>
  <c r="M11" i="5" s="1"/>
  <c r="N11" i="5" a="1"/>
  <c r="N11" i="5" s="1"/>
  <c r="M12" i="5" a="1"/>
  <c r="M12" i="5" s="1"/>
  <c r="N12" i="5" a="1"/>
  <c r="N12" i="5" s="1"/>
  <c r="M13" i="5" a="1"/>
  <c r="M13" i="5" s="1"/>
  <c r="N13" i="5" a="1"/>
  <c r="N13" i="5" s="1"/>
  <c r="M14" i="5" a="1"/>
  <c r="M14" i="5" s="1"/>
  <c r="N14" i="5" a="1"/>
  <c r="N14" i="5" s="1"/>
  <c r="M15" i="5" a="1"/>
  <c r="M15" i="5" s="1"/>
  <c r="N15" i="5" a="1"/>
  <c r="N15" i="5" s="1"/>
  <c r="M16" i="5" a="1"/>
  <c r="M16" i="5" s="1"/>
  <c r="N16" i="5" a="1"/>
  <c r="N16" i="5" s="1"/>
  <c r="M17" i="5" a="1"/>
  <c r="M17" i="5" s="1"/>
  <c r="N17" i="5" a="1"/>
  <c r="N17" i="5" s="1"/>
  <c r="M18" i="5" a="1"/>
  <c r="M18" i="5" s="1"/>
  <c r="N18" i="5" a="1"/>
  <c r="N18" i="5" s="1"/>
  <c r="M19" i="5" a="1"/>
  <c r="M19" i="5" s="1"/>
  <c r="N19" i="5" a="1"/>
  <c r="N19" i="5" s="1"/>
  <c r="M20" i="5" a="1"/>
  <c r="M20" i="5" s="1"/>
  <c r="N20" i="5" a="1"/>
  <c r="N20" i="5" s="1"/>
  <c r="M21" i="5" a="1"/>
  <c r="M21" i="5" s="1"/>
  <c r="N21" i="5" a="1"/>
  <c r="N21" i="5" s="1"/>
  <c r="M22" i="5" a="1"/>
  <c r="M22" i="5" s="1"/>
  <c r="N22" i="5" a="1"/>
  <c r="N22" i="5" s="1"/>
  <c r="M23" i="5" a="1"/>
  <c r="M23" i="5" s="1"/>
  <c r="N23" i="5" a="1"/>
  <c r="N23" i="5" s="1"/>
  <c r="M24" i="5" a="1"/>
  <c r="M24" i="5" s="1"/>
  <c r="N24" i="5" a="1"/>
  <c r="N24" i="5" s="1"/>
  <c r="M25" i="5" a="1"/>
  <c r="M25" i="5" s="1"/>
  <c r="N25" i="5" a="1"/>
  <c r="N25" i="5" s="1"/>
  <c r="M26" i="5" a="1"/>
  <c r="M26" i="5" s="1"/>
  <c r="N26" i="5" a="1"/>
  <c r="N26" i="5" s="1"/>
  <c r="M27" i="5" a="1"/>
  <c r="M27" i="5" s="1"/>
  <c r="N27" i="5" a="1"/>
  <c r="N27" i="5" s="1"/>
  <c r="M28" i="5" a="1"/>
  <c r="M28" i="5" s="1"/>
  <c r="N28" i="5" a="1"/>
  <c r="N28" i="5" s="1"/>
  <c r="M29" i="5" a="1"/>
  <c r="M29" i="5" s="1"/>
  <c r="N29" i="5" a="1"/>
  <c r="N29" i="5" s="1"/>
  <c r="M30" i="5" a="1"/>
  <c r="M30" i="5" s="1"/>
  <c r="N30" i="5" a="1"/>
  <c r="N30" i="5" s="1"/>
  <c r="M31" i="5" a="1"/>
  <c r="M31" i="5" s="1"/>
  <c r="N31" i="5" a="1"/>
  <c r="N31" i="5" s="1"/>
  <c r="M32" i="5" a="1"/>
  <c r="M32" i="5" s="1"/>
  <c r="N32" i="5" a="1"/>
  <c r="N32" i="5" s="1"/>
  <c r="M33" i="5" a="1"/>
  <c r="M33" i="5" s="1"/>
  <c r="N33" i="5" a="1"/>
  <c r="N33" i="5" s="1"/>
  <c r="M34" i="5" a="1"/>
  <c r="M34" i="5" s="1"/>
  <c r="N34" i="5" a="1"/>
  <c r="N34" i="5" s="1"/>
  <c r="M35" i="5" a="1"/>
  <c r="M35" i="5" s="1"/>
  <c r="N35" i="5" a="1"/>
  <c r="N35" i="5" s="1"/>
  <c r="M36" i="5" a="1"/>
  <c r="M36" i="5" s="1"/>
  <c r="N36" i="5" a="1"/>
  <c r="N36" i="5" s="1"/>
  <c r="M37" i="5" a="1"/>
  <c r="M37" i="5" s="1"/>
  <c r="N37" i="5" a="1"/>
  <c r="N37" i="5" s="1"/>
  <c r="M38" i="5" a="1"/>
  <c r="M38" i="5" s="1"/>
  <c r="N38" i="5" a="1"/>
  <c r="N38" i="5" s="1"/>
  <c r="M39" i="5" a="1"/>
  <c r="M39" i="5" s="1"/>
  <c r="N39" i="5" a="1"/>
  <c r="N39" i="5" s="1"/>
  <c r="M40" i="5" a="1"/>
  <c r="M40" i="5" s="1"/>
  <c r="N40" i="5" a="1"/>
  <c r="N40" i="5" s="1"/>
  <c r="M41" i="5" a="1"/>
  <c r="M41" i="5" s="1"/>
  <c r="N41" i="5" a="1"/>
  <c r="N41" i="5" s="1"/>
  <c r="M42" i="5" a="1"/>
  <c r="M42" i="5" s="1"/>
  <c r="N42" i="5" a="1"/>
  <c r="N42" i="5" s="1"/>
  <c r="M43" i="5" a="1"/>
  <c r="M43" i="5" s="1"/>
  <c r="N43" i="5" a="1"/>
  <c r="N43" i="5" s="1"/>
  <c r="M44" i="5" a="1"/>
  <c r="M44" i="5" s="1"/>
  <c r="N44" i="5" a="1"/>
  <c r="N44" i="5" s="1"/>
  <c r="M45" i="5" a="1"/>
  <c r="M45" i="5" s="1"/>
  <c r="N45" i="5" a="1"/>
  <c r="N45" i="5" s="1"/>
  <c r="M46" i="5" a="1"/>
  <c r="M46" i="5" s="1"/>
  <c r="N46" i="5" a="1"/>
  <c r="N46" i="5" s="1"/>
  <c r="M47" i="5" a="1"/>
  <c r="M47" i="5" s="1"/>
  <c r="N47" i="5" a="1"/>
  <c r="N47" i="5" s="1"/>
  <c r="M48" i="5" a="1"/>
  <c r="M48" i="5" s="1"/>
  <c r="N48" i="5" a="1"/>
  <c r="N48" i="5" s="1"/>
  <c r="M49" i="5" a="1"/>
  <c r="M49" i="5" s="1"/>
  <c r="N49" i="5" a="1"/>
  <c r="N49" i="5" s="1"/>
  <c r="M50" i="5" a="1"/>
  <c r="M50" i="5" s="1"/>
  <c r="N50" i="5" a="1"/>
  <c r="N50" i="5" s="1"/>
  <c r="M51" i="5" a="1"/>
  <c r="M51" i="5" s="1"/>
  <c r="N51" i="5" a="1"/>
  <c r="N51" i="5" s="1"/>
  <c r="M52" i="5" a="1"/>
  <c r="M52" i="5" s="1"/>
  <c r="N52" i="5" a="1"/>
  <c r="N52" i="5" s="1"/>
  <c r="M53" i="5" a="1"/>
  <c r="M53" i="5" s="1"/>
  <c r="N53" i="5" a="1"/>
  <c r="N53" i="5" s="1"/>
  <c r="M54" i="5" a="1"/>
  <c r="M54" i="5" s="1"/>
  <c r="N54" i="5" a="1"/>
  <c r="N54" i="5" s="1"/>
  <c r="M55" i="5" a="1"/>
  <c r="M55" i="5" s="1"/>
  <c r="N55" i="5" a="1"/>
  <c r="N55" i="5" s="1"/>
  <c r="M56" i="5" a="1"/>
  <c r="M56" i="5" s="1"/>
  <c r="N56" i="5" a="1"/>
  <c r="N56" i="5" s="1"/>
  <c r="M57" i="5" a="1"/>
  <c r="M57" i="5" s="1"/>
  <c r="N57" i="5" a="1"/>
  <c r="N57" i="5" s="1"/>
  <c r="M58" i="5" a="1"/>
  <c r="M58" i="5" s="1"/>
  <c r="N58" i="5" a="1"/>
  <c r="N58" i="5" s="1"/>
  <c r="M59" i="5" a="1"/>
  <c r="M59" i="5" s="1"/>
  <c r="N59" i="5" a="1"/>
  <c r="N59" i="5" s="1"/>
  <c r="M60" i="5" a="1"/>
  <c r="M60" i="5" s="1"/>
  <c r="N60" i="5" a="1"/>
  <c r="N60" i="5" s="1"/>
  <c r="M61" i="5" a="1"/>
  <c r="M61" i="5" s="1"/>
  <c r="N61" i="5" a="1"/>
  <c r="N61" i="5" s="1"/>
  <c r="M62" i="5" a="1"/>
  <c r="M62" i="5" s="1"/>
  <c r="N62" i="5" a="1"/>
  <c r="N62" i="5" s="1"/>
  <c r="M63" i="5" a="1"/>
  <c r="M63" i="5" s="1"/>
  <c r="N63" i="5" a="1"/>
  <c r="N63" i="5" s="1"/>
  <c r="M64" i="5" a="1"/>
  <c r="M64" i="5" s="1"/>
  <c r="N64" i="5" a="1"/>
  <c r="N64" i="5" s="1"/>
  <c r="M65" i="5" a="1"/>
  <c r="M65" i="5" s="1"/>
  <c r="N65" i="5" a="1"/>
  <c r="N65" i="5" s="1"/>
  <c r="M66" i="5" a="1"/>
  <c r="M66" i="5" s="1"/>
  <c r="N66" i="5" a="1"/>
  <c r="N66" i="5" s="1"/>
  <c r="M67" i="5" a="1"/>
  <c r="M67" i="5" s="1"/>
  <c r="N67" i="5" a="1"/>
  <c r="N67" i="5" s="1"/>
  <c r="M68" i="5" a="1"/>
  <c r="M68" i="5" s="1"/>
  <c r="N68" i="5" a="1"/>
  <c r="N68" i="5" s="1"/>
  <c r="M69" i="5" a="1"/>
  <c r="M69" i="5" s="1"/>
  <c r="N69" i="5" a="1"/>
  <c r="N69" i="5" s="1"/>
  <c r="M70" i="5" a="1"/>
  <c r="M70" i="5" s="1"/>
  <c r="N70" i="5" a="1"/>
  <c r="N70" i="5" s="1"/>
  <c r="M71" i="5" a="1"/>
  <c r="M71" i="5" s="1"/>
  <c r="N71" i="5" a="1"/>
  <c r="N71" i="5" s="1"/>
  <c r="M72" i="5" a="1"/>
  <c r="M72" i="5" s="1"/>
  <c r="N72" i="5" a="1"/>
  <c r="N72" i="5" s="1"/>
  <c r="M73" i="5" a="1"/>
  <c r="M73" i="5" s="1"/>
  <c r="N73" i="5" a="1"/>
  <c r="N73" i="5" s="1"/>
  <c r="M74" i="5" a="1"/>
  <c r="M74" i="5" s="1"/>
  <c r="N74" i="5" a="1"/>
  <c r="N74" i="5" s="1"/>
  <c r="M75" i="5" a="1"/>
  <c r="M75" i="5" s="1"/>
  <c r="N75" i="5" a="1"/>
  <c r="N75" i="5" s="1"/>
  <c r="M76" i="5" a="1"/>
  <c r="M76" i="5" s="1"/>
  <c r="N76" i="5" a="1"/>
  <c r="N76" i="5" s="1"/>
  <c r="M77" i="5" a="1"/>
  <c r="M77" i="5" s="1"/>
  <c r="N77" i="5" a="1"/>
  <c r="N77" i="5" s="1"/>
  <c r="M78" i="5" a="1"/>
  <c r="M78" i="5" s="1"/>
  <c r="N78" i="5" a="1"/>
  <c r="N78" i="5" s="1"/>
  <c r="M79" i="5" a="1"/>
  <c r="M79" i="5" s="1"/>
  <c r="N79" i="5" a="1"/>
  <c r="N79" i="5" s="1"/>
  <c r="M80" i="5" a="1"/>
  <c r="M80" i="5" s="1"/>
  <c r="N80" i="5" a="1"/>
  <c r="N80" i="5" s="1"/>
  <c r="M81" i="5" a="1"/>
  <c r="M81" i="5" s="1"/>
  <c r="N81" i="5" a="1"/>
  <c r="N81" i="5" s="1"/>
  <c r="M82" i="5" a="1"/>
  <c r="M82" i="5" s="1"/>
  <c r="N82" i="5" a="1"/>
  <c r="N82" i="5" s="1"/>
  <c r="M83" i="5" a="1"/>
  <c r="M83" i="5" s="1"/>
  <c r="N83" i="5" a="1"/>
  <c r="N83" i="5" s="1"/>
  <c r="M84" i="5" a="1"/>
  <c r="M84" i="5" s="1"/>
  <c r="N84" i="5" a="1"/>
  <c r="N84" i="5" s="1"/>
  <c r="M85" i="5" a="1"/>
  <c r="M85" i="5" s="1"/>
  <c r="N85" i="5" a="1"/>
  <c r="N85" i="5" s="1"/>
  <c r="M86" i="5" a="1"/>
  <c r="M86" i="5" s="1"/>
  <c r="N86" i="5" a="1"/>
  <c r="N86" i="5" s="1"/>
  <c r="M87" i="5" a="1"/>
  <c r="M87" i="5" s="1"/>
  <c r="N87" i="5" a="1"/>
  <c r="N87" i="5" s="1"/>
  <c r="M88" i="5" a="1"/>
  <c r="M88" i="5" s="1"/>
  <c r="N88" i="5" a="1"/>
  <c r="N88" i="5" s="1"/>
  <c r="M89" i="5" a="1"/>
  <c r="M89" i="5" s="1"/>
  <c r="N89" i="5" a="1"/>
  <c r="N89" i="5" s="1"/>
  <c r="M90" i="5" a="1"/>
  <c r="M90" i="5" s="1"/>
  <c r="N90" i="5" a="1"/>
  <c r="N90" i="5" s="1"/>
  <c r="M91" i="5" a="1"/>
  <c r="M91" i="5" s="1"/>
  <c r="N91" i="5" a="1"/>
  <c r="N91" i="5" s="1"/>
  <c r="M92" i="5" a="1"/>
  <c r="M92" i="5" s="1"/>
  <c r="N92" i="5" a="1"/>
  <c r="N92" i="5" s="1"/>
  <c r="M93" i="5" a="1"/>
  <c r="M93" i="5" s="1"/>
  <c r="N93" i="5" a="1"/>
  <c r="N93" i="5" s="1"/>
  <c r="M94" i="5" a="1"/>
  <c r="M94" i="5" s="1"/>
  <c r="N94" i="5" a="1"/>
  <c r="N94" i="5" s="1"/>
  <c r="M95" i="5" a="1"/>
  <c r="M95" i="5" s="1"/>
  <c r="N95" i="5" a="1"/>
  <c r="N95" i="5" s="1"/>
  <c r="M96" i="5" a="1"/>
  <c r="M96" i="5" s="1"/>
  <c r="N96" i="5" a="1"/>
  <c r="N96" i="5" s="1"/>
  <c r="M97" i="5" a="1"/>
  <c r="M97" i="5" s="1"/>
  <c r="N97" i="5" a="1"/>
  <c r="N97" i="5" s="1"/>
  <c r="M98" i="5" a="1"/>
  <c r="M98" i="5" s="1"/>
  <c r="N98" i="5" a="1"/>
  <c r="N98" i="5" s="1"/>
  <c r="M99" i="5" a="1"/>
  <c r="M99" i="5" s="1"/>
  <c r="N99" i="5" a="1"/>
  <c r="N99" i="5" s="1"/>
  <c r="M100" i="5" a="1"/>
  <c r="M100" i="5" s="1"/>
  <c r="N100" i="5" a="1"/>
  <c r="N100" i="5" s="1"/>
  <c r="M101" i="5" a="1"/>
  <c r="M101" i="5" s="1"/>
  <c r="N101" i="5" a="1"/>
  <c r="N101" i="5" s="1"/>
  <c r="M102" i="5" a="1"/>
  <c r="M102" i="5" s="1"/>
  <c r="N102" i="5" a="1"/>
  <c r="N102" i="5" s="1"/>
  <c r="M103" i="5" a="1"/>
  <c r="M103" i="5" s="1"/>
  <c r="N103" i="5" a="1"/>
  <c r="N103" i="5" s="1"/>
  <c r="M104" i="5" a="1"/>
  <c r="M104" i="5" s="1"/>
  <c r="N104" i="5" a="1"/>
  <c r="N104" i="5" s="1"/>
  <c r="M105" i="5" a="1"/>
  <c r="M105" i="5" s="1"/>
  <c r="N105" i="5" a="1"/>
  <c r="N105" i="5" s="1"/>
  <c r="M106" i="5" a="1"/>
  <c r="M106" i="5" s="1"/>
  <c r="N106" i="5" a="1"/>
  <c r="N106" i="5" s="1"/>
  <c r="M107" i="5" a="1"/>
  <c r="M107" i="5" s="1"/>
  <c r="N107" i="5" a="1"/>
  <c r="N107" i="5" s="1"/>
  <c r="M108" i="5" a="1"/>
  <c r="M108" i="5" s="1"/>
  <c r="N108" i="5" a="1"/>
  <c r="N108" i="5" s="1"/>
  <c r="M109" i="5" a="1"/>
  <c r="M109" i="5" s="1"/>
  <c r="N109" i="5" a="1"/>
  <c r="N109" i="5" s="1"/>
  <c r="M110" i="5" a="1"/>
  <c r="M110" i="5" s="1"/>
  <c r="N110" i="5" a="1"/>
  <c r="N110" i="5" s="1"/>
  <c r="M111" i="5" a="1"/>
  <c r="M111" i="5" s="1"/>
  <c r="N111" i="5" a="1"/>
  <c r="N111" i="5" s="1"/>
  <c r="M112" i="5" a="1"/>
  <c r="M112" i="5" s="1"/>
  <c r="N112" i="5" a="1"/>
  <c r="N112" i="5" s="1"/>
  <c r="M113" i="5" a="1"/>
  <c r="M113" i="5" s="1"/>
  <c r="N113" i="5" a="1"/>
  <c r="N113" i="5" s="1"/>
  <c r="M114" i="5" a="1"/>
  <c r="M114" i="5" s="1"/>
  <c r="N114" i="5" a="1"/>
  <c r="N114" i="5" s="1"/>
  <c r="M115" i="5" a="1"/>
  <c r="M115" i="5" s="1"/>
  <c r="N115" i="5" a="1"/>
  <c r="N115" i="5" s="1"/>
  <c r="M116" i="5" a="1"/>
  <c r="M116" i="5" s="1"/>
  <c r="N116" i="5" a="1"/>
  <c r="N116" i="5" s="1"/>
  <c r="M117" i="5" a="1"/>
  <c r="M117" i="5" s="1"/>
  <c r="N117" i="5" a="1"/>
  <c r="N117" i="5" s="1"/>
  <c r="M118" i="5" a="1"/>
  <c r="M118" i="5" s="1"/>
  <c r="N118" i="5" a="1"/>
  <c r="N118" i="5" s="1"/>
  <c r="M119" i="5" a="1"/>
  <c r="M119" i="5" s="1"/>
  <c r="N119" i="5" a="1"/>
  <c r="N119" i="5" s="1"/>
  <c r="M120" i="5" a="1"/>
  <c r="M120" i="5" s="1"/>
  <c r="N120" i="5" a="1"/>
  <c r="N120" i="5" s="1"/>
  <c r="M121" i="5" a="1"/>
  <c r="M121" i="5" s="1"/>
  <c r="N121" i="5" a="1"/>
  <c r="N121" i="5" s="1"/>
  <c r="M122" i="5" a="1"/>
  <c r="M122" i="5" s="1"/>
  <c r="N122" i="5" a="1"/>
  <c r="N122" i="5" s="1"/>
  <c r="M123" i="5" a="1"/>
  <c r="M123" i="5" s="1"/>
  <c r="N123" i="5" a="1"/>
  <c r="N123" i="5" s="1"/>
  <c r="M124" i="5" a="1"/>
  <c r="M124" i="5" s="1"/>
  <c r="N124" i="5" a="1"/>
  <c r="N124" i="5" s="1"/>
  <c r="M125" i="5" a="1"/>
  <c r="M125" i="5" s="1"/>
  <c r="N125" i="5" a="1"/>
  <c r="N125" i="5" s="1"/>
  <c r="M126" i="5" a="1"/>
  <c r="M126" i="5" s="1"/>
  <c r="N126" i="5" a="1"/>
  <c r="N126" i="5" s="1"/>
  <c r="M127" i="5" a="1"/>
  <c r="M127" i="5" s="1"/>
  <c r="N127" i="5" a="1"/>
  <c r="N127" i="5" s="1"/>
  <c r="M128" i="5" a="1"/>
  <c r="M128" i="5" s="1"/>
  <c r="N128" i="5" a="1"/>
  <c r="N128" i="5" s="1"/>
  <c r="M129" i="5" a="1"/>
  <c r="M129" i="5" s="1"/>
  <c r="N129" i="5" a="1"/>
  <c r="N129" i="5" s="1"/>
  <c r="M130" i="5" a="1"/>
  <c r="M130" i="5" s="1"/>
  <c r="N130" i="5" a="1"/>
  <c r="N130" i="5" s="1"/>
  <c r="M131" i="5" a="1"/>
  <c r="M131" i="5" s="1"/>
  <c r="N131" i="5" a="1"/>
  <c r="N131" i="5" s="1"/>
  <c r="M132" i="5" a="1"/>
  <c r="M132" i="5" s="1"/>
  <c r="N132" i="5" a="1"/>
  <c r="N132" i="5" s="1"/>
  <c r="M133" i="5" a="1"/>
  <c r="M133" i="5" s="1"/>
  <c r="N133" i="5" a="1"/>
  <c r="N133" i="5" s="1"/>
  <c r="M134" i="5" a="1"/>
  <c r="M134" i="5" s="1"/>
  <c r="N134" i="5" a="1"/>
  <c r="N134" i="5" s="1"/>
  <c r="M135" i="5" a="1"/>
  <c r="M135" i="5" s="1"/>
  <c r="N135" i="5" a="1"/>
  <c r="N135" i="5" s="1"/>
  <c r="M136" i="5" a="1"/>
  <c r="M136" i="5" s="1"/>
  <c r="N136" i="5" a="1"/>
  <c r="N136" i="5" s="1"/>
  <c r="M137" i="5" a="1"/>
  <c r="M137" i="5" s="1"/>
  <c r="N137" i="5" a="1"/>
  <c r="N137" i="5" s="1"/>
  <c r="M138" i="5" a="1"/>
  <c r="M138" i="5" s="1"/>
  <c r="N138" i="5" a="1"/>
  <c r="N138" i="5" s="1"/>
  <c r="M139" i="5" a="1"/>
  <c r="M139" i="5" s="1"/>
  <c r="N139" i="5" a="1"/>
  <c r="N139" i="5" s="1"/>
  <c r="M140" i="5" a="1"/>
  <c r="M140" i="5" s="1"/>
  <c r="N140" i="5" a="1"/>
  <c r="N140" i="5" s="1"/>
  <c r="M141" i="5" a="1"/>
  <c r="M141" i="5" s="1"/>
  <c r="N141" i="5" a="1"/>
  <c r="N141" i="5" s="1"/>
  <c r="M142" i="5" a="1"/>
  <c r="M142" i="5" s="1"/>
  <c r="N142" i="5" a="1"/>
  <c r="N142" i="5" s="1"/>
  <c r="M143" i="5" a="1"/>
  <c r="M143" i="5" s="1"/>
  <c r="N143" i="5" a="1"/>
  <c r="N143" i="5" s="1"/>
  <c r="M144" i="5" a="1"/>
  <c r="M144" i="5" s="1"/>
  <c r="N144" i="5" a="1"/>
  <c r="N144" i="5" s="1"/>
  <c r="M145" i="5" a="1"/>
  <c r="M145" i="5" s="1"/>
  <c r="N145" i="5" a="1"/>
  <c r="N145" i="5" s="1"/>
  <c r="M146" i="5" a="1"/>
  <c r="M146" i="5" s="1"/>
  <c r="N146" i="5" a="1"/>
  <c r="N146" i="5" s="1"/>
  <c r="M147" i="5" a="1"/>
  <c r="M147" i="5" s="1"/>
  <c r="N147" i="5" a="1"/>
  <c r="N147" i="5" s="1"/>
  <c r="M148" i="5" a="1"/>
  <c r="M148" i="5" s="1"/>
  <c r="N148" i="5" a="1"/>
  <c r="N148" i="5" s="1"/>
  <c r="M149" i="5" a="1"/>
  <c r="M149" i="5" s="1"/>
  <c r="N149" i="5" a="1"/>
  <c r="N149" i="5" s="1"/>
  <c r="M150" i="5" a="1"/>
  <c r="M150" i="5" s="1"/>
  <c r="N150" i="5" a="1"/>
  <c r="N150" i="5" s="1"/>
  <c r="M151" i="5" a="1"/>
  <c r="M151" i="5" s="1"/>
  <c r="N151" i="5" a="1"/>
  <c r="N151" i="5" s="1"/>
  <c r="M152" i="5" a="1"/>
  <c r="M152" i="5" s="1"/>
  <c r="N152" i="5" a="1"/>
  <c r="N152" i="5" s="1"/>
  <c r="M153" i="5" a="1"/>
  <c r="M153" i="5" s="1"/>
  <c r="N153" i="5" a="1"/>
  <c r="N153" i="5" s="1"/>
  <c r="M154" i="5" a="1"/>
  <c r="M154" i="5" s="1"/>
  <c r="N154" i="5" a="1"/>
  <c r="N154" i="5" s="1"/>
  <c r="N5" i="5" a="1"/>
  <c r="N5" i="5" s="1"/>
  <c r="M5" i="5" a="1"/>
  <c r="M5" i="5" s="1"/>
  <c r="L6" i="5" a="1"/>
  <c r="L6" i="5" s="1"/>
  <c r="L7" i="5" a="1"/>
  <c r="L7" i="5" s="1"/>
  <c r="L8" i="5" a="1"/>
  <c r="L8" i="5" s="1"/>
  <c r="L9" i="5" a="1"/>
  <c r="L9" i="5" s="1"/>
  <c r="L10" i="5" a="1"/>
  <c r="L10" i="5" s="1"/>
  <c r="L11" i="5" a="1"/>
  <c r="L11" i="5" s="1"/>
  <c r="L12" i="5" a="1"/>
  <c r="L12" i="5" s="1"/>
  <c r="L13" i="5" a="1"/>
  <c r="L13" i="5" s="1"/>
  <c r="L14" i="5" a="1"/>
  <c r="L14" i="5" s="1"/>
  <c r="L15" i="5" a="1"/>
  <c r="L15" i="5" s="1"/>
  <c r="L16" i="5" a="1"/>
  <c r="L16" i="5" s="1"/>
  <c r="L17" i="5" a="1"/>
  <c r="L17" i="5" s="1"/>
  <c r="L18" i="5" a="1"/>
  <c r="L18" i="5" s="1"/>
  <c r="L19" i="5" a="1"/>
  <c r="L19" i="5" s="1"/>
  <c r="L20" i="5" a="1"/>
  <c r="L20" i="5" s="1"/>
  <c r="L21" i="5" a="1"/>
  <c r="L21" i="5" s="1"/>
  <c r="L22" i="5" a="1"/>
  <c r="L22" i="5" s="1"/>
  <c r="L23" i="5" a="1"/>
  <c r="L23" i="5" s="1"/>
  <c r="L24" i="5" a="1"/>
  <c r="L24" i="5" s="1"/>
  <c r="L25" i="5" a="1"/>
  <c r="L25" i="5" s="1"/>
  <c r="L26" i="5" a="1"/>
  <c r="L26" i="5" s="1"/>
  <c r="L27" i="5" a="1"/>
  <c r="L27" i="5" s="1"/>
  <c r="L28" i="5" a="1"/>
  <c r="L28" i="5" s="1"/>
  <c r="L29" i="5" a="1"/>
  <c r="L29" i="5" s="1"/>
  <c r="L30" i="5" a="1"/>
  <c r="L30" i="5" s="1"/>
  <c r="L31" i="5" a="1"/>
  <c r="L31" i="5" s="1"/>
  <c r="L32" i="5" a="1"/>
  <c r="L32" i="5" s="1"/>
  <c r="L33" i="5" a="1"/>
  <c r="L33" i="5" s="1"/>
  <c r="L34" i="5" a="1"/>
  <c r="L34" i="5" s="1"/>
  <c r="L35" i="5" a="1"/>
  <c r="L35" i="5" s="1"/>
  <c r="L36" i="5" a="1"/>
  <c r="L36" i="5" s="1"/>
  <c r="L37" i="5" a="1"/>
  <c r="L37" i="5" s="1"/>
  <c r="L38" i="5" a="1"/>
  <c r="L38" i="5" s="1"/>
  <c r="L39" i="5" a="1"/>
  <c r="L39" i="5" s="1"/>
  <c r="L40" i="5" a="1"/>
  <c r="L40" i="5" s="1"/>
  <c r="L41" i="5" a="1"/>
  <c r="L41" i="5" s="1"/>
  <c r="L42" i="5" a="1"/>
  <c r="L42" i="5" s="1"/>
  <c r="L43" i="5" a="1"/>
  <c r="L43" i="5" s="1"/>
  <c r="L44" i="5" a="1"/>
  <c r="L44" i="5" s="1"/>
  <c r="L45" i="5" a="1"/>
  <c r="L45" i="5" s="1"/>
  <c r="L46" i="5" a="1"/>
  <c r="L46" i="5" s="1"/>
  <c r="L47" i="5" a="1"/>
  <c r="L47" i="5" s="1"/>
  <c r="L48" i="5" a="1"/>
  <c r="L48" i="5" s="1"/>
  <c r="L49" i="5" a="1"/>
  <c r="L49" i="5" s="1"/>
  <c r="L50" i="5" a="1"/>
  <c r="L50" i="5" s="1"/>
  <c r="L51" i="5" a="1"/>
  <c r="L51" i="5" s="1"/>
  <c r="L52" i="5" a="1"/>
  <c r="L52" i="5" s="1"/>
  <c r="L53" i="5" a="1"/>
  <c r="L53" i="5" s="1"/>
  <c r="L54" i="5" a="1"/>
  <c r="L54" i="5" s="1"/>
  <c r="L55" i="5" a="1"/>
  <c r="L55" i="5" s="1"/>
  <c r="L56" i="5" a="1"/>
  <c r="L56" i="5" s="1"/>
  <c r="L57" i="5" a="1"/>
  <c r="L57" i="5" s="1"/>
  <c r="L58" i="5" a="1"/>
  <c r="L58" i="5" s="1"/>
  <c r="L59" i="5" a="1"/>
  <c r="L59" i="5" s="1"/>
  <c r="L60" i="5" a="1"/>
  <c r="L60" i="5" s="1"/>
  <c r="L61" i="5" a="1"/>
  <c r="L61" i="5" s="1"/>
  <c r="L62" i="5" a="1"/>
  <c r="L62" i="5" s="1"/>
  <c r="L63" i="5" a="1"/>
  <c r="L63" i="5" s="1"/>
  <c r="L64" i="5" a="1"/>
  <c r="L64" i="5" s="1"/>
  <c r="L65" i="5" a="1"/>
  <c r="L65" i="5" s="1"/>
  <c r="L66" i="5" a="1"/>
  <c r="L66" i="5" s="1"/>
  <c r="L67" i="5" a="1"/>
  <c r="L67" i="5" s="1"/>
  <c r="L68" i="5" a="1"/>
  <c r="L68" i="5" s="1"/>
  <c r="L69" i="5" a="1"/>
  <c r="L69" i="5" s="1"/>
  <c r="L70" i="5" a="1"/>
  <c r="L70" i="5" s="1"/>
  <c r="L71" i="5" a="1"/>
  <c r="L71" i="5" s="1"/>
  <c r="L72" i="5" a="1"/>
  <c r="L72" i="5" s="1"/>
  <c r="L73" i="5" a="1"/>
  <c r="L73" i="5" s="1"/>
  <c r="L74" i="5" a="1"/>
  <c r="L74" i="5" s="1"/>
  <c r="L75" i="5" a="1"/>
  <c r="L75" i="5" s="1"/>
  <c r="L76" i="5" a="1"/>
  <c r="L76" i="5" s="1"/>
  <c r="L77" i="5" a="1"/>
  <c r="L77" i="5" s="1"/>
  <c r="L78" i="5" a="1"/>
  <c r="L78" i="5" s="1"/>
  <c r="L79" i="5" a="1"/>
  <c r="L79" i="5" s="1"/>
  <c r="L80" i="5" a="1"/>
  <c r="L80" i="5" s="1"/>
  <c r="L81" i="5" a="1"/>
  <c r="L81" i="5" s="1"/>
  <c r="L82" i="5" a="1"/>
  <c r="L82" i="5" s="1"/>
  <c r="L83" i="5" a="1"/>
  <c r="L83" i="5" s="1"/>
  <c r="L84" i="5" a="1"/>
  <c r="L84" i="5" s="1"/>
  <c r="L85" i="5" a="1"/>
  <c r="L85" i="5" s="1"/>
  <c r="L86" i="5" a="1"/>
  <c r="L86" i="5" s="1"/>
  <c r="L87" i="5" a="1"/>
  <c r="L87" i="5" s="1"/>
  <c r="L88" i="5" a="1"/>
  <c r="L88" i="5" s="1"/>
  <c r="L89" i="5" a="1"/>
  <c r="L89" i="5" s="1"/>
  <c r="L90" i="5" a="1"/>
  <c r="L90" i="5" s="1"/>
  <c r="L91" i="5" a="1"/>
  <c r="L91" i="5" s="1"/>
  <c r="L92" i="5" a="1"/>
  <c r="L92" i="5" s="1"/>
  <c r="L93" i="5" a="1"/>
  <c r="L93" i="5" s="1"/>
  <c r="L94" i="5" a="1"/>
  <c r="L94" i="5" s="1"/>
  <c r="L95" i="5" a="1"/>
  <c r="L95" i="5" s="1"/>
  <c r="L96" i="5" a="1"/>
  <c r="L96" i="5" s="1"/>
  <c r="L97" i="5" a="1"/>
  <c r="L97" i="5" s="1"/>
  <c r="L98" i="5" a="1"/>
  <c r="L98" i="5" s="1"/>
  <c r="L99" i="5" a="1"/>
  <c r="L99" i="5" s="1"/>
  <c r="L100" i="5" a="1"/>
  <c r="L100" i="5" s="1"/>
  <c r="L101" i="5" a="1"/>
  <c r="L101" i="5" s="1"/>
  <c r="L102" i="5" a="1"/>
  <c r="L102" i="5" s="1"/>
  <c r="L103" i="5" a="1"/>
  <c r="L103" i="5" s="1"/>
  <c r="L104" i="5" a="1"/>
  <c r="L104" i="5" s="1"/>
  <c r="L105" i="5" a="1"/>
  <c r="L105" i="5" s="1"/>
  <c r="L106" i="5" a="1"/>
  <c r="L106" i="5" s="1"/>
  <c r="L107" i="5" a="1"/>
  <c r="L107" i="5" s="1"/>
  <c r="L108" i="5" a="1"/>
  <c r="L108" i="5" s="1"/>
  <c r="L109" i="5" a="1"/>
  <c r="L109" i="5" s="1"/>
  <c r="L110" i="5" a="1"/>
  <c r="L110" i="5" s="1"/>
  <c r="L111" i="5" a="1"/>
  <c r="L111" i="5" s="1"/>
  <c r="L112" i="5" a="1"/>
  <c r="L112" i="5" s="1"/>
  <c r="L113" i="5" a="1"/>
  <c r="L113" i="5" s="1"/>
  <c r="L114" i="5" a="1"/>
  <c r="L114" i="5" s="1"/>
  <c r="L115" i="5" a="1"/>
  <c r="L115" i="5" s="1"/>
  <c r="L116" i="5" a="1"/>
  <c r="L116" i="5" s="1"/>
  <c r="L117" i="5" a="1"/>
  <c r="L117" i="5" s="1"/>
  <c r="L118" i="5" a="1"/>
  <c r="L118" i="5" s="1"/>
  <c r="L119" i="5" a="1"/>
  <c r="L119" i="5" s="1"/>
  <c r="L120" i="5" a="1"/>
  <c r="L120" i="5" s="1"/>
  <c r="L121" i="5" a="1"/>
  <c r="L121" i="5" s="1"/>
  <c r="L122" i="5" a="1"/>
  <c r="L122" i="5" s="1"/>
  <c r="L123" i="5" a="1"/>
  <c r="L123" i="5" s="1"/>
  <c r="L124" i="5" a="1"/>
  <c r="L124" i="5" s="1"/>
  <c r="L125" i="5" a="1"/>
  <c r="L125" i="5" s="1"/>
  <c r="L126" i="5" a="1"/>
  <c r="L126" i="5" s="1"/>
  <c r="L127" i="5" a="1"/>
  <c r="L127" i="5" s="1"/>
  <c r="L128" i="5" a="1"/>
  <c r="L128" i="5" s="1"/>
  <c r="L129" i="5" a="1"/>
  <c r="L129" i="5" s="1"/>
  <c r="L130" i="5" a="1"/>
  <c r="L130" i="5" s="1"/>
  <c r="L131" i="5" a="1"/>
  <c r="L131" i="5" s="1"/>
  <c r="L132" i="5" a="1"/>
  <c r="L132" i="5" s="1"/>
  <c r="L133" i="5" a="1"/>
  <c r="L133" i="5" s="1"/>
  <c r="L134" i="5" a="1"/>
  <c r="L134" i="5" s="1"/>
  <c r="L135" i="5" a="1"/>
  <c r="L135" i="5" s="1"/>
  <c r="L136" i="5" a="1"/>
  <c r="L136" i="5" s="1"/>
  <c r="L137" i="5" a="1"/>
  <c r="L137" i="5" s="1"/>
  <c r="L138" i="5" a="1"/>
  <c r="L138" i="5" s="1"/>
  <c r="L139" i="5" a="1"/>
  <c r="L139" i="5" s="1"/>
  <c r="L140" i="5" a="1"/>
  <c r="L140" i="5" s="1"/>
  <c r="L141" i="5" a="1"/>
  <c r="L141" i="5" s="1"/>
  <c r="L142" i="5" a="1"/>
  <c r="L142" i="5" s="1"/>
  <c r="L143" i="5" a="1"/>
  <c r="L143" i="5" s="1"/>
  <c r="L144" i="5" a="1"/>
  <c r="L144" i="5" s="1"/>
  <c r="L145" i="5" a="1"/>
  <c r="L145" i="5" s="1"/>
  <c r="L146" i="5" a="1"/>
  <c r="L146" i="5" s="1"/>
  <c r="L147" i="5" a="1"/>
  <c r="L147" i="5" s="1"/>
  <c r="L148" i="5" a="1"/>
  <c r="L148" i="5" s="1"/>
  <c r="L149" i="5" a="1"/>
  <c r="L149" i="5" s="1"/>
  <c r="L150" i="5" a="1"/>
  <c r="L150" i="5" s="1"/>
  <c r="L151" i="5" a="1"/>
  <c r="L151" i="5" s="1"/>
  <c r="L152" i="5" a="1"/>
  <c r="L152" i="5" s="1"/>
  <c r="L153" i="5" a="1"/>
  <c r="L153" i="5" s="1"/>
  <c r="L154" i="5" a="1"/>
  <c r="L154" i="5" s="1"/>
  <c r="L5" i="5" a="1"/>
  <c r="L5" i="5" s="1"/>
  <c r="K6" i="5" a="1"/>
  <c r="K6" i="5" s="1"/>
  <c r="K7" i="5" a="1"/>
  <c r="K7" i="5" s="1"/>
  <c r="K8" i="5" a="1"/>
  <c r="K8" i="5" s="1"/>
  <c r="K9" i="5" a="1"/>
  <c r="K9" i="5" s="1"/>
  <c r="K10" i="5" a="1"/>
  <c r="K10" i="5" s="1"/>
  <c r="K11" i="5" a="1"/>
  <c r="K11" i="5" s="1"/>
  <c r="K12" i="5" a="1"/>
  <c r="K12" i="5" s="1"/>
  <c r="K13" i="5" a="1"/>
  <c r="K13" i="5" s="1"/>
  <c r="K14" i="5" a="1"/>
  <c r="K14" i="5" s="1"/>
  <c r="K15" i="5" a="1"/>
  <c r="K15" i="5" s="1"/>
  <c r="K16" i="5" a="1"/>
  <c r="K16" i="5" s="1"/>
  <c r="K17" i="5" a="1"/>
  <c r="K17" i="5" s="1"/>
  <c r="K18" i="5" a="1"/>
  <c r="K18" i="5" s="1"/>
  <c r="K19" i="5" a="1"/>
  <c r="K19" i="5" s="1"/>
  <c r="K20" i="5" a="1"/>
  <c r="K20" i="5" s="1"/>
  <c r="K21" i="5" a="1"/>
  <c r="K21" i="5" s="1"/>
  <c r="K22" i="5" a="1"/>
  <c r="K22" i="5" s="1"/>
  <c r="K23" i="5" a="1"/>
  <c r="K23" i="5" s="1"/>
  <c r="K24" i="5" a="1"/>
  <c r="K24" i="5" s="1"/>
  <c r="K25" i="5" a="1"/>
  <c r="K25" i="5" s="1"/>
  <c r="K26" i="5" a="1"/>
  <c r="K26" i="5" s="1"/>
  <c r="K27" i="5" a="1"/>
  <c r="K27" i="5" s="1"/>
  <c r="K28" i="5" a="1"/>
  <c r="K28" i="5" s="1"/>
  <c r="K29" i="5" a="1"/>
  <c r="K29" i="5" s="1"/>
  <c r="K30" i="5" a="1"/>
  <c r="K30" i="5" s="1"/>
  <c r="K31" i="5" a="1"/>
  <c r="K31" i="5" s="1"/>
  <c r="K32" i="5" a="1"/>
  <c r="K32" i="5" s="1"/>
  <c r="K33" i="5" a="1"/>
  <c r="K33" i="5" s="1"/>
  <c r="K34" i="5" a="1"/>
  <c r="K34" i="5" s="1"/>
  <c r="K35" i="5" a="1"/>
  <c r="K35" i="5" s="1"/>
  <c r="K36" i="5" a="1"/>
  <c r="K36" i="5" s="1"/>
  <c r="K37" i="5" a="1"/>
  <c r="K37" i="5" s="1"/>
  <c r="K38" i="5" a="1"/>
  <c r="K38" i="5" s="1"/>
  <c r="K39" i="5" a="1"/>
  <c r="K39" i="5" s="1"/>
  <c r="K40" i="5" a="1"/>
  <c r="K40" i="5" s="1"/>
  <c r="K41" i="5" a="1"/>
  <c r="K41" i="5" s="1"/>
  <c r="K42" i="5" a="1"/>
  <c r="K42" i="5" s="1"/>
  <c r="K43" i="5" a="1"/>
  <c r="K43" i="5" s="1"/>
  <c r="K44" i="5" a="1"/>
  <c r="K44" i="5" s="1"/>
  <c r="K45" i="5" a="1"/>
  <c r="K45" i="5" s="1"/>
  <c r="K46" i="5" a="1"/>
  <c r="K46" i="5" s="1"/>
  <c r="K47" i="5" a="1"/>
  <c r="K47" i="5" s="1"/>
  <c r="K48" i="5" a="1"/>
  <c r="K48" i="5" s="1"/>
  <c r="K49" i="5" a="1"/>
  <c r="K49" i="5" s="1"/>
  <c r="K50" i="5" a="1"/>
  <c r="K50" i="5" s="1"/>
  <c r="K51" i="5" a="1"/>
  <c r="K51" i="5" s="1"/>
  <c r="K52" i="5" a="1"/>
  <c r="K52" i="5" s="1"/>
  <c r="K53" i="5" a="1"/>
  <c r="K53" i="5" s="1"/>
  <c r="K54" i="5" a="1"/>
  <c r="K54" i="5" s="1"/>
  <c r="K55" i="5" a="1"/>
  <c r="K55" i="5" s="1"/>
  <c r="K56" i="5" a="1"/>
  <c r="K56" i="5" s="1"/>
  <c r="K57" i="5" a="1"/>
  <c r="K57" i="5" s="1"/>
  <c r="K58" i="5" a="1"/>
  <c r="K58" i="5" s="1"/>
  <c r="K59" i="5" a="1"/>
  <c r="K59" i="5" s="1"/>
  <c r="K60" i="5" a="1"/>
  <c r="K60" i="5" s="1"/>
  <c r="K61" i="5" a="1"/>
  <c r="K61" i="5" s="1"/>
  <c r="K62" i="5" a="1"/>
  <c r="K62" i="5" s="1"/>
  <c r="K63" i="5" a="1"/>
  <c r="K63" i="5" s="1"/>
  <c r="K64" i="5" a="1"/>
  <c r="K64" i="5" s="1"/>
  <c r="K65" i="5" a="1"/>
  <c r="K65" i="5" s="1"/>
  <c r="K66" i="5" a="1"/>
  <c r="K66" i="5" s="1"/>
  <c r="K67" i="5" a="1"/>
  <c r="K67" i="5" s="1"/>
  <c r="K68" i="5" a="1"/>
  <c r="K68" i="5" s="1"/>
  <c r="K69" i="5" a="1"/>
  <c r="K69" i="5" s="1"/>
  <c r="K70" i="5" a="1"/>
  <c r="K70" i="5" s="1"/>
  <c r="K71" i="5" a="1"/>
  <c r="K71" i="5" s="1"/>
  <c r="K72" i="5" a="1"/>
  <c r="K72" i="5" s="1"/>
  <c r="K73" i="5" a="1"/>
  <c r="K73" i="5" s="1"/>
  <c r="K74" i="5" a="1"/>
  <c r="K74" i="5" s="1"/>
  <c r="K75" i="5" a="1"/>
  <c r="K75" i="5" s="1"/>
  <c r="K76" i="5" a="1"/>
  <c r="K76" i="5" s="1"/>
  <c r="K77" i="5" a="1"/>
  <c r="K77" i="5" s="1"/>
  <c r="K78" i="5" a="1"/>
  <c r="K78" i="5" s="1"/>
  <c r="K79" i="5" a="1"/>
  <c r="K79" i="5" s="1"/>
  <c r="K80" i="5" a="1"/>
  <c r="K80" i="5" s="1"/>
  <c r="K81" i="5" a="1"/>
  <c r="K81" i="5" s="1"/>
  <c r="K82" i="5" a="1"/>
  <c r="K82" i="5" s="1"/>
  <c r="K83" i="5" a="1"/>
  <c r="K83" i="5" s="1"/>
  <c r="K84" i="5" a="1"/>
  <c r="K84" i="5" s="1"/>
  <c r="K85" i="5" a="1"/>
  <c r="K85" i="5" s="1"/>
  <c r="K86" i="5" a="1"/>
  <c r="K86" i="5" s="1"/>
  <c r="K87" i="5" a="1"/>
  <c r="K87" i="5" s="1"/>
  <c r="K88" i="5" a="1"/>
  <c r="K88" i="5" s="1"/>
  <c r="K89" i="5" a="1"/>
  <c r="K89" i="5" s="1"/>
  <c r="K90" i="5" a="1"/>
  <c r="K90" i="5" s="1"/>
  <c r="K91" i="5" a="1"/>
  <c r="K91" i="5" s="1"/>
  <c r="K92" i="5" a="1"/>
  <c r="K92" i="5" s="1"/>
  <c r="K93" i="5" a="1"/>
  <c r="K93" i="5" s="1"/>
  <c r="K94" i="5" a="1"/>
  <c r="K94" i="5" s="1"/>
  <c r="K95" i="5" a="1"/>
  <c r="K95" i="5" s="1"/>
  <c r="K96" i="5" a="1"/>
  <c r="K96" i="5" s="1"/>
  <c r="K97" i="5" a="1"/>
  <c r="K97" i="5" s="1"/>
  <c r="K98" i="5" a="1"/>
  <c r="K98" i="5" s="1"/>
  <c r="K99" i="5" a="1"/>
  <c r="K99" i="5" s="1"/>
  <c r="K100" i="5" a="1"/>
  <c r="K100" i="5" s="1"/>
  <c r="K101" i="5" a="1"/>
  <c r="K101" i="5" s="1"/>
  <c r="K102" i="5" a="1"/>
  <c r="K102" i="5" s="1"/>
  <c r="K103" i="5" a="1"/>
  <c r="K103" i="5" s="1"/>
  <c r="K104" i="5" a="1"/>
  <c r="K104" i="5" s="1"/>
  <c r="K105" i="5" a="1"/>
  <c r="K105" i="5" s="1"/>
  <c r="K106" i="5" a="1"/>
  <c r="K106" i="5" s="1"/>
  <c r="K107" i="5" a="1"/>
  <c r="K107" i="5" s="1"/>
  <c r="K108" i="5" a="1"/>
  <c r="K108" i="5" s="1"/>
  <c r="K109" i="5" a="1"/>
  <c r="K109" i="5" s="1"/>
  <c r="K110" i="5" a="1"/>
  <c r="K110" i="5" s="1"/>
  <c r="K111" i="5" a="1"/>
  <c r="K111" i="5" s="1"/>
  <c r="K112" i="5" a="1"/>
  <c r="K112" i="5" s="1"/>
  <c r="K113" i="5" a="1"/>
  <c r="K113" i="5" s="1"/>
  <c r="K114" i="5" a="1"/>
  <c r="K114" i="5" s="1"/>
  <c r="K115" i="5" a="1"/>
  <c r="K115" i="5" s="1"/>
  <c r="K116" i="5" a="1"/>
  <c r="K116" i="5" s="1"/>
  <c r="K117" i="5" a="1"/>
  <c r="K117" i="5" s="1"/>
  <c r="K118" i="5" a="1"/>
  <c r="K118" i="5" s="1"/>
  <c r="K119" i="5" a="1"/>
  <c r="K119" i="5" s="1"/>
  <c r="K120" i="5" a="1"/>
  <c r="K120" i="5" s="1"/>
  <c r="K121" i="5" a="1"/>
  <c r="K121" i="5" s="1"/>
  <c r="K122" i="5" a="1"/>
  <c r="K122" i="5" s="1"/>
  <c r="K123" i="5" a="1"/>
  <c r="K123" i="5" s="1"/>
  <c r="K124" i="5" a="1"/>
  <c r="K124" i="5" s="1"/>
  <c r="K125" i="5" a="1"/>
  <c r="K125" i="5" s="1"/>
  <c r="K126" i="5" a="1"/>
  <c r="K126" i="5" s="1"/>
  <c r="K127" i="5" a="1"/>
  <c r="K127" i="5" s="1"/>
  <c r="K128" i="5" a="1"/>
  <c r="K128" i="5" s="1"/>
  <c r="K129" i="5" a="1"/>
  <c r="K129" i="5" s="1"/>
  <c r="K130" i="5" a="1"/>
  <c r="K130" i="5" s="1"/>
  <c r="K131" i="5" a="1"/>
  <c r="K131" i="5" s="1"/>
  <c r="K132" i="5" a="1"/>
  <c r="K132" i="5" s="1"/>
  <c r="K133" i="5" a="1"/>
  <c r="K133" i="5" s="1"/>
  <c r="K134" i="5" a="1"/>
  <c r="K134" i="5" s="1"/>
  <c r="K135" i="5" a="1"/>
  <c r="K135" i="5" s="1"/>
  <c r="K136" i="5" a="1"/>
  <c r="K136" i="5" s="1"/>
  <c r="K137" i="5" a="1"/>
  <c r="K137" i="5" s="1"/>
  <c r="K138" i="5" a="1"/>
  <c r="K138" i="5" s="1"/>
  <c r="K139" i="5" a="1"/>
  <c r="K139" i="5" s="1"/>
  <c r="K140" i="5" a="1"/>
  <c r="K140" i="5" s="1"/>
  <c r="K141" i="5" a="1"/>
  <c r="K141" i="5" s="1"/>
  <c r="K142" i="5" a="1"/>
  <c r="K142" i="5" s="1"/>
  <c r="K143" i="5" a="1"/>
  <c r="K143" i="5" s="1"/>
  <c r="K144" i="5" a="1"/>
  <c r="K144" i="5" s="1"/>
  <c r="K145" i="5" a="1"/>
  <c r="K145" i="5" s="1"/>
  <c r="K146" i="5" a="1"/>
  <c r="K146" i="5" s="1"/>
  <c r="K147" i="5" a="1"/>
  <c r="K147" i="5" s="1"/>
  <c r="K148" i="5" a="1"/>
  <c r="K148" i="5" s="1"/>
  <c r="K149" i="5" a="1"/>
  <c r="K149" i="5" s="1"/>
  <c r="K150" i="5" a="1"/>
  <c r="K150" i="5" s="1"/>
  <c r="K151" i="5" a="1"/>
  <c r="K151" i="5" s="1"/>
  <c r="K152" i="5" a="1"/>
  <c r="K152" i="5" s="1"/>
  <c r="K153" i="5" a="1"/>
  <c r="K153" i="5" s="1"/>
  <c r="K154" i="5" a="1"/>
  <c r="K154" i="5" s="1"/>
  <c r="K5" i="5" a="1"/>
  <c r="K5" i="5" s="1"/>
  <c r="J6" i="5" a="1"/>
  <c r="J6" i="5" s="1"/>
  <c r="J7" i="5" a="1"/>
  <c r="J7" i="5" s="1"/>
  <c r="J8" i="5" a="1"/>
  <c r="J8" i="5" s="1"/>
  <c r="J9" i="5" a="1"/>
  <c r="J9" i="5" s="1"/>
  <c r="J10" i="5" a="1"/>
  <c r="J10" i="5" s="1"/>
  <c r="J11" i="5" a="1"/>
  <c r="J11" i="5" s="1"/>
  <c r="J12" i="5" a="1"/>
  <c r="J12" i="5" s="1"/>
  <c r="J13" i="5" a="1"/>
  <c r="J13" i="5" s="1"/>
  <c r="J14" i="5" a="1"/>
  <c r="J14" i="5" s="1"/>
  <c r="J15" i="5" a="1"/>
  <c r="J15" i="5" s="1"/>
  <c r="J16" i="5" a="1"/>
  <c r="J16" i="5" s="1"/>
  <c r="J17" i="5" a="1"/>
  <c r="J17" i="5" s="1"/>
  <c r="J18" i="5" a="1"/>
  <c r="J18" i="5" s="1"/>
  <c r="J19" i="5" a="1"/>
  <c r="J19" i="5" s="1"/>
  <c r="J20" i="5" a="1"/>
  <c r="J20" i="5" s="1"/>
  <c r="J21" i="5" a="1"/>
  <c r="J21" i="5" s="1"/>
  <c r="J22" i="5" a="1"/>
  <c r="J22" i="5" s="1"/>
  <c r="J23" i="5" a="1"/>
  <c r="J23" i="5" s="1"/>
  <c r="J24" i="5" a="1"/>
  <c r="J24" i="5" s="1"/>
  <c r="J25" i="5" a="1"/>
  <c r="J25" i="5" s="1"/>
  <c r="J26" i="5" a="1"/>
  <c r="J26" i="5" s="1"/>
  <c r="J27" i="5" a="1"/>
  <c r="J27" i="5" s="1"/>
  <c r="J28" i="5" a="1"/>
  <c r="J28" i="5" s="1"/>
  <c r="J29" i="5" a="1"/>
  <c r="J29" i="5" s="1"/>
  <c r="J30" i="5" a="1"/>
  <c r="J30" i="5" s="1"/>
  <c r="J31" i="5" a="1"/>
  <c r="J31" i="5" s="1"/>
  <c r="J32" i="5" a="1"/>
  <c r="J32" i="5" s="1"/>
  <c r="J33" i="5" a="1"/>
  <c r="J33" i="5" s="1"/>
  <c r="J34" i="5" a="1"/>
  <c r="J34" i="5" s="1"/>
  <c r="J35" i="5" a="1"/>
  <c r="J35" i="5" s="1"/>
  <c r="J36" i="5" a="1"/>
  <c r="J36" i="5" s="1"/>
  <c r="J37" i="5" a="1"/>
  <c r="J37" i="5" s="1"/>
  <c r="J38" i="5" a="1"/>
  <c r="J38" i="5" s="1"/>
  <c r="J39" i="5" a="1"/>
  <c r="J39" i="5" s="1"/>
  <c r="J40" i="5" a="1"/>
  <c r="J40" i="5" s="1"/>
  <c r="J41" i="5" a="1"/>
  <c r="J41" i="5" s="1"/>
  <c r="J42" i="5" a="1"/>
  <c r="J42" i="5" s="1"/>
  <c r="J43" i="5" a="1"/>
  <c r="J43" i="5" s="1"/>
  <c r="J44" i="5" a="1"/>
  <c r="J44" i="5" s="1"/>
  <c r="J45" i="5" a="1"/>
  <c r="J45" i="5" s="1"/>
  <c r="J46" i="5" a="1"/>
  <c r="J46" i="5" s="1"/>
  <c r="J47" i="5" a="1"/>
  <c r="J47" i="5" s="1"/>
  <c r="J48" i="5" a="1"/>
  <c r="J48" i="5" s="1"/>
  <c r="J49" i="5" a="1"/>
  <c r="J49" i="5" s="1"/>
  <c r="J50" i="5" a="1"/>
  <c r="J50" i="5" s="1"/>
  <c r="J51" i="5" a="1"/>
  <c r="J51" i="5" s="1"/>
  <c r="J52" i="5" a="1"/>
  <c r="J52" i="5" s="1"/>
  <c r="J53" i="5" a="1"/>
  <c r="J53" i="5" s="1"/>
  <c r="J54" i="5" a="1"/>
  <c r="J54" i="5" s="1"/>
  <c r="J55" i="5" a="1"/>
  <c r="J55" i="5" s="1"/>
  <c r="J56" i="5" a="1"/>
  <c r="J56" i="5" s="1"/>
  <c r="J57" i="5" a="1"/>
  <c r="J57" i="5" s="1"/>
  <c r="J58" i="5" a="1"/>
  <c r="J58" i="5" s="1"/>
  <c r="J59" i="5" a="1"/>
  <c r="J59" i="5" s="1"/>
  <c r="J60" i="5" a="1"/>
  <c r="J60" i="5" s="1"/>
  <c r="J61" i="5" a="1"/>
  <c r="J61" i="5" s="1"/>
  <c r="J62" i="5" a="1"/>
  <c r="J62" i="5" s="1"/>
  <c r="J63" i="5" a="1"/>
  <c r="J63" i="5" s="1"/>
  <c r="J64" i="5" a="1"/>
  <c r="J64" i="5" s="1"/>
  <c r="J65" i="5" a="1"/>
  <c r="J65" i="5" s="1"/>
  <c r="J66" i="5" a="1"/>
  <c r="J66" i="5" s="1"/>
  <c r="J67" i="5" a="1"/>
  <c r="J67" i="5" s="1"/>
  <c r="J68" i="5" a="1"/>
  <c r="J68" i="5" s="1"/>
  <c r="J69" i="5" a="1"/>
  <c r="J69" i="5" s="1"/>
  <c r="J70" i="5" a="1"/>
  <c r="J70" i="5" s="1"/>
  <c r="J71" i="5" a="1"/>
  <c r="J71" i="5" s="1"/>
  <c r="J72" i="5" a="1"/>
  <c r="J72" i="5" s="1"/>
  <c r="J73" i="5" a="1"/>
  <c r="J73" i="5" s="1"/>
  <c r="J74" i="5" a="1"/>
  <c r="J74" i="5" s="1"/>
  <c r="J75" i="5" a="1"/>
  <c r="J75" i="5" s="1"/>
  <c r="J76" i="5" a="1"/>
  <c r="J76" i="5" s="1"/>
  <c r="J77" i="5" a="1"/>
  <c r="J77" i="5" s="1"/>
  <c r="J78" i="5" a="1"/>
  <c r="J78" i="5" s="1"/>
  <c r="J79" i="5" a="1"/>
  <c r="J79" i="5" s="1"/>
  <c r="J80" i="5" a="1"/>
  <c r="J80" i="5" s="1"/>
  <c r="J81" i="5" a="1"/>
  <c r="J81" i="5" s="1"/>
  <c r="J82" i="5" a="1"/>
  <c r="J82" i="5" s="1"/>
  <c r="J83" i="5" a="1"/>
  <c r="J83" i="5" s="1"/>
  <c r="J84" i="5" a="1"/>
  <c r="J84" i="5" s="1"/>
  <c r="J85" i="5" a="1"/>
  <c r="J85" i="5" s="1"/>
  <c r="J86" i="5" a="1"/>
  <c r="J86" i="5" s="1"/>
  <c r="J87" i="5" a="1"/>
  <c r="J87" i="5" s="1"/>
  <c r="J88" i="5" a="1"/>
  <c r="J88" i="5" s="1"/>
  <c r="J89" i="5" a="1"/>
  <c r="J89" i="5" s="1"/>
  <c r="J90" i="5" a="1"/>
  <c r="J90" i="5" s="1"/>
  <c r="J91" i="5" a="1"/>
  <c r="J91" i="5" s="1"/>
  <c r="J92" i="5" a="1"/>
  <c r="J92" i="5" s="1"/>
  <c r="J93" i="5" a="1"/>
  <c r="J93" i="5" s="1"/>
  <c r="J94" i="5" a="1"/>
  <c r="J94" i="5" s="1"/>
  <c r="J95" i="5" a="1"/>
  <c r="J95" i="5" s="1"/>
  <c r="J96" i="5" a="1"/>
  <c r="J96" i="5" s="1"/>
  <c r="J97" i="5" a="1"/>
  <c r="J97" i="5" s="1"/>
  <c r="J98" i="5" a="1"/>
  <c r="J98" i="5" s="1"/>
  <c r="J99" i="5" a="1"/>
  <c r="J99" i="5" s="1"/>
  <c r="J100" i="5" a="1"/>
  <c r="J100" i="5" s="1"/>
  <c r="J101" i="5" a="1"/>
  <c r="J101" i="5" s="1"/>
  <c r="J102" i="5" a="1"/>
  <c r="J102" i="5" s="1"/>
  <c r="J103" i="5" a="1"/>
  <c r="J103" i="5" s="1"/>
  <c r="J104" i="5" a="1"/>
  <c r="J104" i="5" s="1"/>
  <c r="J105" i="5" a="1"/>
  <c r="J105" i="5" s="1"/>
  <c r="J106" i="5" a="1"/>
  <c r="J106" i="5" s="1"/>
  <c r="J107" i="5" a="1"/>
  <c r="J107" i="5" s="1"/>
  <c r="J108" i="5" a="1"/>
  <c r="J108" i="5" s="1"/>
  <c r="J109" i="5" a="1"/>
  <c r="J109" i="5" s="1"/>
  <c r="J110" i="5" a="1"/>
  <c r="J110" i="5" s="1"/>
  <c r="J111" i="5" a="1"/>
  <c r="J111" i="5" s="1"/>
  <c r="J112" i="5" a="1"/>
  <c r="J112" i="5" s="1"/>
  <c r="J113" i="5" a="1"/>
  <c r="J113" i="5" s="1"/>
  <c r="J114" i="5" a="1"/>
  <c r="J114" i="5" s="1"/>
  <c r="J115" i="5" a="1"/>
  <c r="J115" i="5" s="1"/>
  <c r="J116" i="5" a="1"/>
  <c r="J116" i="5" s="1"/>
  <c r="J117" i="5" a="1"/>
  <c r="J117" i="5" s="1"/>
  <c r="J118" i="5" a="1"/>
  <c r="J118" i="5" s="1"/>
  <c r="J119" i="5" a="1"/>
  <c r="J119" i="5" s="1"/>
  <c r="J120" i="5" a="1"/>
  <c r="J120" i="5" s="1"/>
  <c r="J121" i="5" a="1"/>
  <c r="J121" i="5" s="1"/>
  <c r="J122" i="5" a="1"/>
  <c r="J122" i="5" s="1"/>
  <c r="J123" i="5" a="1"/>
  <c r="J123" i="5" s="1"/>
  <c r="J124" i="5" a="1"/>
  <c r="J124" i="5" s="1"/>
  <c r="J125" i="5" a="1"/>
  <c r="J125" i="5" s="1"/>
  <c r="J126" i="5" a="1"/>
  <c r="J126" i="5" s="1"/>
  <c r="J127" i="5" a="1"/>
  <c r="J127" i="5" s="1"/>
  <c r="J128" i="5" a="1"/>
  <c r="J128" i="5" s="1"/>
  <c r="J129" i="5" a="1"/>
  <c r="J129" i="5" s="1"/>
  <c r="J130" i="5" a="1"/>
  <c r="J130" i="5" s="1"/>
  <c r="J131" i="5" a="1"/>
  <c r="J131" i="5" s="1"/>
  <c r="J132" i="5" a="1"/>
  <c r="J132" i="5" s="1"/>
  <c r="J133" i="5" a="1"/>
  <c r="J133" i="5" s="1"/>
  <c r="J134" i="5" a="1"/>
  <c r="J134" i="5" s="1"/>
  <c r="J135" i="5" a="1"/>
  <c r="J135" i="5" s="1"/>
  <c r="J136" i="5" a="1"/>
  <c r="J136" i="5" s="1"/>
  <c r="J137" i="5" a="1"/>
  <c r="J137" i="5" s="1"/>
  <c r="J138" i="5" a="1"/>
  <c r="J138" i="5" s="1"/>
  <c r="J139" i="5" a="1"/>
  <c r="J139" i="5" s="1"/>
  <c r="J140" i="5" a="1"/>
  <c r="J140" i="5" s="1"/>
  <c r="J141" i="5" a="1"/>
  <c r="J141" i="5" s="1"/>
  <c r="J142" i="5" a="1"/>
  <c r="J142" i="5" s="1"/>
  <c r="J143" i="5" a="1"/>
  <c r="J143" i="5" s="1"/>
  <c r="J144" i="5" a="1"/>
  <c r="J144" i="5" s="1"/>
  <c r="J145" i="5" a="1"/>
  <c r="J145" i="5" s="1"/>
  <c r="J146" i="5" a="1"/>
  <c r="J146" i="5" s="1"/>
  <c r="J147" i="5" a="1"/>
  <c r="J147" i="5" s="1"/>
  <c r="J148" i="5" a="1"/>
  <c r="J148" i="5" s="1"/>
  <c r="J149" i="5" a="1"/>
  <c r="J149" i="5" s="1"/>
  <c r="J150" i="5" a="1"/>
  <c r="J150" i="5" s="1"/>
  <c r="J151" i="5" a="1"/>
  <c r="J151" i="5" s="1"/>
  <c r="J152" i="5" a="1"/>
  <c r="J152" i="5" s="1"/>
  <c r="J153" i="5" a="1"/>
  <c r="J153" i="5" s="1"/>
  <c r="J154" i="5" a="1"/>
  <c r="J154" i="5" s="1"/>
  <c r="J5" i="5" a="1"/>
  <c r="J5" i="5" s="1"/>
  <c r="H6" i="5" a="1"/>
  <c r="H6" i="5" s="1"/>
  <c r="I6" i="5" a="1"/>
  <c r="I6" i="5" s="1"/>
  <c r="H7" i="5" a="1"/>
  <c r="H7" i="5" s="1"/>
  <c r="I7" i="5" a="1"/>
  <c r="I7" i="5" s="1"/>
  <c r="H8" i="5" a="1"/>
  <c r="H8" i="5" s="1"/>
  <c r="I8" i="5" a="1"/>
  <c r="I8" i="5" s="1"/>
  <c r="H9" i="5" a="1"/>
  <c r="H9" i="5" s="1"/>
  <c r="I9" i="5" a="1"/>
  <c r="I9" i="5" s="1"/>
  <c r="H10" i="5" a="1"/>
  <c r="H10" i="5" s="1"/>
  <c r="I10" i="5" a="1"/>
  <c r="I10" i="5" s="1"/>
  <c r="H11" i="5" a="1"/>
  <c r="H11" i="5" s="1"/>
  <c r="I11" i="5" a="1"/>
  <c r="I11" i="5" s="1"/>
  <c r="H12" i="5" a="1"/>
  <c r="H12" i="5" s="1"/>
  <c r="I12" i="5" a="1"/>
  <c r="I12" i="5" s="1"/>
  <c r="H13" i="5" a="1"/>
  <c r="H13" i="5" s="1"/>
  <c r="I13" i="5" a="1"/>
  <c r="I13" i="5" s="1"/>
  <c r="H14" i="5" a="1"/>
  <c r="H14" i="5" s="1"/>
  <c r="I14" i="5" a="1"/>
  <c r="I14" i="5" s="1"/>
  <c r="H15" i="5" a="1"/>
  <c r="H15" i="5" s="1"/>
  <c r="I15" i="5" a="1"/>
  <c r="I15" i="5" s="1"/>
  <c r="H16" i="5" a="1"/>
  <c r="H16" i="5" s="1"/>
  <c r="I16" i="5" a="1"/>
  <c r="I16" i="5" s="1"/>
  <c r="H17" i="5" a="1"/>
  <c r="H17" i="5" s="1"/>
  <c r="I17" i="5" a="1"/>
  <c r="I17" i="5" s="1"/>
  <c r="H18" i="5" a="1"/>
  <c r="H18" i="5" s="1"/>
  <c r="I18" i="5" a="1"/>
  <c r="I18" i="5" s="1"/>
  <c r="H19" i="5" a="1"/>
  <c r="H19" i="5" s="1"/>
  <c r="I19" i="5" a="1"/>
  <c r="I19" i="5" s="1"/>
  <c r="H20" i="5" a="1"/>
  <c r="H20" i="5" s="1"/>
  <c r="I20" i="5" a="1"/>
  <c r="I20" i="5" s="1"/>
  <c r="H21" i="5" a="1"/>
  <c r="H21" i="5" s="1"/>
  <c r="I21" i="5" a="1"/>
  <c r="I21" i="5" s="1"/>
  <c r="H22" i="5" a="1"/>
  <c r="H22" i="5" s="1"/>
  <c r="I22" i="5" a="1"/>
  <c r="I22" i="5" s="1"/>
  <c r="H23" i="5" a="1"/>
  <c r="H23" i="5" s="1"/>
  <c r="I23" i="5" a="1"/>
  <c r="I23" i="5" s="1"/>
  <c r="H24" i="5" a="1"/>
  <c r="H24" i="5" s="1"/>
  <c r="I24" i="5" a="1"/>
  <c r="I24" i="5" s="1"/>
  <c r="H25" i="5" a="1"/>
  <c r="H25" i="5" s="1"/>
  <c r="I25" i="5" a="1"/>
  <c r="I25" i="5" s="1"/>
  <c r="H26" i="5" a="1"/>
  <c r="H26" i="5" s="1"/>
  <c r="I26" i="5" a="1"/>
  <c r="I26" i="5" s="1"/>
  <c r="H27" i="5" a="1"/>
  <c r="H27" i="5" s="1"/>
  <c r="I27" i="5" a="1"/>
  <c r="I27" i="5" s="1"/>
  <c r="H28" i="5" a="1"/>
  <c r="H28" i="5" s="1"/>
  <c r="I28" i="5" a="1"/>
  <c r="I28" i="5" s="1"/>
  <c r="H29" i="5" a="1"/>
  <c r="H29" i="5" s="1"/>
  <c r="I29" i="5" a="1"/>
  <c r="I29" i="5" s="1"/>
  <c r="H30" i="5" a="1"/>
  <c r="H30" i="5" s="1"/>
  <c r="I30" i="5" a="1"/>
  <c r="I30" i="5" s="1"/>
  <c r="H31" i="5" a="1"/>
  <c r="H31" i="5" s="1"/>
  <c r="I31" i="5" a="1"/>
  <c r="I31" i="5" s="1"/>
  <c r="H32" i="5" a="1"/>
  <c r="H32" i="5" s="1"/>
  <c r="I32" i="5" a="1"/>
  <c r="I32" i="5" s="1"/>
  <c r="H33" i="5" a="1"/>
  <c r="H33" i="5" s="1"/>
  <c r="I33" i="5" a="1"/>
  <c r="I33" i="5" s="1"/>
  <c r="H34" i="5" a="1"/>
  <c r="H34" i="5" s="1"/>
  <c r="I34" i="5" a="1"/>
  <c r="I34" i="5" s="1"/>
  <c r="H35" i="5" a="1"/>
  <c r="H35" i="5" s="1"/>
  <c r="I35" i="5" a="1"/>
  <c r="I35" i="5" s="1"/>
  <c r="H36" i="5" a="1"/>
  <c r="H36" i="5" s="1"/>
  <c r="I36" i="5" a="1"/>
  <c r="I36" i="5" s="1"/>
  <c r="H37" i="5" a="1"/>
  <c r="H37" i="5" s="1"/>
  <c r="I37" i="5" a="1"/>
  <c r="I37" i="5" s="1"/>
  <c r="H38" i="5" a="1"/>
  <c r="H38" i="5" s="1"/>
  <c r="I38" i="5" a="1"/>
  <c r="I38" i="5" s="1"/>
  <c r="H39" i="5" a="1"/>
  <c r="H39" i="5" s="1"/>
  <c r="I39" i="5" a="1"/>
  <c r="I39" i="5" s="1"/>
  <c r="H40" i="5" a="1"/>
  <c r="H40" i="5" s="1"/>
  <c r="I40" i="5" a="1"/>
  <c r="I40" i="5" s="1"/>
  <c r="H41" i="5" a="1"/>
  <c r="H41" i="5" s="1"/>
  <c r="I41" i="5" a="1"/>
  <c r="I41" i="5" s="1"/>
  <c r="H42" i="5" a="1"/>
  <c r="H42" i="5" s="1"/>
  <c r="I42" i="5" a="1"/>
  <c r="I42" i="5" s="1"/>
  <c r="H43" i="5" a="1"/>
  <c r="H43" i="5" s="1"/>
  <c r="I43" i="5" a="1"/>
  <c r="I43" i="5" s="1"/>
  <c r="H44" i="5" a="1"/>
  <c r="H44" i="5" s="1"/>
  <c r="I44" i="5" a="1"/>
  <c r="I44" i="5" s="1"/>
  <c r="H45" i="5" a="1"/>
  <c r="H45" i="5" s="1"/>
  <c r="I45" i="5" a="1"/>
  <c r="I45" i="5" s="1"/>
  <c r="H46" i="5" a="1"/>
  <c r="H46" i="5" s="1"/>
  <c r="I46" i="5" a="1"/>
  <c r="I46" i="5" s="1"/>
  <c r="H47" i="5" a="1"/>
  <c r="H47" i="5" s="1"/>
  <c r="I47" i="5" a="1"/>
  <c r="I47" i="5" s="1"/>
  <c r="H48" i="5" a="1"/>
  <c r="H48" i="5" s="1"/>
  <c r="I48" i="5" a="1"/>
  <c r="I48" i="5" s="1"/>
  <c r="H49" i="5" a="1"/>
  <c r="H49" i="5" s="1"/>
  <c r="I49" i="5" a="1"/>
  <c r="I49" i="5" s="1"/>
  <c r="H50" i="5" a="1"/>
  <c r="H50" i="5" s="1"/>
  <c r="I50" i="5" a="1"/>
  <c r="I50" i="5" s="1"/>
  <c r="H51" i="5" a="1"/>
  <c r="H51" i="5" s="1"/>
  <c r="I51" i="5" a="1"/>
  <c r="I51" i="5" s="1"/>
  <c r="H52" i="5" a="1"/>
  <c r="H52" i="5" s="1"/>
  <c r="I52" i="5" a="1"/>
  <c r="I52" i="5" s="1"/>
  <c r="H53" i="5" a="1"/>
  <c r="H53" i="5" s="1"/>
  <c r="I53" i="5" a="1"/>
  <c r="I53" i="5" s="1"/>
  <c r="H54" i="5" a="1"/>
  <c r="H54" i="5" s="1"/>
  <c r="I54" i="5" a="1"/>
  <c r="I54" i="5" s="1"/>
  <c r="H55" i="5" a="1"/>
  <c r="H55" i="5" s="1"/>
  <c r="I55" i="5" a="1"/>
  <c r="I55" i="5" s="1"/>
  <c r="H56" i="5" a="1"/>
  <c r="H56" i="5" s="1"/>
  <c r="I56" i="5" a="1"/>
  <c r="I56" i="5" s="1"/>
  <c r="H57" i="5" a="1"/>
  <c r="H57" i="5" s="1"/>
  <c r="I57" i="5" a="1"/>
  <c r="I57" i="5" s="1"/>
  <c r="H58" i="5" a="1"/>
  <c r="H58" i="5" s="1"/>
  <c r="I58" i="5" a="1"/>
  <c r="I58" i="5" s="1"/>
  <c r="H59" i="5" a="1"/>
  <c r="H59" i="5" s="1"/>
  <c r="I59" i="5" a="1"/>
  <c r="I59" i="5" s="1"/>
  <c r="H60" i="5" a="1"/>
  <c r="H60" i="5" s="1"/>
  <c r="I60" i="5" a="1"/>
  <c r="I60" i="5" s="1"/>
  <c r="H61" i="5" a="1"/>
  <c r="H61" i="5" s="1"/>
  <c r="I61" i="5" a="1"/>
  <c r="I61" i="5" s="1"/>
  <c r="H62" i="5" a="1"/>
  <c r="H62" i="5" s="1"/>
  <c r="I62" i="5" a="1"/>
  <c r="I62" i="5" s="1"/>
  <c r="H63" i="5" a="1"/>
  <c r="H63" i="5" s="1"/>
  <c r="I63" i="5" a="1"/>
  <c r="I63" i="5" s="1"/>
  <c r="H64" i="5" a="1"/>
  <c r="H64" i="5" s="1"/>
  <c r="I64" i="5" a="1"/>
  <c r="I64" i="5" s="1"/>
  <c r="H65" i="5" a="1"/>
  <c r="H65" i="5" s="1"/>
  <c r="I65" i="5" a="1"/>
  <c r="I65" i="5" s="1"/>
  <c r="H66" i="5" a="1"/>
  <c r="H66" i="5" s="1"/>
  <c r="I66" i="5" a="1"/>
  <c r="I66" i="5" s="1"/>
  <c r="H67" i="5" a="1"/>
  <c r="H67" i="5" s="1"/>
  <c r="I67" i="5" a="1"/>
  <c r="I67" i="5" s="1"/>
  <c r="H68" i="5" a="1"/>
  <c r="H68" i="5" s="1"/>
  <c r="I68" i="5" a="1"/>
  <c r="I68" i="5" s="1"/>
  <c r="H69" i="5" a="1"/>
  <c r="H69" i="5" s="1"/>
  <c r="I69" i="5" a="1"/>
  <c r="I69" i="5" s="1"/>
  <c r="H70" i="5" a="1"/>
  <c r="H70" i="5" s="1"/>
  <c r="I70" i="5" a="1"/>
  <c r="I70" i="5" s="1"/>
  <c r="H71" i="5" a="1"/>
  <c r="H71" i="5" s="1"/>
  <c r="I71" i="5" a="1"/>
  <c r="I71" i="5" s="1"/>
  <c r="H72" i="5" a="1"/>
  <c r="H72" i="5" s="1"/>
  <c r="I72" i="5" a="1"/>
  <c r="I72" i="5" s="1"/>
  <c r="H73" i="5" a="1"/>
  <c r="H73" i="5" s="1"/>
  <c r="I73" i="5" a="1"/>
  <c r="I73" i="5" s="1"/>
  <c r="H74" i="5" a="1"/>
  <c r="H74" i="5" s="1"/>
  <c r="I74" i="5" a="1"/>
  <c r="I74" i="5" s="1"/>
  <c r="H75" i="5" a="1"/>
  <c r="H75" i="5" s="1"/>
  <c r="I75" i="5" a="1"/>
  <c r="I75" i="5" s="1"/>
  <c r="H76" i="5" a="1"/>
  <c r="H76" i="5" s="1"/>
  <c r="I76" i="5" a="1"/>
  <c r="I76" i="5" s="1"/>
  <c r="H77" i="5" a="1"/>
  <c r="H77" i="5" s="1"/>
  <c r="I77" i="5" a="1"/>
  <c r="I77" i="5" s="1"/>
  <c r="H78" i="5" a="1"/>
  <c r="H78" i="5" s="1"/>
  <c r="I78" i="5" a="1"/>
  <c r="I78" i="5" s="1"/>
  <c r="H79" i="5" a="1"/>
  <c r="H79" i="5" s="1"/>
  <c r="I79" i="5" a="1"/>
  <c r="I79" i="5" s="1"/>
  <c r="H80" i="5" a="1"/>
  <c r="H80" i="5" s="1"/>
  <c r="I80" i="5" a="1"/>
  <c r="I80" i="5" s="1"/>
  <c r="H81" i="5" a="1"/>
  <c r="H81" i="5" s="1"/>
  <c r="I81" i="5" a="1"/>
  <c r="I81" i="5" s="1"/>
  <c r="H82" i="5" a="1"/>
  <c r="H82" i="5" s="1"/>
  <c r="I82" i="5" a="1"/>
  <c r="I82" i="5" s="1"/>
  <c r="H83" i="5" a="1"/>
  <c r="H83" i="5" s="1"/>
  <c r="I83" i="5" a="1"/>
  <c r="I83" i="5" s="1"/>
  <c r="H84" i="5" a="1"/>
  <c r="H84" i="5" s="1"/>
  <c r="I84" i="5" a="1"/>
  <c r="I84" i="5" s="1"/>
  <c r="H85" i="5" a="1"/>
  <c r="H85" i="5" s="1"/>
  <c r="I85" i="5" a="1"/>
  <c r="I85" i="5" s="1"/>
  <c r="H86" i="5" a="1"/>
  <c r="H86" i="5" s="1"/>
  <c r="I86" i="5" a="1"/>
  <c r="I86" i="5" s="1"/>
  <c r="H87" i="5" a="1"/>
  <c r="H87" i="5" s="1"/>
  <c r="I87" i="5" a="1"/>
  <c r="I87" i="5" s="1"/>
  <c r="H88" i="5" a="1"/>
  <c r="H88" i="5" s="1"/>
  <c r="I88" i="5" a="1"/>
  <c r="I88" i="5" s="1"/>
  <c r="H89" i="5" a="1"/>
  <c r="H89" i="5" s="1"/>
  <c r="I89" i="5" a="1"/>
  <c r="I89" i="5" s="1"/>
  <c r="H90" i="5" a="1"/>
  <c r="H90" i="5" s="1"/>
  <c r="I90" i="5" a="1"/>
  <c r="I90" i="5" s="1"/>
  <c r="H91" i="5" a="1"/>
  <c r="H91" i="5" s="1"/>
  <c r="I91" i="5" a="1"/>
  <c r="I91" i="5" s="1"/>
  <c r="H92" i="5" a="1"/>
  <c r="H92" i="5" s="1"/>
  <c r="I92" i="5" a="1"/>
  <c r="I92" i="5" s="1"/>
  <c r="H93" i="5" a="1"/>
  <c r="H93" i="5" s="1"/>
  <c r="I93" i="5" a="1"/>
  <c r="I93" i="5" s="1"/>
  <c r="H94" i="5" a="1"/>
  <c r="H94" i="5" s="1"/>
  <c r="I94" i="5" a="1"/>
  <c r="I94" i="5" s="1"/>
  <c r="H95" i="5" a="1"/>
  <c r="H95" i="5" s="1"/>
  <c r="I95" i="5" a="1"/>
  <c r="I95" i="5" s="1"/>
  <c r="H96" i="5" a="1"/>
  <c r="H96" i="5" s="1"/>
  <c r="I96" i="5" a="1"/>
  <c r="I96" i="5" s="1"/>
  <c r="H97" i="5" a="1"/>
  <c r="H97" i="5" s="1"/>
  <c r="I97" i="5" a="1"/>
  <c r="I97" i="5" s="1"/>
  <c r="H98" i="5" a="1"/>
  <c r="H98" i="5" s="1"/>
  <c r="I98" i="5" a="1"/>
  <c r="I98" i="5" s="1"/>
  <c r="H99" i="5" a="1"/>
  <c r="H99" i="5" s="1"/>
  <c r="I99" i="5" a="1"/>
  <c r="I99" i="5" s="1"/>
  <c r="H100" i="5" a="1"/>
  <c r="H100" i="5" s="1"/>
  <c r="I100" i="5" a="1"/>
  <c r="I100" i="5" s="1"/>
  <c r="H101" i="5" a="1"/>
  <c r="H101" i="5" s="1"/>
  <c r="I101" i="5" a="1"/>
  <c r="I101" i="5" s="1"/>
  <c r="H102" i="5" a="1"/>
  <c r="H102" i="5" s="1"/>
  <c r="I102" i="5" a="1"/>
  <c r="I102" i="5" s="1"/>
  <c r="H103" i="5" a="1"/>
  <c r="H103" i="5" s="1"/>
  <c r="I103" i="5" a="1"/>
  <c r="I103" i="5" s="1"/>
  <c r="H104" i="5" a="1"/>
  <c r="H104" i="5" s="1"/>
  <c r="I104" i="5" a="1"/>
  <c r="I104" i="5" s="1"/>
  <c r="H105" i="5" a="1"/>
  <c r="H105" i="5" s="1"/>
  <c r="I105" i="5" a="1"/>
  <c r="I105" i="5" s="1"/>
  <c r="H106" i="5" a="1"/>
  <c r="H106" i="5" s="1"/>
  <c r="I106" i="5" a="1"/>
  <c r="I106" i="5" s="1"/>
  <c r="H107" i="5" a="1"/>
  <c r="H107" i="5" s="1"/>
  <c r="I107" i="5" a="1"/>
  <c r="I107" i="5" s="1"/>
  <c r="H108" i="5" a="1"/>
  <c r="H108" i="5" s="1"/>
  <c r="I108" i="5" a="1"/>
  <c r="I108" i="5" s="1"/>
  <c r="H109" i="5" a="1"/>
  <c r="H109" i="5" s="1"/>
  <c r="I109" i="5" a="1"/>
  <c r="I109" i="5" s="1"/>
  <c r="H110" i="5" a="1"/>
  <c r="H110" i="5" s="1"/>
  <c r="I110" i="5" a="1"/>
  <c r="I110" i="5" s="1"/>
  <c r="H111" i="5" a="1"/>
  <c r="H111" i="5" s="1"/>
  <c r="I111" i="5" a="1"/>
  <c r="I111" i="5" s="1"/>
  <c r="H112" i="5" a="1"/>
  <c r="H112" i="5" s="1"/>
  <c r="I112" i="5" a="1"/>
  <c r="I112" i="5" s="1"/>
  <c r="H113" i="5" a="1"/>
  <c r="H113" i="5" s="1"/>
  <c r="I113" i="5" a="1"/>
  <c r="I113" i="5" s="1"/>
  <c r="H114" i="5" a="1"/>
  <c r="H114" i="5" s="1"/>
  <c r="I114" i="5" a="1"/>
  <c r="I114" i="5" s="1"/>
  <c r="H115" i="5" a="1"/>
  <c r="H115" i="5" s="1"/>
  <c r="I115" i="5" a="1"/>
  <c r="I115" i="5" s="1"/>
  <c r="H116" i="5" a="1"/>
  <c r="H116" i="5" s="1"/>
  <c r="I116" i="5" a="1"/>
  <c r="I116" i="5" s="1"/>
  <c r="H117" i="5" a="1"/>
  <c r="H117" i="5" s="1"/>
  <c r="I117" i="5" a="1"/>
  <c r="I117" i="5" s="1"/>
  <c r="H118" i="5" a="1"/>
  <c r="H118" i="5" s="1"/>
  <c r="I118" i="5" a="1"/>
  <c r="I118" i="5" s="1"/>
  <c r="H119" i="5" a="1"/>
  <c r="H119" i="5" s="1"/>
  <c r="I119" i="5" a="1"/>
  <c r="I119" i="5" s="1"/>
  <c r="H120" i="5" a="1"/>
  <c r="H120" i="5" s="1"/>
  <c r="I120" i="5" a="1"/>
  <c r="I120" i="5" s="1"/>
  <c r="H121" i="5" a="1"/>
  <c r="H121" i="5" s="1"/>
  <c r="I121" i="5" a="1"/>
  <c r="I121" i="5" s="1"/>
  <c r="H122" i="5" a="1"/>
  <c r="H122" i="5" s="1"/>
  <c r="I122" i="5" a="1"/>
  <c r="I122" i="5" s="1"/>
  <c r="H123" i="5" a="1"/>
  <c r="H123" i="5" s="1"/>
  <c r="I123" i="5" a="1"/>
  <c r="I123" i="5" s="1"/>
  <c r="H124" i="5" a="1"/>
  <c r="H124" i="5" s="1"/>
  <c r="I124" i="5" a="1"/>
  <c r="I124" i="5" s="1"/>
  <c r="H125" i="5" a="1"/>
  <c r="H125" i="5" s="1"/>
  <c r="I125" i="5" a="1"/>
  <c r="I125" i="5" s="1"/>
  <c r="H126" i="5" a="1"/>
  <c r="H126" i="5" s="1"/>
  <c r="I126" i="5" a="1"/>
  <c r="I126" i="5" s="1"/>
  <c r="H127" i="5" a="1"/>
  <c r="H127" i="5" s="1"/>
  <c r="I127" i="5" a="1"/>
  <c r="I127" i="5" s="1"/>
  <c r="H128" i="5" a="1"/>
  <c r="H128" i="5" s="1"/>
  <c r="I128" i="5" a="1"/>
  <c r="I128" i="5" s="1"/>
  <c r="H129" i="5" a="1"/>
  <c r="H129" i="5" s="1"/>
  <c r="I129" i="5" a="1"/>
  <c r="I129" i="5" s="1"/>
  <c r="H130" i="5" a="1"/>
  <c r="H130" i="5" s="1"/>
  <c r="I130" i="5" a="1"/>
  <c r="I130" i="5" s="1"/>
  <c r="H131" i="5" a="1"/>
  <c r="H131" i="5" s="1"/>
  <c r="I131" i="5" a="1"/>
  <c r="I131" i="5" s="1"/>
  <c r="H132" i="5" a="1"/>
  <c r="H132" i="5" s="1"/>
  <c r="I132" i="5" a="1"/>
  <c r="I132" i="5" s="1"/>
  <c r="H133" i="5" a="1"/>
  <c r="H133" i="5" s="1"/>
  <c r="I133" i="5" a="1"/>
  <c r="I133" i="5" s="1"/>
  <c r="H134" i="5" a="1"/>
  <c r="H134" i="5" s="1"/>
  <c r="I134" i="5" a="1"/>
  <c r="I134" i="5" s="1"/>
  <c r="H135" i="5" a="1"/>
  <c r="H135" i="5" s="1"/>
  <c r="I135" i="5" a="1"/>
  <c r="I135" i="5" s="1"/>
  <c r="H136" i="5" a="1"/>
  <c r="H136" i="5" s="1"/>
  <c r="I136" i="5" a="1"/>
  <c r="I136" i="5" s="1"/>
  <c r="H137" i="5" a="1"/>
  <c r="H137" i="5" s="1"/>
  <c r="I137" i="5" a="1"/>
  <c r="I137" i="5" s="1"/>
  <c r="H138" i="5" a="1"/>
  <c r="H138" i="5" s="1"/>
  <c r="I138" i="5" a="1"/>
  <c r="I138" i="5" s="1"/>
  <c r="H139" i="5" a="1"/>
  <c r="H139" i="5" s="1"/>
  <c r="I139" i="5" a="1"/>
  <c r="I139" i="5" s="1"/>
  <c r="H140" i="5" a="1"/>
  <c r="H140" i="5" s="1"/>
  <c r="I140" i="5" a="1"/>
  <c r="I140" i="5" s="1"/>
  <c r="H141" i="5" a="1"/>
  <c r="H141" i="5" s="1"/>
  <c r="I141" i="5" a="1"/>
  <c r="I141" i="5" s="1"/>
  <c r="H142" i="5" a="1"/>
  <c r="H142" i="5" s="1"/>
  <c r="I142" i="5" a="1"/>
  <c r="I142" i="5" s="1"/>
  <c r="H143" i="5" a="1"/>
  <c r="H143" i="5" s="1"/>
  <c r="I143" i="5" a="1"/>
  <c r="I143" i="5" s="1"/>
  <c r="H144" i="5" a="1"/>
  <c r="H144" i="5" s="1"/>
  <c r="I144" i="5" a="1"/>
  <c r="I144" i="5" s="1"/>
  <c r="H145" i="5" a="1"/>
  <c r="H145" i="5" s="1"/>
  <c r="I145" i="5" a="1"/>
  <c r="I145" i="5" s="1"/>
  <c r="H146" i="5" a="1"/>
  <c r="H146" i="5" s="1"/>
  <c r="I146" i="5" a="1"/>
  <c r="I146" i="5" s="1"/>
  <c r="H147" i="5" a="1"/>
  <c r="H147" i="5" s="1"/>
  <c r="I147" i="5" a="1"/>
  <c r="I147" i="5" s="1"/>
  <c r="H148" i="5" a="1"/>
  <c r="H148" i="5" s="1"/>
  <c r="I148" i="5" a="1"/>
  <c r="I148" i="5" s="1"/>
  <c r="H149" i="5" a="1"/>
  <c r="H149" i="5" s="1"/>
  <c r="I149" i="5" a="1"/>
  <c r="I149" i="5" s="1"/>
  <c r="H150" i="5" a="1"/>
  <c r="H150" i="5" s="1"/>
  <c r="I150" i="5" a="1"/>
  <c r="I150" i="5" s="1"/>
  <c r="H151" i="5" a="1"/>
  <c r="H151" i="5" s="1"/>
  <c r="I151" i="5" a="1"/>
  <c r="I151" i="5" s="1"/>
  <c r="H152" i="5" a="1"/>
  <c r="H152" i="5" s="1"/>
  <c r="I152" i="5" a="1"/>
  <c r="I152" i="5" s="1"/>
  <c r="H153" i="5" a="1"/>
  <c r="H153" i="5" s="1"/>
  <c r="I153" i="5" a="1"/>
  <c r="I153" i="5" s="1"/>
  <c r="H154" i="5" a="1"/>
  <c r="H154" i="5" s="1"/>
  <c r="I154" i="5" a="1"/>
  <c r="I154" i="5" s="1"/>
  <c r="I5" i="5" a="1"/>
  <c r="I5" i="5" s="1"/>
  <c r="H5" i="5" a="1"/>
  <c r="H5" i="5" s="1"/>
  <c r="F6" i="5" a="1"/>
  <c r="F6" i="5" s="1"/>
  <c r="F7" i="5" a="1"/>
  <c r="F7" i="5" s="1"/>
  <c r="F8" i="5" a="1"/>
  <c r="F8" i="5" s="1"/>
  <c r="F9" i="5" a="1"/>
  <c r="F9" i="5" s="1"/>
  <c r="F10" i="5" a="1"/>
  <c r="F10" i="5" s="1"/>
  <c r="F11" i="5" a="1"/>
  <c r="F11" i="5" s="1"/>
  <c r="F12" i="5" a="1"/>
  <c r="F12" i="5" s="1"/>
  <c r="F13" i="5" a="1"/>
  <c r="F13" i="5" s="1"/>
  <c r="F14" i="5" a="1"/>
  <c r="F14" i="5" s="1"/>
  <c r="F15" i="5" a="1"/>
  <c r="F15" i="5" s="1"/>
  <c r="F16" i="5" a="1"/>
  <c r="F16" i="5" s="1"/>
  <c r="F17" i="5" a="1"/>
  <c r="F17" i="5" s="1"/>
  <c r="F18" i="5" a="1"/>
  <c r="F18" i="5" s="1"/>
  <c r="F19" i="5" a="1"/>
  <c r="F19" i="5" s="1"/>
  <c r="F20" i="5" a="1"/>
  <c r="F20" i="5" s="1"/>
  <c r="F21" i="5" a="1"/>
  <c r="F21" i="5" s="1"/>
  <c r="F22" i="5" a="1"/>
  <c r="F22" i="5" s="1"/>
  <c r="F23" i="5" a="1"/>
  <c r="F23" i="5" s="1"/>
  <c r="F24" i="5" a="1"/>
  <c r="F24" i="5" s="1"/>
  <c r="F25" i="5" a="1"/>
  <c r="F25" i="5" s="1"/>
  <c r="F26" i="5" a="1"/>
  <c r="F26" i="5" s="1"/>
  <c r="F27" i="5" a="1"/>
  <c r="F27" i="5" s="1"/>
  <c r="F28" i="5" a="1"/>
  <c r="F28" i="5" s="1"/>
  <c r="F29" i="5" a="1"/>
  <c r="F29" i="5" s="1"/>
  <c r="F30" i="5" a="1"/>
  <c r="F30" i="5" s="1"/>
  <c r="F31" i="5" a="1"/>
  <c r="F31" i="5" s="1"/>
  <c r="F32" i="5" a="1"/>
  <c r="F32" i="5" s="1"/>
  <c r="F33" i="5" a="1"/>
  <c r="F33" i="5" s="1"/>
  <c r="F34" i="5" a="1"/>
  <c r="F34" i="5" s="1"/>
  <c r="F35" i="5" a="1"/>
  <c r="F35" i="5" s="1"/>
  <c r="F36" i="5" a="1"/>
  <c r="F36" i="5" s="1"/>
  <c r="F37" i="5" a="1"/>
  <c r="F37" i="5" s="1"/>
  <c r="F38" i="5" a="1"/>
  <c r="F38" i="5" s="1"/>
  <c r="F39" i="5" a="1"/>
  <c r="F39" i="5" s="1"/>
  <c r="F40" i="5" a="1"/>
  <c r="F40" i="5" s="1"/>
  <c r="F41" i="5" a="1"/>
  <c r="F41" i="5" s="1"/>
  <c r="F42" i="5" a="1"/>
  <c r="F42" i="5" s="1"/>
  <c r="F43" i="5" a="1"/>
  <c r="F43" i="5" s="1"/>
  <c r="F44" i="5" a="1"/>
  <c r="F44" i="5" s="1"/>
  <c r="F45" i="5" a="1"/>
  <c r="F45" i="5" s="1"/>
  <c r="F46" i="5" a="1"/>
  <c r="F46" i="5" s="1"/>
  <c r="F47" i="5" a="1"/>
  <c r="F47" i="5" s="1"/>
  <c r="F48" i="5" a="1"/>
  <c r="F48" i="5" s="1"/>
  <c r="F49" i="5" a="1"/>
  <c r="F49" i="5" s="1"/>
  <c r="F50" i="5" a="1"/>
  <c r="F50" i="5" s="1"/>
  <c r="F51" i="5" a="1"/>
  <c r="F51" i="5" s="1"/>
  <c r="F52" i="5" a="1"/>
  <c r="F52" i="5" s="1"/>
  <c r="F53" i="5" a="1"/>
  <c r="F53" i="5" s="1"/>
  <c r="F54" i="5" a="1"/>
  <c r="F54" i="5" s="1"/>
  <c r="F55" i="5" a="1"/>
  <c r="F55" i="5" s="1"/>
  <c r="F56" i="5" a="1"/>
  <c r="F56" i="5" s="1"/>
  <c r="F57" i="5" a="1"/>
  <c r="F57" i="5" s="1"/>
  <c r="F58" i="5" a="1"/>
  <c r="F58" i="5" s="1"/>
  <c r="F59" i="5" a="1"/>
  <c r="F59" i="5" s="1"/>
  <c r="F60" i="5" a="1"/>
  <c r="F60" i="5" s="1"/>
  <c r="F61" i="5" a="1"/>
  <c r="F61" i="5" s="1"/>
  <c r="F62" i="5" a="1"/>
  <c r="F62" i="5" s="1"/>
  <c r="F63" i="5" a="1"/>
  <c r="F63" i="5" s="1"/>
  <c r="F64" i="5" a="1"/>
  <c r="F64" i="5" s="1"/>
  <c r="F65" i="5" a="1"/>
  <c r="F65" i="5" s="1"/>
  <c r="F66" i="5" a="1"/>
  <c r="F66" i="5" s="1"/>
  <c r="F67" i="5" a="1"/>
  <c r="F67" i="5" s="1"/>
  <c r="F68" i="5" a="1"/>
  <c r="F68" i="5" s="1"/>
  <c r="F69" i="5" a="1"/>
  <c r="F69" i="5" s="1"/>
  <c r="F70" i="5" a="1"/>
  <c r="F70" i="5" s="1"/>
  <c r="F71" i="5" a="1"/>
  <c r="F71" i="5" s="1"/>
  <c r="F72" i="5" a="1"/>
  <c r="F72" i="5" s="1"/>
  <c r="F73" i="5" a="1"/>
  <c r="F73" i="5" s="1"/>
  <c r="F74" i="5" a="1"/>
  <c r="F74" i="5" s="1"/>
  <c r="F75" i="5" a="1"/>
  <c r="F75" i="5" s="1"/>
  <c r="F76" i="5" a="1"/>
  <c r="F76" i="5" s="1"/>
  <c r="F77" i="5" a="1"/>
  <c r="F77" i="5" s="1"/>
  <c r="F78" i="5" a="1"/>
  <c r="F78" i="5" s="1"/>
  <c r="F79" i="5" a="1"/>
  <c r="F79" i="5" s="1"/>
  <c r="F80" i="5" a="1"/>
  <c r="F80" i="5" s="1"/>
  <c r="F81" i="5" a="1"/>
  <c r="F81" i="5" s="1"/>
  <c r="F82" i="5" a="1"/>
  <c r="F82" i="5" s="1"/>
  <c r="F83" i="5" a="1"/>
  <c r="F83" i="5" s="1"/>
  <c r="F84" i="5" a="1"/>
  <c r="F84" i="5" s="1"/>
  <c r="F85" i="5" a="1"/>
  <c r="F85" i="5" s="1"/>
  <c r="F86" i="5" a="1"/>
  <c r="F86" i="5" s="1"/>
  <c r="F87" i="5" a="1"/>
  <c r="F87" i="5" s="1"/>
  <c r="F88" i="5" a="1"/>
  <c r="F88" i="5" s="1"/>
  <c r="F89" i="5" a="1"/>
  <c r="F89" i="5" s="1"/>
  <c r="F90" i="5" a="1"/>
  <c r="F90" i="5" s="1"/>
  <c r="F91" i="5" a="1"/>
  <c r="F91" i="5" s="1"/>
  <c r="F92" i="5" a="1"/>
  <c r="F92" i="5" s="1"/>
  <c r="F93" i="5" a="1"/>
  <c r="F93" i="5" s="1"/>
  <c r="F94" i="5" a="1"/>
  <c r="F94" i="5" s="1"/>
  <c r="F95" i="5" a="1"/>
  <c r="F95" i="5" s="1"/>
  <c r="F96" i="5" a="1"/>
  <c r="F96" i="5" s="1"/>
  <c r="F97" i="5" a="1"/>
  <c r="F97" i="5" s="1"/>
  <c r="F98" i="5" a="1"/>
  <c r="F98" i="5" s="1"/>
  <c r="F99" i="5" a="1"/>
  <c r="F99" i="5" s="1"/>
  <c r="F100" i="5" a="1"/>
  <c r="F100" i="5" s="1"/>
  <c r="F101" i="5" a="1"/>
  <c r="F101" i="5" s="1"/>
  <c r="F102" i="5" a="1"/>
  <c r="F102" i="5" s="1"/>
  <c r="F103" i="5" a="1"/>
  <c r="F103" i="5" s="1"/>
  <c r="F104" i="5" a="1"/>
  <c r="F104" i="5" s="1"/>
  <c r="F105" i="5" a="1"/>
  <c r="F105" i="5" s="1"/>
  <c r="F106" i="5" a="1"/>
  <c r="F106" i="5" s="1"/>
  <c r="F107" i="5" a="1"/>
  <c r="F107" i="5" s="1"/>
  <c r="F108" i="5" a="1"/>
  <c r="F108" i="5" s="1"/>
  <c r="F109" i="5" a="1"/>
  <c r="F109" i="5" s="1"/>
  <c r="F110" i="5" a="1"/>
  <c r="F110" i="5" s="1"/>
  <c r="F111" i="5" a="1"/>
  <c r="F111" i="5" s="1"/>
  <c r="F112" i="5" a="1"/>
  <c r="F112" i="5" s="1"/>
  <c r="F113" i="5" a="1"/>
  <c r="F113" i="5" s="1"/>
  <c r="F114" i="5" a="1"/>
  <c r="F114" i="5" s="1"/>
  <c r="F115" i="5" a="1"/>
  <c r="F115" i="5" s="1"/>
  <c r="F116" i="5" a="1"/>
  <c r="F116" i="5" s="1"/>
  <c r="F117" i="5" a="1"/>
  <c r="F117" i="5" s="1"/>
  <c r="F118" i="5" a="1"/>
  <c r="F118" i="5" s="1"/>
  <c r="F119" i="5" a="1"/>
  <c r="F119" i="5" s="1"/>
  <c r="F120" i="5" a="1"/>
  <c r="F120" i="5" s="1"/>
  <c r="F121" i="5" a="1"/>
  <c r="F121" i="5" s="1"/>
  <c r="F122" i="5" a="1"/>
  <c r="F122" i="5" s="1"/>
  <c r="F123" i="5" a="1"/>
  <c r="F123" i="5" s="1"/>
  <c r="F124" i="5" a="1"/>
  <c r="F124" i="5" s="1"/>
  <c r="F125" i="5" a="1"/>
  <c r="F125" i="5" s="1"/>
  <c r="F126" i="5" a="1"/>
  <c r="F126" i="5" s="1"/>
  <c r="F127" i="5" a="1"/>
  <c r="F127" i="5" s="1"/>
  <c r="F128" i="5" a="1"/>
  <c r="F128" i="5" s="1"/>
  <c r="F129" i="5" a="1"/>
  <c r="F129" i="5" s="1"/>
  <c r="F130" i="5" a="1"/>
  <c r="F130" i="5" s="1"/>
  <c r="F131" i="5" a="1"/>
  <c r="F131" i="5" s="1"/>
  <c r="F132" i="5" a="1"/>
  <c r="F132" i="5" s="1"/>
  <c r="F133" i="5" a="1"/>
  <c r="F133" i="5" s="1"/>
  <c r="F134" i="5" a="1"/>
  <c r="F134" i="5" s="1"/>
  <c r="F135" i="5" a="1"/>
  <c r="F135" i="5" s="1"/>
  <c r="F136" i="5" a="1"/>
  <c r="F136" i="5" s="1"/>
  <c r="F137" i="5" a="1"/>
  <c r="F137" i="5" s="1"/>
  <c r="F138" i="5" a="1"/>
  <c r="F138" i="5" s="1"/>
  <c r="F139" i="5" a="1"/>
  <c r="F139" i="5" s="1"/>
  <c r="F140" i="5" a="1"/>
  <c r="F140" i="5" s="1"/>
  <c r="F141" i="5" a="1"/>
  <c r="F141" i="5" s="1"/>
  <c r="F142" i="5" a="1"/>
  <c r="F142" i="5" s="1"/>
  <c r="F143" i="5" a="1"/>
  <c r="F143" i="5" s="1"/>
  <c r="F144" i="5" a="1"/>
  <c r="F144" i="5" s="1"/>
  <c r="F145" i="5" a="1"/>
  <c r="F145" i="5" s="1"/>
  <c r="F146" i="5" a="1"/>
  <c r="F146" i="5" s="1"/>
  <c r="F147" i="5" a="1"/>
  <c r="F147" i="5" s="1"/>
  <c r="F148" i="5" a="1"/>
  <c r="F148" i="5" s="1"/>
  <c r="F149" i="5" a="1"/>
  <c r="F149" i="5" s="1"/>
  <c r="F150" i="5" a="1"/>
  <c r="F150" i="5" s="1"/>
  <c r="F151" i="5" a="1"/>
  <c r="F151" i="5" s="1"/>
  <c r="F152" i="5" a="1"/>
  <c r="F152" i="5" s="1"/>
  <c r="F153" i="5" a="1"/>
  <c r="F153" i="5" s="1"/>
  <c r="F154" i="5" a="1"/>
  <c r="F154" i="5" s="1"/>
  <c r="E6" i="5" a="1"/>
  <c r="E6" i="5" s="1"/>
  <c r="E7" i="5" a="1"/>
  <c r="E7" i="5" s="1"/>
  <c r="E8" i="5" a="1"/>
  <c r="E8" i="5" s="1"/>
  <c r="E9" i="5" a="1"/>
  <c r="E9" i="5" s="1"/>
  <c r="E10" i="5" a="1"/>
  <c r="E10" i="5" s="1"/>
  <c r="E11" i="5" a="1"/>
  <c r="E11" i="5" s="1"/>
  <c r="E12" i="5" a="1"/>
  <c r="E12" i="5" s="1"/>
  <c r="E13" i="5" a="1"/>
  <c r="E13" i="5" s="1"/>
  <c r="E14" i="5" a="1"/>
  <c r="E14" i="5" s="1"/>
  <c r="E15" i="5" a="1"/>
  <c r="E15" i="5" s="1"/>
  <c r="E16" i="5" a="1"/>
  <c r="E16" i="5" s="1"/>
  <c r="E17" i="5" a="1"/>
  <c r="E17" i="5" s="1"/>
  <c r="E18" i="5" a="1"/>
  <c r="E18" i="5" s="1"/>
  <c r="E19" i="5" a="1"/>
  <c r="E19" i="5" s="1"/>
  <c r="E20" i="5" a="1"/>
  <c r="E20" i="5" s="1"/>
  <c r="E21" i="5" a="1"/>
  <c r="E21" i="5" s="1"/>
  <c r="E22" i="5" a="1"/>
  <c r="E22" i="5" s="1"/>
  <c r="E23" i="5" a="1"/>
  <c r="E23" i="5" s="1"/>
  <c r="E24" i="5" a="1"/>
  <c r="E24" i="5" s="1"/>
  <c r="E25" i="5" a="1"/>
  <c r="E25" i="5" s="1"/>
  <c r="E26" i="5" a="1"/>
  <c r="E26" i="5" s="1"/>
  <c r="E27" i="5" a="1"/>
  <c r="E27" i="5" s="1"/>
  <c r="E28" i="5" a="1"/>
  <c r="E28" i="5" s="1"/>
  <c r="E29" i="5" a="1"/>
  <c r="E29" i="5" s="1"/>
  <c r="E30" i="5" a="1"/>
  <c r="E30" i="5" s="1"/>
  <c r="E31" i="5" a="1"/>
  <c r="E31" i="5" s="1"/>
  <c r="E32" i="5" a="1"/>
  <c r="E32" i="5" s="1"/>
  <c r="E33" i="5" a="1"/>
  <c r="E33" i="5" s="1"/>
  <c r="E34" i="5" a="1"/>
  <c r="E34" i="5" s="1"/>
  <c r="E35" i="5" a="1"/>
  <c r="E35" i="5" s="1"/>
  <c r="E36" i="5" a="1"/>
  <c r="E36" i="5" s="1"/>
  <c r="E37" i="5" a="1"/>
  <c r="E37" i="5" s="1"/>
  <c r="E38" i="5" a="1"/>
  <c r="E38" i="5" s="1"/>
  <c r="E39" i="5" a="1"/>
  <c r="E39" i="5" s="1"/>
  <c r="E40" i="5" a="1"/>
  <c r="E40" i="5" s="1"/>
  <c r="E41" i="5" a="1"/>
  <c r="E41" i="5" s="1"/>
  <c r="E42" i="5" a="1"/>
  <c r="E42" i="5" s="1"/>
  <c r="E43" i="5" a="1"/>
  <c r="E43" i="5" s="1"/>
  <c r="E44" i="5" a="1"/>
  <c r="E44" i="5" s="1"/>
  <c r="E45" i="5" a="1"/>
  <c r="E45" i="5" s="1"/>
  <c r="E46" i="5" a="1"/>
  <c r="E46" i="5" s="1"/>
  <c r="E47" i="5" a="1"/>
  <c r="E47" i="5" s="1"/>
  <c r="E48" i="5" a="1"/>
  <c r="E48" i="5" s="1"/>
  <c r="E49" i="5" a="1"/>
  <c r="E49" i="5" s="1"/>
  <c r="E50" i="5" a="1"/>
  <c r="E50" i="5" s="1"/>
  <c r="E51" i="5" a="1"/>
  <c r="E51" i="5" s="1"/>
  <c r="E52" i="5" a="1"/>
  <c r="E52" i="5" s="1"/>
  <c r="E53" i="5" a="1"/>
  <c r="E53" i="5" s="1"/>
  <c r="E54" i="5" a="1"/>
  <c r="E54" i="5" s="1"/>
  <c r="E55" i="5" a="1"/>
  <c r="E55" i="5" s="1"/>
  <c r="E56" i="5" a="1"/>
  <c r="E56" i="5" s="1"/>
  <c r="E57" i="5" a="1"/>
  <c r="E57" i="5" s="1"/>
  <c r="E58" i="5" a="1"/>
  <c r="E58" i="5" s="1"/>
  <c r="E59" i="5" a="1"/>
  <c r="E59" i="5" s="1"/>
  <c r="E60" i="5" a="1"/>
  <c r="E60" i="5" s="1"/>
  <c r="E61" i="5" a="1"/>
  <c r="E61" i="5" s="1"/>
  <c r="E62" i="5" a="1"/>
  <c r="E62" i="5" s="1"/>
  <c r="E63" i="5" a="1"/>
  <c r="E63" i="5" s="1"/>
  <c r="E64" i="5" a="1"/>
  <c r="E64" i="5" s="1"/>
  <c r="E65" i="5" a="1"/>
  <c r="E65" i="5" s="1"/>
  <c r="E66" i="5" a="1"/>
  <c r="E66" i="5" s="1"/>
  <c r="E67" i="5" a="1"/>
  <c r="E67" i="5" s="1"/>
  <c r="E68" i="5" a="1"/>
  <c r="E68" i="5" s="1"/>
  <c r="E69" i="5" a="1"/>
  <c r="E69" i="5" s="1"/>
  <c r="E70" i="5" a="1"/>
  <c r="E70" i="5" s="1"/>
  <c r="E71" i="5" a="1"/>
  <c r="E71" i="5" s="1"/>
  <c r="E72" i="5" a="1"/>
  <c r="E72" i="5" s="1"/>
  <c r="E73" i="5" a="1"/>
  <c r="E73" i="5" s="1"/>
  <c r="E74" i="5" a="1"/>
  <c r="E74" i="5" s="1"/>
  <c r="E75" i="5" a="1"/>
  <c r="E75" i="5" s="1"/>
  <c r="E76" i="5" a="1"/>
  <c r="E76" i="5" s="1"/>
  <c r="E77" i="5" a="1"/>
  <c r="E77" i="5" s="1"/>
  <c r="E78" i="5" a="1"/>
  <c r="E78" i="5" s="1"/>
  <c r="E79" i="5" a="1"/>
  <c r="E79" i="5" s="1"/>
  <c r="E80" i="5" a="1"/>
  <c r="E80" i="5" s="1"/>
  <c r="E81" i="5" a="1"/>
  <c r="E81" i="5" s="1"/>
  <c r="E82" i="5" a="1"/>
  <c r="E82" i="5" s="1"/>
  <c r="E83" i="5" a="1"/>
  <c r="E83" i="5" s="1"/>
  <c r="E84" i="5" a="1"/>
  <c r="E84" i="5" s="1"/>
  <c r="E85" i="5" a="1"/>
  <c r="E85" i="5" s="1"/>
  <c r="E86" i="5" a="1"/>
  <c r="E86" i="5" s="1"/>
  <c r="E87" i="5" a="1"/>
  <c r="E87" i="5" s="1"/>
  <c r="E88" i="5" a="1"/>
  <c r="E88" i="5" s="1"/>
  <c r="E89" i="5" a="1"/>
  <c r="E89" i="5" s="1"/>
  <c r="E90" i="5" a="1"/>
  <c r="E90" i="5" s="1"/>
  <c r="E91" i="5" a="1"/>
  <c r="E91" i="5" s="1"/>
  <c r="E92" i="5" a="1"/>
  <c r="E92" i="5" s="1"/>
  <c r="E93" i="5" a="1"/>
  <c r="E93" i="5" s="1"/>
  <c r="E94" i="5" a="1"/>
  <c r="E94" i="5" s="1"/>
  <c r="E95" i="5" a="1"/>
  <c r="E95" i="5" s="1"/>
  <c r="E96" i="5" a="1"/>
  <c r="E96" i="5" s="1"/>
  <c r="E97" i="5" a="1"/>
  <c r="E97" i="5" s="1"/>
  <c r="E98" i="5" a="1"/>
  <c r="E98" i="5" s="1"/>
  <c r="E99" i="5" a="1"/>
  <c r="E99" i="5" s="1"/>
  <c r="E100" i="5" a="1"/>
  <c r="E100" i="5" s="1"/>
  <c r="E101" i="5" a="1"/>
  <c r="E101" i="5" s="1"/>
  <c r="E102" i="5" a="1"/>
  <c r="E102" i="5" s="1"/>
  <c r="E103" i="5" a="1"/>
  <c r="E103" i="5" s="1"/>
  <c r="E104" i="5" a="1"/>
  <c r="E104" i="5" s="1"/>
  <c r="E105" i="5" a="1"/>
  <c r="E105" i="5" s="1"/>
  <c r="E106" i="5" a="1"/>
  <c r="E106" i="5" s="1"/>
  <c r="E107" i="5" a="1"/>
  <c r="E107" i="5" s="1"/>
  <c r="E108" i="5" a="1"/>
  <c r="E108" i="5" s="1"/>
  <c r="E109" i="5" a="1"/>
  <c r="E109" i="5" s="1"/>
  <c r="E110" i="5" a="1"/>
  <c r="E110" i="5" s="1"/>
  <c r="E111" i="5" a="1"/>
  <c r="E111" i="5" s="1"/>
  <c r="E112" i="5" a="1"/>
  <c r="E112" i="5" s="1"/>
  <c r="E113" i="5" a="1"/>
  <c r="E113" i="5" s="1"/>
  <c r="E114" i="5" a="1"/>
  <c r="E114" i="5" s="1"/>
  <c r="E115" i="5" a="1"/>
  <c r="E115" i="5" s="1"/>
  <c r="E116" i="5" a="1"/>
  <c r="E116" i="5" s="1"/>
  <c r="E117" i="5" a="1"/>
  <c r="E117" i="5" s="1"/>
  <c r="E118" i="5" a="1"/>
  <c r="E118" i="5" s="1"/>
  <c r="E119" i="5" a="1"/>
  <c r="E119" i="5" s="1"/>
  <c r="E120" i="5" a="1"/>
  <c r="E120" i="5" s="1"/>
  <c r="E121" i="5" a="1"/>
  <c r="E121" i="5" s="1"/>
  <c r="E122" i="5" a="1"/>
  <c r="E122" i="5" s="1"/>
  <c r="E123" i="5" a="1"/>
  <c r="E123" i="5" s="1"/>
  <c r="E124" i="5" a="1"/>
  <c r="E124" i="5" s="1"/>
  <c r="E125" i="5" a="1"/>
  <c r="E125" i="5" s="1"/>
  <c r="E126" i="5" a="1"/>
  <c r="E126" i="5" s="1"/>
  <c r="E127" i="5" a="1"/>
  <c r="E127" i="5" s="1"/>
  <c r="E128" i="5" a="1"/>
  <c r="E128" i="5" s="1"/>
  <c r="E129" i="5" a="1"/>
  <c r="E129" i="5" s="1"/>
  <c r="E130" i="5" a="1"/>
  <c r="E130" i="5" s="1"/>
  <c r="E131" i="5" a="1"/>
  <c r="E131" i="5" s="1"/>
  <c r="E132" i="5" a="1"/>
  <c r="E132" i="5" s="1"/>
  <c r="E133" i="5" a="1"/>
  <c r="E133" i="5" s="1"/>
  <c r="E134" i="5" a="1"/>
  <c r="E134" i="5" s="1"/>
  <c r="E135" i="5" a="1"/>
  <c r="E135" i="5" s="1"/>
  <c r="E136" i="5" a="1"/>
  <c r="E136" i="5" s="1"/>
  <c r="E137" i="5" a="1"/>
  <c r="E137" i="5" s="1"/>
  <c r="E138" i="5" a="1"/>
  <c r="E138" i="5" s="1"/>
  <c r="E139" i="5" a="1"/>
  <c r="E139" i="5" s="1"/>
  <c r="E140" i="5" a="1"/>
  <c r="E140" i="5" s="1"/>
  <c r="E141" i="5" a="1"/>
  <c r="E141" i="5" s="1"/>
  <c r="E142" i="5" a="1"/>
  <c r="E142" i="5" s="1"/>
  <c r="E143" i="5" a="1"/>
  <c r="E143" i="5" s="1"/>
  <c r="E144" i="5" a="1"/>
  <c r="E144" i="5" s="1"/>
  <c r="E145" i="5" a="1"/>
  <c r="E145" i="5" s="1"/>
  <c r="E146" i="5" a="1"/>
  <c r="E146" i="5" s="1"/>
  <c r="E147" i="5" a="1"/>
  <c r="E147" i="5" s="1"/>
  <c r="E148" i="5" a="1"/>
  <c r="E148" i="5" s="1"/>
  <c r="E149" i="5" a="1"/>
  <c r="E149" i="5" s="1"/>
  <c r="E150" i="5" a="1"/>
  <c r="E150" i="5" s="1"/>
  <c r="E151" i="5" a="1"/>
  <c r="E151" i="5" s="1"/>
  <c r="E152" i="5" a="1"/>
  <c r="E152" i="5" s="1"/>
  <c r="E153" i="5" a="1"/>
  <c r="E153" i="5" s="1"/>
  <c r="E154" i="5" a="1"/>
  <c r="E154" i="5" s="1"/>
  <c r="E5" i="5" a="1"/>
  <c r="E5" i="5" s="1"/>
  <c r="D6" i="5" a="1"/>
  <c r="D6" i="5" s="1"/>
  <c r="D7" i="5" a="1"/>
  <c r="D7" i="5" s="1"/>
  <c r="D8" i="5" a="1"/>
  <c r="D8" i="5" s="1"/>
  <c r="D9" i="5" a="1"/>
  <c r="D9" i="5" s="1"/>
  <c r="D10" i="5" a="1"/>
  <c r="D10" i="5" s="1"/>
  <c r="D11" i="5" a="1"/>
  <c r="D11" i="5" s="1"/>
  <c r="D12" i="5" a="1"/>
  <c r="D12" i="5" s="1"/>
  <c r="D13" i="5" a="1"/>
  <c r="D13" i="5" s="1"/>
  <c r="D14" i="5" a="1"/>
  <c r="D14" i="5" s="1"/>
  <c r="D15" i="5" a="1"/>
  <c r="D15" i="5" s="1"/>
  <c r="D16" i="5" a="1"/>
  <c r="D16" i="5" s="1"/>
  <c r="D17" i="5" a="1"/>
  <c r="D17" i="5" s="1"/>
  <c r="D18" i="5" a="1"/>
  <c r="D18" i="5" s="1"/>
  <c r="D19" i="5" a="1"/>
  <c r="D19" i="5" s="1"/>
  <c r="D20" i="5" a="1"/>
  <c r="D20" i="5" s="1"/>
  <c r="D21" i="5" a="1"/>
  <c r="D21" i="5" s="1"/>
  <c r="D22" i="5" a="1"/>
  <c r="D22" i="5" s="1"/>
  <c r="D23" i="5" a="1"/>
  <c r="D23" i="5" s="1"/>
  <c r="D24" i="5" a="1"/>
  <c r="D24" i="5" s="1"/>
  <c r="D25" i="5" a="1"/>
  <c r="D25" i="5" s="1"/>
  <c r="D26" i="5" a="1"/>
  <c r="D26" i="5" s="1"/>
  <c r="D27" i="5" a="1"/>
  <c r="D27" i="5" s="1"/>
  <c r="D28" i="5" a="1"/>
  <c r="D28" i="5" s="1"/>
  <c r="D29" i="5" a="1"/>
  <c r="D29" i="5" s="1"/>
  <c r="D30" i="5" a="1"/>
  <c r="D30" i="5" s="1"/>
  <c r="D31" i="5" a="1"/>
  <c r="D31" i="5" s="1"/>
  <c r="D32" i="5" a="1"/>
  <c r="D32" i="5" s="1"/>
  <c r="D33" i="5" a="1"/>
  <c r="D33" i="5" s="1"/>
  <c r="D34" i="5" a="1"/>
  <c r="D34" i="5" s="1"/>
  <c r="D35" i="5" a="1"/>
  <c r="D35" i="5" s="1"/>
  <c r="D36" i="5" a="1"/>
  <c r="D36" i="5" s="1"/>
  <c r="D37" i="5" a="1"/>
  <c r="D37" i="5" s="1"/>
  <c r="D38" i="5" a="1"/>
  <c r="D38" i="5" s="1"/>
  <c r="D39" i="5" a="1"/>
  <c r="D39" i="5" s="1"/>
  <c r="D40" i="5" a="1"/>
  <c r="D40" i="5" s="1"/>
  <c r="D41" i="5" a="1"/>
  <c r="D41" i="5" s="1"/>
  <c r="D42" i="5" a="1"/>
  <c r="D42" i="5" s="1"/>
  <c r="D43" i="5" a="1"/>
  <c r="D43" i="5" s="1"/>
  <c r="D44" i="5" a="1"/>
  <c r="D44" i="5" s="1"/>
  <c r="D45" i="5" a="1"/>
  <c r="D45" i="5" s="1"/>
  <c r="D46" i="5" a="1"/>
  <c r="D46" i="5" s="1"/>
  <c r="D47" i="5" a="1"/>
  <c r="D47" i="5" s="1"/>
  <c r="D48" i="5" a="1"/>
  <c r="D48" i="5" s="1"/>
  <c r="D49" i="5" a="1"/>
  <c r="D49" i="5" s="1"/>
  <c r="D50" i="5" a="1"/>
  <c r="D50" i="5" s="1"/>
  <c r="D51" i="5" a="1"/>
  <c r="D51" i="5" s="1"/>
  <c r="D52" i="5" a="1"/>
  <c r="D52" i="5" s="1"/>
  <c r="D53" i="5" a="1"/>
  <c r="D53" i="5" s="1"/>
  <c r="D54" i="5" a="1"/>
  <c r="D54" i="5" s="1"/>
  <c r="D55" i="5" a="1"/>
  <c r="D55" i="5" s="1"/>
  <c r="D56" i="5" a="1"/>
  <c r="D56" i="5" s="1"/>
  <c r="D57" i="5" a="1"/>
  <c r="D57" i="5" s="1"/>
  <c r="D58" i="5" a="1"/>
  <c r="D58" i="5" s="1"/>
  <c r="D59" i="5" a="1"/>
  <c r="D59" i="5" s="1"/>
  <c r="D60" i="5" a="1"/>
  <c r="D60" i="5" s="1"/>
  <c r="D61" i="5" a="1"/>
  <c r="D61" i="5" s="1"/>
  <c r="D62" i="5" a="1"/>
  <c r="D62" i="5" s="1"/>
  <c r="D63" i="5" a="1"/>
  <c r="D63" i="5" s="1"/>
  <c r="D64" i="5" a="1"/>
  <c r="D64" i="5" s="1"/>
  <c r="D65" i="5" a="1"/>
  <c r="D65" i="5" s="1"/>
  <c r="D66" i="5" a="1"/>
  <c r="D66" i="5" s="1"/>
  <c r="D67" i="5" a="1"/>
  <c r="D67" i="5" s="1"/>
  <c r="D68" i="5" a="1"/>
  <c r="D68" i="5" s="1"/>
  <c r="D69" i="5" a="1"/>
  <c r="D69" i="5" s="1"/>
  <c r="D70" i="5" a="1"/>
  <c r="D70" i="5" s="1"/>
  <c r="D71" i="5" a="1"/>
  <c r="D71" i="5" s="1"/>
  <c r="D72" i="5" a="1"/>
  <c r="D72" i="5" s="1"/>
  <c r="D73" i="5" a="1"/>
  <c r="D73" i="5" s="1"/>
  <c r="D74" i="5" a="1"/>
  <c r="D74" i="5" s="1"/>
  <c r="D75" i="5" a="1"/>
  <c r="D75" i="5" s="1"/>
  <c r="D76" i="5" a="1"/>
  <c r="D76" i="5" s="1"/>
  <c r="D77" i="5" a="1"/>
  <c r="D77" i="5" s="1"/>
  <c r="D78" i="5" a="1"/>
  <c r="D78" i="5" s="1"/>
  <c r="D79" i="5" a="1"/>
  <c r="D79" i="5" s="1"/>
  <c r="D80" i="5" a="1"/>
  <c r="D80" i="5" s="1"/>
  <c r="D81" i="5" a="1"/>
  <c r="D81" i="5" s="1"/>
  <c r="D82" i="5" a="1"/>
  <c r="D82" i="5" s="1"/>
  <c r="D83" i="5" a="1"/>
  <c r="D83" i="5" s="1"/>
  <c r="D84" i="5" a="1"/>
  <c r="D84" i="5" s="1"/>
  <c r="D85" i="5" a="1"/>
  <c r="D85" i="5" s="1"/>
  <c r="D86" i="5" a="1"/>
  <c r="D86" i="5" s="1"/>
  <c r="D87" i="5" a="1"/>
  <c r="D87" i="5" s="1"/>
  <c r="D88" i="5" a="1"/>
  <c r="D88" i="5" s="1"/>
  <c r="D89" i="5" a="1"/>
  <c r="D89" i="5" s="1"/>
  <c r="D90" i="5" a="1"/>
  <c r="D90" i="5" s="1"/>
  <c r="D91" i="5" a="1"/>
  <c r="D91" i="5" s="1"/>
  <c r="D92" i="5" a="1"/>
  <c r="D92" i="5" s="1"/>
  <c r="D93" i="5" a="1"/>
  <c r="D93" i="5" s="1"/>
  <c r="D94" i="5" a="1"/>
  <c r="D94" i="5" s="1"/>
  <c r="D95" i="5" a="1"/>
  <c r="D95" i="5" s="1"/>
  <c r="D96" i="5" a="1"/>
  <c r="D96" i="5" s="1"/>
  <c r="D97" i="5" a="1"/>
  <c r="D97" i="5" s="1"/>
  <c r="D98" i="5" a="1"/>
  <c r="D98" i="5" s="1"/>
  <c r="D99" i="5" a="1"/>
  <c r="D99" i="5" s="1"/>
  <c r="D100" i="5" a="1"/>
  <c r="D100" i="5" s="1"/>
  <c r="D101" i="5" a="1"/>
  <c r="D101" i="5" s="1"/>
  <c r="D102" i="5" a="1"/>
  <c r="D102" i="5" s="1"/>
  <c r="D103" i="5" a="1"/>
  <c r="D103" i="5" s="1"/>
  <c r="D104" i="5" a="1"/>
  <c r="D104" i="5" s="1"/>
  <c r="D105" i="5" a="1"/>
  <c r="D105" i="5" s="1"/>
  <c r="D106" i="5" a="1"/>
  <c r="D106" i="5" s="1"/>
  <c r="D107" i="5" a="1"/>
  <c r="D107" i="5" s="1"/>
  <c r="D108" i="5" a="1"/>
  <c r="D108" i="5" s="1"/>
  <c r="D109" i="5" a="1"/>
  <c r="D109" i="5" s="1"/>
  <c r="D110" i="5" a="1"/>
  <c r="D110" i="5" s="1"/>
  <c r="D111" i="5" a="1"/>
  <c r="D111" i="5" s="1"/>
  <c r="D112" i="5" a="1"/>
  <c r="D112" i="5" s="1"/>
  <c r="D113" i="5" a="1"/>
  <c r="D113" i="5" s="1"/>
  <c r="D114" i="5" a="1"/>
  <c r="D114" i="5" s="1"/>
  <c r="D115" i="5" a="1"/>
  <c r="D115" i="5" s="1"/>
  <c r="D116" i="5" a="1"/>
  <c r="D116" i="5" s="1"/>
  <c r="D117" i="5" a="1"/>
  <c r="D117" i="5" s="1"/>
  <c r="D118" i="5" a="1"/>
  <c r="D118" i="5" s="1"/>
  <c r="D119" i="5" a="1"/>
  <c r="D119" i="5" s="1"/>
  <c r="D120" i="5" a="1"/>
  <c r="D120" i="5" s="1"/>
  <c r="D121" i="5" a="1"/>
  <c r="D121" i="5" s="1"/>
  <c r="D122" i="5" a="1"/>
  <c r="D122" i="5" s="1"/>
  <c r="D123" i="5" a="1"/>
  <c r="D123" i="5" s="1"/>
  <c r="D124" i="5" a="1"/>
  <c r="D124" i="5" s="1"/>
  <c r="D125" i="5" a="1"/>
  <c r="D125" i="5" s="1"/>
  <c r="D126" i="5" a="1"/>
  <c r="D126" i="5" s="1"/>
  <c r="D127" i="5" a="1"/>
  <c r="D127" i="5" s="1"/>
  <c r="D128" i="5" a="1"/>
  <c r="D128" i="5" s="1"/>
  <c r="D129" i="5" a="1"/>
  <c r="D129" i="5" s="1"/>
  <c r="D130" i="5" a="1"/>
  <c r="D130" i="5" s="1"/>
  <c r="D131" i="5" a="1"/>
  <c r="D131" i="5" s="1"/>
  <c r="D132" i="5" a="1"/>
  <c r="D132" i="5" s="1"/>
  <c r="D133" i="5" a="1"/>
  <c r="D133" i="5" s="1"/>
  <c r="D134" i="5" a="1"/>
  <c r="D134" i="5" s="1"/>
  <c r="D135" i="5" a="1"/>
  <c r="D135" i="5" s="1"/>
  <c r="D136" i="5" a="1"/>
  <c r="D136" i="5" s="1"/>
  <c r="D137" i="5" a="1"/>
  <c r="D137" i="5" s="1"/>
  <c r="D138" i="5" a="1"/>
  <c r="D138" i="5" s="1"/>
  <c r="D139" i="5" a="1"/>
  <c r="D139" i="5" s="1"/>
  <c r="D140" i="5" a="1"/>
  <c r="D140" i="5" s="1"/>
  <c r="D141" i="5" a="1"/>
  <c r="D141" i="5" s="1"/>
  <c r="D142" i="5" a="1"/>
  <c r="D142" i="5" s="1"/>
  <c r="D143" i="5" a="1"/>
  <c r="D143" i="5" s="1"/>
  <c r="D144" i="5" a="1"/>
  <c r="D144" i="5" s="1"/>
  <c r="D145" i="5" a="1"/>
  <c r="D145" i="5" s="1"/>
  <c r="D146" i="5" a="1"/>
  <c r="D146" i="5" s="1"/>
  <c r="D147" i="5" a="1"/>
  <c r="D147" i="5" s="1"/>
  <c r="D148" i="5" a="1"/>
  <c r="D148" i="5" s="1"/>
  <c r="D149" i="5" a="1"/>
  <c r="D149" i="5" s="1"/>
  <c r="D150" i="5" a="1"/>
  <c r="D150" i="5" s="1"/>
  <c r="D151" i="5" a="1"/>
  <c r="D151" i="5" s="1"/>
  <c r="D152" i="5" a="1"/>
  <c r="D152" i="5" s="1"/>
  <c r="D153" i="5" a="1"/>
  <c r="D153" i="5" s="1"/>
  <c r="D154" i="5" a="1"/>
  <c r="D154" i="5" s="1"/>
  <c r="D5" i="5" a="1"/>
  <c r="D5" i="5" s="1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5" i="5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B12" i="5" a="1"/>
  <c r="B12" i="5" s="1"/>
  <c r="B13" i="5" a="1"/>
  <c r="B13" i="5" s="1"/>
  <c r="B14" i="5" a="1"/>
  <c r="B14" i="5" s="1"/>
  <c r="B15" i="5" a="1"/>
  <c r="B15" i="5" s="1"/>
  <c r="B16" i="5" a="1"/>
  <c r="B16" i="5" s="1"/>
  <c r="B17" i="5" a="1"/>
  <c r="B17" i="5" s="1"/>
  <c r="B18" i="5" a="1"/>
  <c r="B18" i="5" s="1"/>
  <c r="B19" i="5" a="1"/>
  <c r="B19" i="5" s="1"/>
  <c r="B20" i="5" a="1"/>
  <c r="B20" i="5" s="1"/>
  <c r="B21" i="5" a="1"/>
  <c r="B21" i="5" s="1"/>
  <c r="B22" i="5" a="1"/>
  <c r="B22" i="5" s="1"/>
  <c r="B23" i="5" a="1"/>
  <c r="B23" i="5" s="1"/>
  <c r="B24" i="5" a="1"/>
  <c r="B24" i="5" s="1"/>
  <c r="B25" i="5" a="1"/>
  <c r="B25" i="5" s="1"/>
  <c r="B26" i="5" a="1"/>
  <c r="B26" i="5" s="1"/>
  <c r="B27" i="5" a="1"/>
  <c r="B27" i="5" s="1"/>
  <c r="B28" i="5" a="1"/>
  <c r="B28" i="5" s="1"/>
  <c r="B29" i="5" a="1"/>
  <c r="B29" i="5" s="1"/>
  <c r="B30" i="5" a="1"/>
  <c r="B30" i="5" s="1"/>
  <c r="B31" i="5" a="1"/>
  <c r="B31" i="5" s="1"/>
  <c r="B32" i="5" a="1"/>
  <c r="B32" i="5" s="1"/>
  <c r="B33" i="5" a="1"/>
  <c r="B33" i="5" s="1"/>
  <c r="B34" i="5" a="1"/>
  <c r="B34" i="5" s="1"/>
  <c r="B35" i="5" a="1"/>
  <c r="B35" i="5" s="1"/>
  <c r="B36" i="5" a="1"/>
  <c r="B36" i="5" s="1"/>
  <c r="B37" i="5" a="1"/>
  <c r="B37" i="5" s="1"/>
  <c r="B38" i="5" a="1"/>
  <c r="B38" i="5" s="1"/>
  <c r="B39" i="5" a="1"/>
  <c r="B39" i="5" s="1"/>
  <c r="B40" i="5" a="1"/>
  <c r="B40" i="5" s="1"/>
  <c r="B41" i="5" a="1"/>
  <c r="B41" i="5" s="1"/>
  <c r="B42" i="5" a="1"/>
  <c r="B42" i="5" s="1"/>
  <c r="B43" i="5" a="1"/>
  <c r="B43" i="5" s="1"/>
  <c r="B44" i="5" a="1"/>
  <c r="B44" i="5" s="1"/>
  <c r="B45" i="5" a="1"/>
  <c r="B45" i="5" s="1"/>
  <c r="B46" i="5" a="1"/>
  <c r="B46" i="5" s="1"/>
  <c r="B47" i="5" a="1"/>
  <c r="B47" i="5" s="1"/>
  <c r="B48" i="5" a="1"/>
  <c r="B48" i="5" s="1"/>
  <c r="B49" i="5" a="1"/>
  <c r="B49" i="5" s="1"/>
  <c r="B50" i="5" a="1"/>
  <c r="B50" i="5" s="1"/>
  <c r="B51" i="5" a="1"/>
  <c r="B51" i="5" s="1"/>
  <c r="B52" i="5" a="1"/>
  <c r="B52" i="5" s="1"/>
  <c r="B53" i="5" a="1"/>
  <c r="B53" i="5" s="1"/>
  <c r="B54" i="5" a="1"/>
  <c r="B54" i="5" s="1"/>
  <c r="B55" i="5" a="1"/>
  <c r="B55" i="5" s="1"/>
  <c r="B56" i="5" a="1"/>
  <c r="B56" i="5" s="1"/>
  <c r="B57" i="5" a="1"/>
  <c r="B57" i="5" s="1"/>
  <c r="B58" i="5" a="1"/>
  <c r="B58" i="5" s="1"/>
  <c r="B59" i="5" a="1"/>
  <c r="B59" i="5" s="1"/>
  <c r="B60" i="5" a="1"/>
  <c r="B60" i="5" s="1"/>
  <c r="B61" i="5" a="1"/>
  <c r="B61" i="5" s="1"/>
  <c r="B62" i="5" a="1"/>
  <c r="B62" i="5" s="1"/>
  <c r="B63" i="5" a="1"/>
  <c r="B63" i="5" s="1"/>
  <c r="B64" i="5" a="1"/>
  <c r="B64" i="5" s="1"/>
  <c r="B65" i="5" a="1"/>
  <c r="B65" i="5" s="1"/>
  <c r="B66" i="5" a="1"/>
  <c r="B66" i="5" s="1"/>
  <c r="B67" i="5" a="1"/>
  <c r="B67" i="5" s="1"/>
  <c r="B68" i="5" a="1"/>
  <c r="B68" i="5" s="1"/>
  <c r="B69" i="5" a="1"/>
  <c r="B69" i="5" s="1"/>
  <c r="B70" i="5" a="1"/>
  <c r="B70" i="5" s="1"/>
  <c r="B71" i="5" a="1"/>
  <c r="B71" i="5" s="1"/>
  <c r="B72" i="5" a="1"/>
  <c r="B72" i="5" s="1"/>
  <c r="B73" i="5" a="1"/>
  <c r="B73" i="5" s="1"/>
  <c r="B74" i="5" a="1"/>
  <c r="B74" i="5" s="1"/>
  <c r="B75" i="5" a="1"/>
  <c r="B75" i="5" s="1"/>
  <c r="B76" i="5" a="1"/>
  <c r="B76" i="5" s="1"/>
  <c r="B77" i="5" a="1"/>
  <c r="B77" i="5" s="1"/>
  <c r="B78" i="5" a="1"/>
  <c r="B78" i="5" s="1"/>
  <c r="B79" i="5" a="1"/>
  <c r="B79" i="5" s="1"/>
  <c r="B80" i="5" a="1"/>
  <c r="B80" i="5" s="1"/>
  <c r="B81" i="5" a="1"/>
  <c r="B81" i="5" s="1"/>
  <c r="B82" i="5" a="1"/>
  <c r="B82" i="5" s="1"/>
  <c r="B83" i="5" a="1"/>
  <c r="B83" i="5" s="1"/>
  <c r="B84" i="5" a="1"/>
  <c r="B84" i="5" s="1"/>
  <c r="B85" i="5" a="1"/>
  <c r="B85" i="5" s="1"/>
  <c r="B86" i="5" a="1"/>
  <c r="B86" i="5" s="1"/>
  <c r="B87" i="5" a="1"/>
  <c r="B87" i="5" s="1"/>
  <c r="B88" i="5" a="1"/>
  <c r="B88" i="5" s="1"/>
  <c r="B89" i="5" a="1"/>
  <c r="B89" i="5" s="1"/>
  <c r="B90" i="5" a="1"/>
  <c r="B90" i="5" s="1"/>
  <c r="B91" i="5" a="1"/>
  <c r="B91" i="5" s="1"/>
  <c r="B92" i="5" a="1"/>
  <c r="B92" i="5" s="1"/>
  <c r="B93" i="5" a="1"/>
  <c r="B93" i="5" s="1"/>
  <c r="B94" i="5" a="1"/>
  <c r="B94" i="5" s="1"/>
  <c r="B95" i="5" a="1"/>
  <c r="B95" i="5" s="1"/>
  <c r="B96" i="5" a="1"/>
  <c r="B96" i="5" s="1"/>
  <c r="B97" i="5" a="1"/>
  <c r="B97" i="5" s="1"/>
  <c r="B98" i="5" a="1"/>
  <c r="B98" i="5" s="1"/>
  <c r="B99" i="5" a="1"/>
  <c r="B99" i="5" s="1"/>
  <c r="B100" i="5" a="1"/>
  <c r="B100" i="5" s="1"/>
  <c r="B101" i="5" a="1"/>
  <c r="B101" i="5" s="1"/>
  <c r="B102" i="5" a="1"/>
  <c r="B102" i="5" s="1"/>
  <c r="B103" i="5" a="1"/>
  <c r="B103" i="5" s="1"/>
  <c r="B104" i="5" a="1"/>
  <c r="B104" i="5" s="1"/>
  <c r="B105" i="5" a="1"/>
  <c r="B105" i="5" s="1"/>
  <c r="B106" i="5" a="1"/>
  <c r="B106" i="5" s="1"/>
  <c r="B107" i="5" a="1"/>
  <c r="B107" i="5" s="1"/>
  <c r="B108" i="5" a="1"/>
  <c r="B108" i="5" s="1"/>
  <c r="B109" i="5" a="1"/>
  <c r="B109" i="5" s="1"/>
  <c r="B110" i="5" a="1"/>
  <c r="B110" i="5" s="1"/>
  <c r="B111" i="5" a="1"/>
  <c r="B111" i="5" s="1"/>
  <c r="B112" i="5" a="1"/>
  <c r="B112" i="5" s="1"/>
  <c r="B113" i="5" a="1"/>
  <c r="B113" i="5" s="1"/>
  <c r="B114" i="5" a="1"/>
  <c r="B114" i="5" s="1"/>
  <c r="B115" i="5" a="1"/>
  <c r="B115" i="5" s="1"/>
  <c r="B116" i="5" a="1"/>
  <c r="B116" i="5" s="1"/>
  <c r="B117" i="5" a="1"/>
  <c r="B117" i="5" s="1"/>
  <c r="B118" i="5" a="1"/>
  <c r="B118" i="5" s="1"/>
  <c r="B119" i="5" a="1"/>
  <c r="B119" i="5" s="1"/>
  <c r="B120" i="5" a="1"/>
  <c r="B120" i="5" s="1"/>
  <c r="B121" i="5" a="1"/>
  <c r="B121" i="5" s="1"/>
  <c r="B122" i="5" a="1"/>
  <c r="B122" i="5" s="1"/>
  <c r="B123" i="5" a="1"/>
  <c r="B123" i="5" s="1"/>
  <c r="B124" i="5" a="1"/>
  <c r="B124" i="5" s="1"/>
  <c r="B125" i="5" a="1"/>
  <c r="B125" i="5" s="1"/>
  <c r="B126" i="5" a="1"/>
  <c r="B126" i="5" s="1"/>
  <c r="B127" i="5" a="1"/>
  <c r="B127" i="5" s="1"/>
  <c r="B128" i="5" a="1"/>
  <c r="B128" i="5" s="1"/>
  <c r="B129" i="5" a="1"/>
  <c r="B129" i="5" s="1"/>
  <c r="B130" i="5" a="1"/>
  <c r="B130" i="5" s="1"/>
  <c r="B131" i="5" a="1"/>
  <c r="B131" i="5" s="1"/>
  <c r="B132" i="5" a="1"/>
  <c r="B132" i="5" s="1"/>
  <c r="B133" i="5" a="1"/>
  <c r="B133" i="5" s="1"/>
  <c r="B134" i="5" a="1"/>
  <c r="B134" i="5" s="1"/>
  <c r="B135" i="5" a="1"/>
  <c r="B135" i="5" s="1"/>
  <c r="B136" i="5" a="1"/>
  <c r="B136" i="5" s="1"/>
  <c r="B137" i="5" a="1"/>
  <c r="B137" i="5" s="1"/>
  <c r="B138" i="5" a="1"/>
  <c r="B138" i="5" s="1"/>
  <c r="B139" i="5" a="1"/>
  <c r="B139" i="5" s="1"/>
  <c r="B140" i="5" a="1"/>
  <c r="B140" i="5" s="1"/>
  <c r="B141" i="5" a="1"/>
  <c r="B141" i="5" s="1"/>
  <c r="B142" i="5" a="1"/>
  <c r="B142" i="5" s="1"/>
  <c r="B143" i="5" a="1"/>
  <c r="B143" i="5" s="1"/>
  <c r="B144" i="5" a="1"/>
  <c r="B144" i="5" s="1"/>
  <c r="B145" i="5" a="1"/>
  <c r="B145" i="5" s="1"/>
  <c r="B146" i="5" a="1"/>
  <c r="B146" i="5" s="1"/>
  <c r="B147" i="5" a="1"/>
  <c r="B147" i="5" s="1"/>
  <c r="B148" i="5" a="1"/>
  <c r="B148" i="5" s="1"/>
  <c r="B149" i="5" a="1"/>
  <c r="B149" i="5" s="1"/>
  <c r="B150" i="5" a="1"/>
  <c r="B150" i="5" s="1"/>
  <c r="B151" i="5" a="1"/>
  <c r="B151" i="5" s="1"/>
  <c r="B152" i="5" a="1"/>
  <c r="B152" i="5" s="1"/>
  <c r="B153" i="5" a="1"/>
  <c r="B153" i="5" s="1"/>
  <c r="B154" i="5" a="1"/>
  <c r="B154" i="5" s="1"/>
  <c r="Z153" i="5" l="1"/>
  <c r="Z81" i="5"/>
  <c r="Z93" i="5"/>
  <c r="Z105" i="5"/>
  <c r="Z33" i="5"/>
  <c r="Z30" i="5"/>
  <c r="Z78" i="5"/>
  <c r="Z138" i="5"/>
  <c r="Z90" i="5"/>
  <c r="Z127" i="5"/>
  <c r="Z6" i="5"/>
  <c r="Z19" i="5"/>
  <c r="Z20" i="5"/>
  <c r="Z21" i="5"/>
  <c r="Z18" i="5"/>
  <c r="Z17" i="5"/>
  <c r="Z16" i="5"/>
  <c r="Z14" i="5"/>
  <c r="Z13" i="5"/>
  <c r="Z12" i="5"/>
  <c r="Z8" i="5"/>
  <c r="Z7" i="5"/>
  <c r="Z15" i="5"/>
  <c r="Z11" i="5"/>
  <c r="Z10" i="5"/>
  <c r="Z9" i="5"/>
  <c r="V4" i="5"/>
  <c r="Z4" i="5" l="1"/>
  <c r="W4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1A93B7-99F7-4957-B890-C4EF19F6597C}" keepAlive="1" name="Запрос — ACT" description="Соединение с запросом &quot;ACT&quot; в книге." type="5" refreshedVersion="7" background="1" saveData="1">
    <dbPr connection="Provider=Microsoft.Mashup.OleDb.1;Data Source=$Workbook$;Location=ACT;Extended Properties=&quot;&quot;" command="SELECT * FROM [ACT]"/>
  </connection>
  <connection id="2" xr16:uid="{BF80A1E4-ADE6-4130-AE67-E980BAD8041D}" keepAlive="1" name="Запрос — ACT_number" description="Соединение с запросом &quot;ACT_number&quot; в книге." type="5" refreshedVersion="7" background="1" saveData="1">
    <dbPr connection="Provider=Microsoft.Mashup.OleDb.1;Data Source=$Workbook$;Location=ACT_number;Extended Properties=&quot;&quot;" command="SELECT * FROM [ACT_number]"/>
  </connection>
  <connection id="3" xr16:uid="{4F186271-ABE5-4DDE-B27C-49E82B73D2D9}" keepAlive="1" name="Запрос — Курс_840" description="Соединение с запросом &quot;Курс_840&quot; в книге." type="5" refreshedVersion="7" background="1" saveData="1">
    <dbPr connection="Provider=Microsoft.Mashup.OleDb.1;Data Source=$Workbook$;Location=Курс_840;Extended Properties=&quot;&quot;" command="SELECT * FROM [Курс_840]"/>
  </connection>
  <connection id="4" xr16:uid="{1448BFAB-9704-47CA-984E-B800A0F7DDC2}" keepAlive="1" name="Запрос — ПериодОтбора" description="Соединение с запросом &quot;ПериодОтбора&quot; в книге." type="5" refreshedVersion="0" background="1">
    <dbPr connection="Provider=Microsoft.Mashup.OleDb.1;Data Source=$Workbook$;Location=ПериодОтбора;Extended Properties=&quot;&quot;" command="SELECT * FROM [ПериодОтбора]"/>
  </connection>
  <connection id="5" xr16:uid="{BD0ED277-EC62-44A9-B565-354FECBA19C1}" keepAlive="1" name="Запрос — Шаблон_Формулы" description="Соединение с запросом &quot;Шаблон_Формулы&quot; в книге." type="5" refreshedVersion="7" background="1" saveData="1">
    <dbPr connection="Provider=Microsoft.Mashup.OleDb.1;Data Source=$Workbook$;Location=Шаблон_Формулы;Extended Properties=&quot;&quot;" command="SELECT * FROM [Шаблон_Формул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<sst xmlns="http://schemas.openxmlformats.org/spreadsheetml/2006/main" count="2839" uniqueCount="488">
  <si>
    <t>Контейнерная перевозка</t>
  </si>
  <si>
    <t>#</t>
  </si>
  <si>
    <t>Carrier-Перевозчик</t>
  </si>
  <si>
    <t>Supplier-Поставщик</t>
  </si>
  <si>
    <t>Summa</t>
  </si>
  <si>
    <t>UZS</t>
  </si>
  <si>
    <t>CNY</t>
  </si>
  <si>
    <t>O'zbekiston so'mi</t>
  </si>
  <si>
    <t>Xitoy yuani</t>
  </si>
  <si>
    <t>EUR</t>
  </si>
  <si>
    <t>Yevro</t>
  </si>
  <si>
    <t>JPY</t>
  </si>
  <si>
    <t>Yaponiya iyenasi</t>
  </si>
  <si>
    <t>KRW</t>
  </si>
  <si>
    <t>Koreya respublikasi voni</t>
  </si>
  <si>
    <t>RUB</t>
  </si>
  <si>
    <t>Rossiya rubli</t>
  </si>
  <si>
    <t>USD</t>
  </si>
  <si>
    <t>AQSh dollari</t>
  </si>
  <si>
    <t>CHF</t>
  </si>
  <si>
    <t>Shveytsariya franki</t>
  </si>
  <si>
    <t>40'HC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</si>
  <si>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</si>
  <si>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</si>
  <si>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</si>
  <si>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</si>
  <si>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</si>
  <si>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</si>
  <si>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</si>
  <si>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</si>
  <si>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</si>
  <si>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</si>
  <si>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</si>
  <si>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</si>
  <si>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</si>
  <si>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</si>
  <si>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</si>
  <si>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</si>
  <si>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</si>
  <si>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</si>
  <si>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</si>
  <si>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</si>
  <si>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</si>
  <si>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</si>
  <si>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</si>
  <si>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</si>
  <si>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</si>
  <si>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</si>
  <si>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</si>
  <si>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№</t>
  </si>
  <si>
    <t>Container No/
№ Контейнера</t>
  </si>
  <si>
    <t>Container Type/ 
Тип контейнера</t>
  </si>
  <si>
    <t>Date of Dispatch/ 
Дата отгрузки</t>
  </si>
  <si>
    <t>Supplier/ Поставщик</t>
  </si>
  <si>
    <t>CBM</t>
  </si>
  <si>
    <t>Gross weight, kg/ Вес брутто, кг</t>
  </si>
  <si>
    <t>Delivery terms / Условия поставки</t>
  </si>
  <si>
    <t>Column11</t>
  </si>
  <si>
    <t>Container total CBM</t>
  </si>
  <si>
    <t>FTL inland freight cost per Invoice Appendix/ Стоимость внутренней наземной перевозки за инвойс Приложение                     KRW</t>
  </si>
  <si>
    <t>Consolidation Work, Loading, Unloading/ Работы по консолидации, Погрузка, Разгрузка (Rate/Тариф - 8000 per CBM)                   KRW</t>
  </si>
  <si>
    <t>Shoring, Banding, Sealing, Handling/ Крепление, Перевязка, Опечатование, Обработка
KRW</t>
  </si>
  <si>
    <t>Documents Work/ Сбор за подготовку документов
KRW</t>
  </si>
  <si>
    <t>THC/ Терминальная обработка
KRW</t>
  </si>
  <si>
    <t>Wharfage/ Портовая пошлина
KRW</t>
  </si>
  <si>
    <t>TRUCKING CHARGE</t>
  </si>
  <si>
    <t>FCL Inland freight cost (Consolidation center-Shipment Port)/ Сборы за внутреннюю наземную перевозку полных контейнеров (Консолидационный центр-Порт отгрузки)
KRW</t>
  </si>
  <si>
    <t>Special Wooden Shoring / Специальное деревянное крепление</t>
  </si>
  <si>
    <t>Total amount/ Общая стоимость KRW (10+11+12+13+14+15+16)</t>
  </si>
  <si>
    <t>Total amount/ Общая стоимость (17*exchange rate/ обменный курс)
 USD</t>
  </si>
  <si>
    <t>Column24</t>
  </si>
  <si>
    <t>Column25</t>
  </si>
  <si>
    <t>Column26</t>
  </si>
  <si>
    <t>Column27</t>
  </si>
  <si>
    <t>Column28</t>
  </si>
  <si>
    <t>INVOICE SUMM</t>
  </si>
  <si>
    <t>KD parts</t>
  </si>
  <si>
    <t>Hanyang Precision</t>
  </si>
  <si>
    <t>FCA</t>
  </si>
  <si>
    <t>Contitech Fluid</t>
  </si>
  <si>
    <t>Hwaseung R&amp;A</t>
  </si>
  <si>
    <t>Humax Automotive</t>
  </si>
  <si>
    <t>ALPS</t>
  </si>
  <si>
    <t>Daedong System</t>
  </si>
  <si>
    <t>KDS</t>
  </si>
  <si>
    <t>Mando Iksan</t>
  </si>
  <si>
    <t>Namyang NEXMO</t>
  </si>
  <si>
    <t>Central</t>
  </si>
  <si>
    <t>FOB</t>
  </si>
  <si>
    <t>Pyeonghwa</t>
  </si>
  <si>
    <t>Samsong</t>
  </si>
  <si>
    <t>Cosmo Eng</t>
  </si>
  <si>
    <t>Daewonkangup (DWKU)</t>
  </si>
  <si>
    <t>Samwon (GEM Project)</t>
  </si>
  <si>
    <t>Sehwa Automotive</t>
  </si>
  <si>
    <t>Punkang (GEM Project)</t>
  </si>
  <si>
    <t>Mando Wonju</t>
  </si>
  <si>
    <t>Samshin</t>
  </si>
  <si>
    <t>CheongHa (GEM Project)</t>
  </si>
  <si>
    <t>Samshin(GEM Project)</t>
  </si>
  <si>
    <t>SNT Motiv</t>
  </si>
  <si>
    <t>Iljin Global</t>
  </si>
  <si>
    <t>426 LCL</t>
  </si>
  <si>
    <t>Консолидация Корея</t>
  </si>
  <si>
    <t>Container No-№ Контейнера</t>
  </si>
  <si>
    <t>Container Type-Тип контейнера</t>
  </si>
  <si>
    <t>Date of Dispatch-Дата отгрузки</t>
  </si>
  <si>
    <t>Supplier Invoice No-№ Инвойса Поставщика</t>
  </si>
  <si>
    <t>Gross weight, kg-Вес брутто, кг</t>
  </si>
  <si>
    <t>Delivery terms-Условия поставки</t>
  </si>
  <si>
    <t>FTL inland freight cost per Invoice Appendix-Стоимость внутренней наземной перевозки за инвойс Приложение KRW</t>
  </si>
  <si>
    <t>Consolidation Work, Loading, Unloading-Работы по консолидации, Погрузка, Разгрузка</t>
  </si>
  <si>
    <t>Shoring, Banding, Sealing, Handling-Крепление, Перевязка, Опечатывание, Обработка KRW</t>
  </si>
  <si>
    <t>Documents Work-Сбор за подготовку документов KRW</t>
  </si>
  <si>
    <t>THC-Терминальная обработка KRW</t>
  </si>
  <si>
    <t>Wharfage-Портовая пошлина KRW</t>
  </si>
  <si>
    <t>TRUCKING CHARGE-Плата За Перевозку Грузов</t>
  </si>
  <si>
    <t>FCL Inland freight cost (Consolidation center-Shipment Port)-Сборы за внутреннюю наземную перевозку полных контейнеров (Консолидационный центр-Порт отгрузки) KRW</t>
  </si>
  <si>
    <t>Special Wooden Shoring-Специальное деревянное крепление</t>
  </si>
  <si>
    <t>Additional fees-Дополнительные сборы</t>
  </si>
  <si>
    <t>Total amount-Общая стоимость KRW</t>
  </si>
  <si>
    <t>Total amount-Общая стоимость (17*exchange rate-обменный курс)  USD</t>
  </si>
  <si>
    <t>Date of signing of the Act of completed works-Дата подписания Акта выполненных работ</t>
  </si>
  <si>
    <t>The rate of the Central Bank of the RUz-Курс ЦБ Руз</t>
  </si>
  <si>
    <t>Total cost of transportation in sum equivalent-Общая стоимость транспортировки в сумовом эквиваленте</t>
  </si>
  <si>
    <t>Carrier invoice num.-экспедитор № Акта выполненных работ</t>
  </si>
  <si>
    <t>UzAutoKorea</t>
  </si>
  <si>
    <t>Name of goods/ 
Наименование              товара</t>
  </si>
  <si>
    <t>Supplier Invoice No/                          № Инвойса Поставщика</t>
  </si>
  <si>
    <t>TEMU6308573</t>
  </si>
  <si>
    <t>HY230109U(1)</t>
  </si>
  <si>
    <t>HY230109U(2)</t>
  </si>
  <si>
    <t>U230111A</t>
  </si>
  <si>
    <t>TGHU6665886</t>
  </si>
  <si>
    <t>HY230109U(3)</t>
  </si>
  <si>
    <t>HY230109U(4)</t>
  </si>
  <si>
    <t>U230111B</t>
  </si>
  <si>
    <t>CLHU8739534</t>
  </si>
  <si>
    <t>HY230109U(5)</t>
  </si>
  <si>
    <t>HY230109U(6)</t>
  </si>
  <si>
    <t>U230111C</t>
  </si>
  <si>
    <t>OCGU8064575</t>
  </si>
  <si>
    <t>HY230109U(7)</t>
  </si>
  <si>
    <t>HY230109U(8)</t>
  </si>
  <si>
    <t>U230111D</t>
  </si>
  <si>
    <t>DFSU6235562</t>
  </si>
  <si>
    <t>HY230109U(9)</t>
  </si>
  <si>
    <t>230112UZP</t>
  </si>
  <si>
    <t>Daewon Chemical by CREA</t>
  </si>
  <si>
    <t>J23011213</t>
  </si>
  <si>
    <t>J23011214</t>
  </si>
  <si>
    <t>TGHU6814001</t>
  </si>
  <si>
    <t>HY230109U(10)</t>
  </si>
  <si>
    <t>IN80472369</t>
  </si>
  <si>
    <t>SUZ-2023-0105-2</t>
  </si>
  <si>
    <t>Samshin for UzKoram</t>
  </si>
  <si>
    <t>TCNU6180796</t>
  </si>
  <si>
    <t>HY230109U(11)</t>
  </si>
  <si>
    <t>UZA23002</t>
  </si>
  <si>
    <t>UZ3011267</t>
  </si>
  <si>
    <t>OCGU8061832</t>
  </si>
  <si>
    <t>HY230109U(12)</t>
  </si>
  <si>
    <t>CKSS2301034</t>
  </si>
  <si>
    <t>OFSU6081235</t>
  </si>
  <si>
    <t>HY230109U(13)</t>
  </si>
  <si>
    <t>GMUZ409</t>
  </si>
  <si>
    <t>ECMU9498627</t>
  </si>
  <si>
    <t>HY230109U(14)</t>
  </si>
  <si>
    <t>UZA230112</t>
  </si>
  <si>
    <t>U23011201</t>
  </si>
  <si>
    <t>DAESHIN</t>
  </si>
  <si>
    <t>F230112U1</t>
  </si>
  <si>
    <t>F230112U2</t>
  </si>
  <si>
    <t>GM-UZ-231002</t>
  </si>
  <si>
    <t>TDTU6402834</t>
  </si>
  <si>
    <t>HY230109U(15)</t>
  </si>
  <si>
    <t>UZ230102</t>
  </si>
  <si>
    <t>COSMO230101</t>
  </si>
  <si>
    <t>TCNU7519293</t>
  </si>
  <si>
    <t>HY230109U(16)</t>
  </si>
  <si>
    <t>CNSMT-C230101DW</t>
  </si>
  <si>
    <t>UZAUTO KOREA</t>
  </si>
  <si>
    <t>CNSMT-C230102SM-4</t>
  </si>
  <si>
    <t>TGHU9331178</t>
  </si>
  <si>
    <t>HY230109U(17)</t>
  </si>
  <si>
    <t>GUZ230102(1)</t>
  </si>
  <si>
    <t>DW230102</t>
  </si>
  <si>
    <t>UZATK0035(1)</t>
  </si>
  <si>
    <t>CLHU9108256</t>
  </si>
  <si>
    <t>GUZ230102(2)</t>
  </si>
  <si>
    <t>TTNU9911618</t>
  </si>
  <si>
    <t>Schaeffler Ansan</t>
  </si>
  <si>
    <t>UZST-C230102SM-3</t>
  </si>
  <si>
    <t>UZST-C230101EC(1)</t>
  </si>
  <si>
    <t>UZST-C230101EC(2)</t>
  </si>
  <si>
    <t>TCNU9138978</t>
  </si>
  <si>
    <t>UZAUTO-230102</t>
  </si>
  <si>
    <t>Henkel</t>
  </si>
  <si>
    <t>230114UZ-001 (SEA,2214)</t>
  </si>
  <si>
    <t>UniTech</t>
  </si>
  <si>
    <t>SH-2301-UZ-4N02</t>
  </si>
  <si>
    <t xml:space="preserve"> UZST-C230110C </t>
  </si>
  <si>
    <t>UZATK0035(2)</t>
  </si>
  <si>
    <t>HDMU6781345</t>
  </si>
  <si>
    <t>CKSD2301042</t>
  </si>
  <si>
    <t>SUZ-2022-1228</t>
  </si>
  <si>
    <t>UZATK0035(3)</t>
  </si>
  <si>
    <t>UZATK0035(4)</t>
  </si>
  <si>
    <t>UZATK0035(5)</t>
  </si>
  <si>
    <t>FCIU8107361</t>
  </si>
  <si>
    <t>CUZ230112</t>
  </si>
  <si>
    <t>UZATK0035(6)</t>
  </si>
  <si>
    <t>Pyeonghwa (GEM Project)</t>
  </si>
  <si>
    <t>UZATK0035(7)</t>
  </si>
  <si>
    <t>TCNU7501226</t>
  </si>
  <si>
    <t>IJG-SA11GMUZ2</t>
  </si>
  <si>
    <t>UZATK0035(8)</t>
  </si>
  <si>
    <t>Iljin Global(GEM Project)</t>
  </si>
  <si>
    <t>UZATK0035(9)</t>
  </si>
  <si>
    <t>Chungwoo(GEM Project)</t>
  </si>
  <si>
    <t>UZATK0035(10)</t>
  </si>
  <si>
    <t>DAEKIE EST(GEM Project)</t>
  </si>
  <si>
    <t>UZST-C230108M(1)</t>
  </si>
  <si>
    <t>UZST-C230108M(2)</t>
  </si>
  <si>
    <t>UZST-C230108M(3)</t>
  </si>
  <si>
    <t>UZST-C230108M(4)</t>
  </si>
  <si>
    <t>UZST-C230108M(5)</t>
  </si>
  <si>
    <t>TRLU7254410</t>
  </si>
  <si>
    <t>UZATK0035(11)</t>
  </si>
  <si>
    <t>SAMJINJEONGGONG(GEM Project)</t>
  </si>
  <si>
    <t>UZATK0035(12)</t>
  </si>
  <si>
    <t>KYUNGMIN(GEM Project)</t>
  </si>
  <si>
    <t>UZATK0035(13)</t>
  </si>
  <si>
    <t>SH-BP(GEM Project)</t>
  </si>
  <si>
    <t>UZATK0035(14)</t>
  </si>
  <si>
    <t>Youngshin (GEM Project)</t>
  </si>
  <si>
    <t>UZATK0035(15)</t>
  </si>
  <si>
    <t>NIFCO KOREA(GEM Project)</t>
  </si>
  <si>
    <t>YMLU8408292</t>
  </si>
  <si>
    <t>DS231CH01-1(1)</t>
  </si>
  <si>
    <t>ERAE AMS</t>
  </si>
  <si>
    <t>DS231CH01-1(2)</t>
  </si>
  <si>
    <t>DS231CH01-1(3)</t>
  </si>
  <si>
    <t>DS231CH01-1(4)</t>
  </si>
  <si>
    <t>DS231CH01-1(5)</t>
  </si>
  <si>
    <t>DS231CH01-1(6)</t>
  </si>
  <si>
    <t>DS231AS01</t>
  </si>
  <si>
    <t>TCLU5624158</t>
  </si>
  <si>
    <t>DM231CH03</t>
  </si>
  <si>
    <t>DA231CH02</t>
  </si>
  <si>
    <t>DM231CH05(1)</t>
  </si>
  <si>
    <t>DM231CH05(2)</t>
  </si>
  <si>
    <t>OCGU8087082</t>
  </si>
  <si>
    <t>DM231CH04(1)</t>
  </si>
  <si>
    <t>FSCU9984282</t>
  </si>
  <si>
    <t>DM231CH04(2)</t>
  </si>
  <si>
    <t>DM231CH05(3)</t>
  </si>
  <si>
    <t>DM231CH05(4)</t>
  </si>
  <si>
    <t>CLHU9046724</t>
  </si>
  <si>
    <t>DM231CH05(5)</t>
  </si>
  <si>
    <t>DM231CH05(6)</t>
  </si>
  <si>
    <t>DM231CH04(3)</t>
  </si>
  <si>
    <t>DM231CH04(4)</t>
  </si>
  <si>
    <t>TGHU8903005</t>
  </si>
  <si>
    <t>DM231CH04(5)</t>
  </si>
  <si>
    <t>DM231CH04(6)</t>
  </si>
  <si>
    <t>DM231CH05(7)</t>
  </si>
  <si>
    <t>DM231CH05(8)</t>
  </si>
  <si>
    <t>HDMU6744505</t>
  </si>
  <si>
    <t>DM231CH05(9)</t>
  </si>
  <si>
    <t>DM231CH05(10)</t>
  </si>
  <si>
    <t>TGHU8367875</t>
  </si>
  <si>
    <t>DM231CH05(11)</t>
  </si>
  <si>
    <t>DM231CH05(12)</t>
  </si>
  <si>
    <t>DM231CH05(13)</t>
  </si>
  <si>
    <t>TRLU7056755</t>
  </si>
  <si>
    <t>DM231CH05(14)</t>
  </si>
  <si>
    <t>DM231CH05(15)</t>
  </si>
  <si>
    <t>DM231CH05(16)</t>
  </si>
  <si>
    <t>DM231CH05(17)</t>
  </si>
  <si>
    <t>DFSU6374568</t>
  </si>
  <si>
    <t>DM231CH05(18)</t>
  </si>
  <si>
    <t>DM231CH05(19)</t>
  </si>
  <si>
    <t>UZATK0035(16)</t>
  </si>
  <si>
    <t>SAMJINJEONGGONG (GEM Project)</t>
  </si>
  <si>
    <t>TCNU9895345</t>
  </si>
  <si>
    <t>UZATK0035(17)</t>
  </si>
  <si>
    <t>DMC (GEM Project)</t>
  </si>
  <si>
    <t>TRLU7155784</t>
  </si>
  <si>
    <t>UZATK0035(18)</t>
  </si>
  <si>
    <t>UZATK0035(19)</t>
  </si>
  <si>
    <t>CNU8456862</t>
  </si>
  <si>
    <t>UZATK0035(20)</t>
  </si>
  <si>
    <t>UZATK0035(21)</t>
  </si>
  <si>
    <t>61339711</t>
  </si>
  <si>
    <t>198523074</t>
  </si>
  <si>
    <t>20'</t>
  </si>
  <si>
    <t>Incheon</t>
  </si>
  <si>
    <t>Hwasung</t>
  </si>
  <si>
    <t>Busan</t>
  </si>
  <si>
    <t>Jecheon</t>
  </si>
  <si>
    <t>Ansan</t>
  </si>
  <si>
    <t>Chunan</t>
  </si>
  <si>
    <t>Daegu</t>
  </si>
  <si>
    <t>GESU4670047</t>
  </si>
  <si>
    <t>MAGU5424109</t>
  </si>
  <si>
    <t>MAGU5116908</t>
  </si>
  <si>
    <t>TCLU5505992</t>
  </si>
  <si>
    <t>GESU5076261</t>
  </si>
  <si>
    <t>HNKU6008057</t>
  </si>
  <si>
    <t>HNKU6249373</t>
  </si>
  <si>
    <t>SEGU5434668</t>
  </si>
  <si>
    <t>TCLU5330997</t>
  </si>
  <si>
    <t>ULCU5031638</t>
  </si>
  <si>
    <t>ULCU5061951</t>
  </si>
  <si>
    <t>CAIU9094975</t>
  </si>
  <si>
    <t>CAXU9219734</t>
  </si>
  <si>
    <t>CAIU8602520</t>
  </si>
  <si>
    <t>ULCU5024691</t>
  </si>
  <si>
    <t>ULCU5010039</t>
  </si>
  <si>
    <t>CAIU8450182</t>
  </si>
  <si>
    <t>FFAU4492391</t>
  </si>
  <si>
    <t>ULCU5001799</t>
  </si>
  <si>
    <t>BEAU6449568</t>
  </si>
  <si>
    <t>ULCU5042761</t>
  </si>
  <si>
    <t>ULCU5058752</t>
  </si>
  <si>
    <t>ULCU5062937</t>
  </si>
  <si>
    <t>CAAU6024185</t>
  </si>
  <si>
    <t>ULCU5046200</t>
  </si>
  <si>
    <t>ULCU5063933</t>
  </si>
  <si>
    <t>DWS23-162-KH(1)</t>
  </si>
  <si>
    <t>Daewonkangup Khorezm (DWKU)</t>
  </si>
  <si>
    <t>DWS23-162-KH(2)</t>
  </si>
  <si>
    <t>DWS23-162-KH(3)</t>
  </si>
  <si>
    <t>DWS23-162-KH(4)</t>
  </si>
  <si>
    <t>DWS23-162-KH(5)</t>
  </si>
  <si>
    <t>DM239D003(1)</t>
  </si>
  <si>
    <t>Erae AMS</t>
  </si>
  <si>
    <t>DM239D003(2)</t>
  </si>
  <si>
    <t>DM239D003(3)</t>
  </si>
  <si>
    <t>DM239D003(4)</t>
  </si>
  <si>
    <t>DM239D003(5)</t>
  </si>
  <si>
    <t>DM239ER03(1)</t>
  </si>
  <si>
    <t>DM239D003(6)</t>
  </si>
  <si>
    <t>DM239D003(7)</t>
  </si>
  <si>
    <t>DM239ER03(2)</t>
  </si>
  <si>
    <t>DM239D003(8)</t>
  </si>
  <si>
    <t>DM239D003(9)</t>
  </si>
  <si>
    <t>DM239D003(10)</t>
  </si>
  <si>
    <t>DM239D003(11)</t>
  </si>
  <si>
    <t>GMUZKN230922</t>
  </si>
  <si>
    <t>GU230921-1</t>
  </si>
  <si>
    <t>Mobase</t>
  </si>
  <si>
    <t>GU230928-1</t>
  </si>
  <si>
    <t>J23092011</t>
  </si>
  <si>
    <t>UZST-C230905H</t>
  </si>
  <si>
    <t>Uzauto Korea</t>
  </si>
  <si>
    <t>F230914U3</t>
  </si>
  <si>
    <t>F230914U4</t>
  </si>
  <si>
    <t>UZK23034</t>
  </si>
  <si>
    <t>UZK23035</t>
  </si>
  <si>
    <t>DWS23-166-KH(1)</t>
  </si>
  <si>
    <t>DWS23-166-KH(2)</t>
  </si>
  <si>
    <t>DWS23-166-KH(3)</t>
  </si>
  <si>
    <t>DWS23-170-1-KH</t>
  </si>
  <si>
    <t>DWS23-170-KH(2)</t>
  </si>
  <si>
    <t>DWS23-170-KH(3)</t>
  </si>
  <si>
    <t>DWS23-170-KH(4)</t>
  </si>
  <si>
    <t>DM23XD001-1(1)</t>
  </si>
  <si>
    <t>DM23XD001-1(2)</t>
  </si>
  <si>
    <t>DM23XD001-1(3)</t>
  </si>
  <si>
    <t>DM23XER01-2</t>
  </si>
  <si>
    <t>DM23XD001-2(1)</t>
  </si>
  <si>
    <t>DM23XER01-1</t>
  </si>
  <si>
    <t>DM23XD001-2(2)</t>
  </si>
  <si>
    <t>DM23XD001-2(3)</t>
  </si>
  <si>
    <t>DM23XD001-1(4)</t>
  </si>
  <si>
    <t>DM23XD001-1(5)</t>
  </si>
  <si>
    <t>DM23XD001-1(6)</t>
  </si>
  <si>
    <t>DM23XD001-2(4)</t>
  </si>
  <si>
    <t>DM23XD001-2(5)</t>
  </si>
  <si>
    <t>DM23XD001-2(6)</t>
  </si>
  <si>
    <t>F230921U3</t>
  </si>
  <si>
    <t>F230921U4</t>
  </si>
  <si>
    <t>F230926U3</t>
  </si>
  <si>
    <t>UZK23036</t>
  </si>
  <si>
    <t>DWS23-174-KH(1)</t>
  </si>
  <si>
    <t>DWS23-174-KH(2)</t>
  </si>
  <si>
    <t>UZST-C231003H(1)</t>
  </si>
  <si>
    <t>DWS23-174-KH(3)</t>
  </si>
  <si>
    <t>DWS23-174-KH(4)</t>
  </si>
  <si>
    <t>DM23XER02(1)</t>
  </si>
  <si>
    <t>DM23XD002(1)</t>
  </si>
  <si>
    <t>DM23XER02(2)</t>
  </si>
  <si>
    <t>DM23XER02(3)</t>
  </si>
  <si>
    <t>DM23XD002(2)</t>
  </si>
  <si>
    <t>DM23XER02(4)</t>
  </si>
  <si>
    <t>DM23XER02(5)</t>
  </si>
  <si>
    <t>DM23XD002(3)</t>
  </si>
  <si>
    <t>DM23XD002(4)</t>
  </si>
  <si>
    <t>DM23XD002(5)</t>
  </si>
  <si>
    <t>DM23XD002(6)</t>
  </si>
  <si>
    <t>DM23XD002(7)</t>
  </si>
  <si>
    <t>DM23XD002(8)</t>
  </si>
  <si>
    <t>UZK23037</t>
  </si>
  <si>
    <t>GMUZKN231013</t>
  </si>
  <si>
    <t>J23100411</t>
  </si>
  <si>
    <t>J23101111</t>
  </si>
  <si>
    <t>Appendix 1B to the Agreement No: GMUZ-2012/05-C dd. 01 June, 2012</t>
  </si>
  <si>
    <t>Приложение 1B к Соглашению № GMUZ-2012/05-С  от 01 Июнь, 2012</t>
  </si>
  <si>
    <t>FTL INLAND FREIGHT RATES/
ТАРИФЫ НА ВНУТРЕННЮЮ НАЗЕМНУЮ  АВТОПЕРЕВОЗКУ ПОЛНЫХ ГРУЗОВ</t>
  </si>
  <si>
    <t>ORIG CNTRY/
СТРАНА                              ПРОИСХОЖДЕНИЯ</t>
    <phoneticPr fontId="12" type="noConversion"/>
  </si>
  <si>
    <t>ORIG_CITY/
ГОРОД ПРОИСХ.</t>
  </si>
  <si>
    <t>DEST_CITY/
ГОРОД                    НАЗНАЧЕНИЯ</t>
    <phoneticPr fontId="12" type="noConversion"/>
  </si>
  <si>
    <t>SRVC_TYPE/
ТИП УСЛУГИ</t>
  </si>
  <si>
    <t>SRVC_LEVEL/
УРОВЕНЬ УСЛУГИ</t>
  </si>
  <si>
    <t>CURR_CODE/
КОД ВАЛЮТЫ</t>
  </si>
  <si>
    <t>RATE/
ТАРИФ</t>
  </si>
  <si>
    <t>UOM_DESCRIPTION/
ОПИСАНИЕ                       ЕДИНИЦЫ                    ИЗМЕРЕНИЯ</t>
    <phoneticPr fontId="12" type="noConversion"/>
  </si>
  <si>
    <t>New</t>
    <phoneticPr fontId="5" type="noConversion"/>
  </si>
  <si>
    <t>Южная Корея</t>
  </si>
  <si>
    <t>D-P</t>
  </si>
  <si>
    <t>1T TRUCK</t>
  </si>
  <si>
    <t>Per Truck /                            ЗА ГРУЗОВИК</t>
  </si>
  <si>
    <t>2.5T TRUCK</t>
  </si>
  <si>
    <t>5T TRUCK</t>
  </si>
  <si>
    <t>8T TRUCK</t>
  </si>
  <si>
    <t>10T TRUCK</t>
  </si>
  <si>
    <t>Южная Корея</t>
    <phoneticPr fontId="12" type="noConversion"/>
  </si>
  <si>
    <t>D-D</t>
  </si>
  <si>
    <t>Per Truck /                            ЗА ГРУЗОВИК</t>
    <phoneticPr fontId="12" type="noConversion"/>
  </si>
  <si>
    <t>Changwon</t>
  </si>
  <si>
    <t>Eumsung</t>
  </si>
  <si>
    <t>Gimpo</t>
  </si>
  <si>
    <r>
      <t xml:space="preserve">GungSan </t>
    </r>
    <r>
      <rPr>
        <sz val="8"/>
        <rFont val="Calibri"/>
        <family val="3"/>
        <charset val="129"/>
        <scheme val="minor"/>
      </rPr>
      <t>/ Gunsan</t>
    </r>
  </si>
  <si>
    <r>
      <t xml:space="preserve">Juan / </t>
    </r>
    <r>
      <rPr>
        <sz val="8"/>
        <rFont val="Calibri"/>
        <family val="3"/>
        <charset val="129"/>
        <scheme val="minor"/>
      </rPr>
      <t>Incheon</t>
    </r>
  </si>
  <si>
    <r>
      <t>Kyungkido</t>
    </r>
    <r>
      <rPr>
        <sz val="8"/>
        <rFont val="Calibri"/>
        <family val="2"/>
        <charset val="204"/>
        <scheme val="minor"/>
      </rPr>
      <t xml:space="preserve"> Yongin</t>
    </r>
  </si>
  <si>
    <t>Kyungsan</t>
    <phoneticPr fontId="11" type="noConversion"/>
  </si>
  <si>
    <t>Южная Корея</t>
    <phoneticPr fontId="11" type="noConversion"/>
  </si>
  <si>
    <t>Per Truck /                            ЗА ГРУЗОВИК</t>
    <phoneticPr fontId="11" type="noConversion"/>
  </si>
  <si>
    <t>Pyeongtaek</t>
    <phoneticPr fontId="5" type="noConversion"/>
  </si>
  <si>
    <t>Pyeongtaek</t>
  </si>
  <si>
    <r>
      <t xml:space="preserve">Seongju-gun / </t>
    </r>
    <r>
      <rPr>
        <sz val="8"/>
        <rFont val="Calibri"/>
        <family val="3"/>
        <charset val="129"/>
        <scheme val="minor"/>
      </rPr>
      <t>sungju</t>
    </r>
  </si>
  <si>
    <t>Siheung</t>
  </si>
  <si>
    <t>Siheung</t>
    <phoneticPr fontId="5" type="noConversion"/>
  </si>
  <si>
    <t>Waeguan</t>
    <phoneticPr fontId="11" type="noConversion"/>
  </si>
  <si>
    <t>Yangsan</t>
    <phoneticPr fontId="5" type="noConversion"/>
  </si>
  <si>
    <t>Yangsan</t>
  </si>
  <si>
    <t>10T+2.5T TRUCK</t>
  </si>
  <si>
    <t>10T+10T TRUCK</t>
  </si>
  <si>
    <t>10T+5T TRUCK</t>
  </si>
  <si>
    <t>10T+8T TRUCK</t>
  </si>
  <si>
    <t>10T+1T TRUCK</t>
  </si>
  <si>
    <t>GungSan / Gunsan</t>
  </si>
  <si>
    <t>Waeguan</t>
  </si>
  <si>
    <t>10T+1T TRUCK</t>
    <phoneticPr fontId="5" type="noConversion"/>
  </si>
  <si>
    <t>Juan / Incheon</t>
  </si>
  <si>
    <t>Seongju-gun / sungju</t>
  </si>
  <si>
    <t>10T+10T+1T TRUCK</t>
  </si>
  <si>
    <t>Busan</t>
    <phoneticPr fontId="5" type="noConversion"/>
  </si>
  <si>
    <t>10T+10T TRUCK</t>
    <phoneticPr fontId="5" type="noConversion"/>
  </si>
  <si>
    <t>10T+10T+5T TRUCK</t>
    <phoneticPr fontId="5" type="noConversion"/>
  </si>
  <si>
    <t>Eumsung</t>
    <phoneticPr fontId="5" type="noConversion"/>
  </si>
  <si>
    <t>10T+10T+1T TRUCK</t>
    <phoneticPr fontId="5" type="noConversion"/>
  </si>
  <si>
    <t>10T+2.5T TRUCK</t>
    <phoneticPr fontId="5" type="noConversion"/>
  </si>
  <si>
    <t>10T+5T TRUCK</t>
    <phoneticPr fontId="5" type="noConversion"/>
  </si>
  <si>
    <t>10T+10T+2.5T TRUCK</t>
    <phoneticPr fontId="5" type="noConversion"/>
  </si>
  <si>
    <t>1T TRUCK</t>
    <phoneticPr fontId="5" type="noConversion"/>
  </si>
  <si>
    <t>2.5T TRUCK</t>
    <phoneticPr fontId="5" type="noConversion"/>
  </si>
  <si>
    <t>5T TRUCK</t>
    <phoneticPr fontId="5" type="noConversion"/>
  </si>
  <si>
    <t>8T TRUCK</t>
    <phoneticPr fontId="5" type="noConversion"/>
  </si>
  <si>
    <t>10T+8T TRUCK</t>
    <phoneticPr fontId="5" type="noConversion"/>
  </si>
  <si>
    <t>Additional fees / Дополнительные сборы</t>
  </si>
  <si>
    <t>UoM / Ед.изм.</t>
  </si>
  <si>
    <t>Rate/Тариф</t>
  </si>
  <si>
    <t>40'</t>
  </si>
  <si>
    <t>Documents Work/ Сбор за подготовку документов</t>
  </si>
  <si>
    <t>Per container / За контейнер</t>
  </si>
  <si>
    <t>THC/ Терминальная обработка</t>
  </si>
  <si>
    <t>Wharfage/  Портовая пошлина</t>
  </si>
  <si>
    <t>Shoring, Banding, Sealing, Handling/ Крепление, Перевязка, Опечатование, Обработка</t>
  </si>
  <si>
    <t>FCL Inland freight cost (Consolidation center-Shipment Port)/ Сборы за внутреннюю наземную перевозку полных контейнеров (Консолидационный центр-Порт отгрузки)</t>
  </si>
  <si>
    <t>--&gt; Busan</t>
  </si>
  <si>
    <t xml:space="preserve"> --&gt; Incheon</t>
  </si>
  <si>
    <t>Per invoice / За инвойс</t>
  </si>
  <si>
    <t>Consolidation Work, Loading, Unloading/ Работы по консолидации, Погрузка, Разгрузка</t>
  </si>
  <si>
    <t>Per CBM / За м³</t>
  </si>
  <si>
    <t>482 P LCL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</si>
</sst>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43" formatCode="_-* #,##0.00_-;\-* #,##0.00_-;_-* &quot;-&quot;??_-;_-@_-"/>
    <numFmt numFmtId="164" formatCode="_-* #,##0.00\ _₽_-;\-* #,##0.00\ _₽_-;_-* &quot;-&quot;??\ _₽_-;_-@_-"/>
    <numFmt numFmtId="165" formatCode="yyyy\-mm\-dd;@"/>
    <numFmt numFmtId="166" formatCode="#,##0.00_ ;\-#,##0.00\ "/>
    <numFmt numFmtId="167" formatCode="_-&quot;₩&quot;* #,##0_-;\-&quot;₩&quot;* #,##0_-;_-&quot;₩&quot;* &quot;-&quot;_-;_-@_-"/>
  </numFmts>
  <fonts count="24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48"/>
      <color theme="0"/>
      <name val="Calibri"/>
      <family val="2"/>
      <charset val="204"/>
      <scheme val="minor"/>
    </font>
    <font>
      <sz val="36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8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sz val="10"/>
      <color indexed="8"/>
      <name val="Arial"/>
      <family val="2"/>
    </font>
    <font>
      <sz val="8"/>
      <name val="Arial"/>
      <family val="2"/>
      <charset val="204"/>
    </font>
    <font>
      <sz val="8"/>
      <name val="Arial"/>
      <family val="2"/>
    </font>
    <font>
      <sz val="8"/>
      <name val="Calibri"/>
      <family val="2"/>
      <charset val="129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charset val="129"/>
      <scheme val="minor"/>
    </font>
    <font>
      <sz val="9"/>
      <name val="Calibri"/>
      <family val="3"/>
      <charset val="129"/>
      <scheme val="minor"/>
    </font>
    <font>
      <sz val="11"/>
      <color rgb="FFC00000"/>
      <name val="Calibri"/>
      <family val="2"/>
      <charset val="204"/>
      <scheme val="minor"/>
    </font>
    <font>
      <b/>
      <sz val="12"/>
      <name val="Arial"/>
      <family val="2"/>
      <charset val="204"/>
    </font>
    <font>
      <sz val="10"/>
      <color theme="1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43" fontId="4" fillId="0" borderId="0" applyFont="0" applyFill="0" applyBorder="0" applyAlignment="0" applyProtection="0"/>
    <xf numFmtId="0" fontId="14" fillId="0" borderId="0"/>
    <xf numFmtId="167" fontId="4" fillId="0" borderId="0" applyFont="0" applyFill="0" applyBorder="0" applyAlignment="0" applyProtection="0">
      <alignment vertical="center"/>
    </xf>
    <xf numFmtId="167" fontId="4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9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/>
    <xf numFmtId="0" fontId="0" fillId="0" borderId="0" xfId="0" applyNumberFormat="1"/>
    <xf numFmtId="14" fontId="0" fillId="0" borderId="0" xfId="0" applyNumberFormat="1"/>
    <xf numFmtId="0" fontId="5" fillId="0" borderId="0" xfId="0" applyFont="1"/>
    <xf numFmtId="0" fontId="5" fillId="0" borderId="0" xfId="0" applyNumberFormat="1" applyFont="1"/>
    <xf numFmtId="0" fontId="6" fillId="0" borderId="0" xfId="0" applyFont="1"/>
    <xf numFmtId="14" fontId="6" fillId="0" borderId="0" xfId="0" applyNumberFormat="1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4" fontId="6" fillId="0" borderId="0" xfId="0" applyNumberFormat="1" applyFont="1"/>
    <xf numFmtId="4" fontId="6" fillId="0" borderId="0" xfId="0" applyNumberFormat="1" applyFont="1" applyAlignment="1">
      <alignment horizontal="center"/>
    </xf>
    <xf numFmtId="0" fontId="5" fillId="0" borderId="0" xfId="0" applyFont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vertical="center"/>
    </xf>
    <xf numFmtId="0" fontId="0" fillId="0" borderId="0" xfId="0" applyAlignment="1">
      <alignment wrapText="1"/>
    </xf>
    <xf numFmtId="43" fontId="8" fillId="3" borderId="1" xfId="0" applyNumberFormat="1" applyFont="1" applyFill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left"/>
    </xf>
    <xf numFmtId="166" fontId="6" fillId="0" borderId="0" xfId="1" applyNumberFormat="1" applyFont="1" applyAlignment="1">
      <alignment horizontal="center"/>
    </xf>
    <xf numFmtId="166" fontId="6" fillId="0" borderId="0" xfId="1" applyNumberFormat="1" applyFont="1" applyAlignment="1"/>
    <xf numFmtId="14" fontId="7" fillId="2" borderId="7" xfId="0" applyNumberFormat="1" applyFont="1" applyFill="1" applyBorder="1" applyAlignment="1">
      <alignment vertical="center"/>
    </xf>
    <xf numFmtId="164" fontId="6" fillId="0" borderId="0" xfId="0" applyNumberFormat="1" applyFont="1" applyAlignment="1">
      <alignment horizontal="center"/>
    </xf>
    <xf numFmtId="4" fontId="6" fillId="3" borderId="1" xfId="0" applyNumberFormat="1" applyFont="1" applyFill="1" applyBorder="1" applyAlignment="1">
      <alignment horizontal="center" vertical="center" wrapText="1"/>
    </xf>
    <xf numFmtId="0" fontId="10" fillId="0" borderId="0" xfId="0" applyFont="1"/>
    <xf numFmtId="0" fontId="0" fillId="0" borderId="1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NumberFormat="1" applyFont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 wrapText="1"/>
    </xf>
    <xf numFmtId="43" fontId="6" fillId="0" borderId="0" xfId="1" applyFont="1" applyAlignment="1">
      <alignment horizontal="center" vertical="center" wrapText="1"/>
    </xf>
    <xf numFmtId="4" fontId="6" fillId="0" borderId="0" xfId="0" applyNumberFormat="1" applyFont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6" fillId="0" borderId="1" xfId="2" applyFont="1" applyBorder="1" applyAlignment="1">
      <alignment horizontal="center" vertical="center" wrapText="1"/>
    </xf>
    <xf numFmtId="3" fontId="16" fillId="4" borderId="1" xfId="3" applyNumberFormat="1" applyFont="1" applyFill="1" applyBorder="1" applyAlignment="1">
      <alignment horizontal="center" vertical="center" wrapText="1"/>
    </xf>
    <xf numFmtId="3" fontId="15" fillId="0" borderId="1" xfId="4" applyNumberFormat="1" applyFont="1" applyFill="1" applyBorder="1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3" fontId="16" fillId="0" borderId="1" xfId="3" applyNumberFormat="1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3" fontId="15" fillId="4" borderId="1" xfId="4" applyNumberFormat="1" applyFont="1" applyFill="1" applyBorder="1" applyAlignment="1">
      <alignment horizontal="center" vertical="center" wrapText="1"/>
    </xf>
    <xf numFmtId="3" fontId="0" fillId="0" borderId="1" xfId="0" applyNumberFormat="1" applyBorder="1"/>
    <xf numFmtId="3" fontId="15" fillId="0" borderId="16" xfId="4" applyNumberFormat="1" applyFont="1" applyFill="1" applyBorder="1" applyAlignment="1">
      <alignment horizontal="center" vertical="center" wrapText="1"/>
    </xf>
    <xf numFmtId="2" fontId="20" fillId="0" borderId="1" xfId="5" applyNumberFormat="1" applyFont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3" borderId="1" xfId="2" applyFont="1" applyFill="1" applyBorder="1" applyAlignment="1">
      <alignment horizontal="center" vertical="center" wrapText="1"/>
    </xf>
    <xf numFmtId="0" fontId="16" fillId="3" borderId="1" xfId="2" applyFont="1" applyFill="1" applyBorder="1" applyAlignment="1">
      <alignment horizontal="center" vertical="center" wrapText="1"/>
    </xf>
    <xf numFmtId="3" fontId="15" fillId="3" borderId="1" xfId="4" applyNumberFormat="1" applyFont="1" applyFill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16" fillId="7" borderId="1" xfId="2" applyFont="1" applyFill="1" applyBorder="1" applyAlignment="1">
      <alignment horizontal="center" vertical="center" wrapText="1"/>
    </xf>
    <xf numFmtId="3" fontId="16" fillId="7" borderId="1" xfId="3" applyNumberFormat="1" applyFont="1" applyFill="1" applyBorder="1" applyAlignment="1">
      <alignment horizontal="center" vertical="center" wrapText="1"/>
    </xf>
    <xf numFmtId="3" fontId="0" fillId="0" borderId="0" xfId="0" applyNumberFormat="1"/>
    <xf numFmtId="41" fontId="0" fillId="0" borderId="0" xfId="6" applyFont="1" applyAlignment="1"/>
    <xf numFmtId="0" fontId="21" fillId="0" borderId="0" xfId="0" applyFont="1"/>
    <xf numFmtId="0" fontId="0" fillId="0" borderId="0" xfId="0" applyAlignment="1">
      <alignment horizontal="right"/>
    </xf>
    <xf numFmtId="0" fontId="22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3" fontId="23" fillId="4" borderId="1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3" fontId="23" fillId="8" borderId="1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0" fillId="0" borderId="0" xfId="0" quotePrefix="1"/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5" fillId="5" borderId="10" xfId="2" applyFont="1" applyFill="1" applyBorder="1" applyAlignment="1">
      <alignment horizontal="center" vertical="center" wrapText="1"/>
    </xf>
    <xf numFmtId="0" fontId="15" fillId="5" borderId="14" xfId="2" applyFont="1" applyFill="1" applyBorder="1" applyAlignment="1">
      <alignment horizontal="center" vertical="center" wrapText="1"/>
    </xf>
    <xf numFmtId="0" fontId="15" fillId="5" borderId="11" xfId="2" applyFont="1" applyFill="1" applyBorder="1" applyAlignment="1">
      <alignment horizontal="center" vertical="center" wrapText="1"/>
    </xf>
    <xf numFmtId="0" fontId="15" fillId="5" borderId="15" xfId="2" applyFont="1" applyFill="1" applyBorder="1" applyAlignment="1">
      <alignment horizontal="center" vertical="center" wrapText="1"/>
    </xf>
    <xf numFmtId="0" fontId="13" fillId="0" borderId="0" xfId="0" applyFont="1" applyAlignment="1">
      <alignment horizontal="right"/>
    </xf>
    <xf numFmtId="0" fontId="13" fillId="0" borderId="0" xfId="0" applyFont="1" applyAlignment="1">
      <alignment horizontal="center" vertical="center" wrapText="1"/>
    </xf>
    <xf numFmtId="0" fontId="15" fillId="5" borderId="8" xfId="2" applyFont="1" applyFill="1" applyBorder="1" applyAlignment="1">
      <alignment horizontal="center" vertical="center" wrapText="1"/>
    </xf>
    <xf numFmtId="0" fontId="15" fillId="5" borderId="12" xfId="2" applyFont="1" applyFill="1" applyBorder="1" applyAlignment="1">
      <alignment horizontal="center" vertical="center" wrapText="1"/>
    </xf>
    <xf numFmtId="0" fontId="15" fillId="5" borderId="9" xfId="2" applyFont="1" applyFill="1" applyBorder="1" applyAlignment="1">
      <alignment horizontal="center" vertical="center" wrapText="1"/>
    </xf>
    <xf numFmtId="0" fontId="15" fillId="5" borderId="13" xfId="2" applyFont="1" applyFill="1" applyBorder="1" applyAlignment="1">
      <alignment horizontal="center" vertical="center" wrapText="1"/>
    </xf>
    <xf numFmtId="0" fontId="15" fillId="6" borderId="10" xfId="2" applyFont="1" applyFill="1" applyBorder="1" applyAlignment="1">
      <alignment horizontal="center" vertical="center" wrapText="1"/>
    </xf>
    <xf numFmtId="0" fontId="15" fillId="6" borderId="14" xfId="2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left" vertical="center" wrapText="1"/>
    </xf>
    <xf numFmtId="0" fontId="23" fillId="0" borderId="6" xfId="0" applyFont="1" applyBorder="1" applyAlignment="1">
      <alignment horizontal="left" vertical="center" wrapText="1"/>
    </xf>
    <xf numFmtId="0" fontId="23" fillId="0" borderId="7" xfId="0" applyFont="1" applyBorder="1" applyAlignment="1">
      <alignment horizontal="left" vertical="center" wrapText="1"/>
    </xf>
    <xf numFmtId="0" fontId="23" fillId="0" borderId="17" xfId="0" applyFont="1" applyBorder="1" applyAlignment="1">
      <alignment horizontal="left" vertical="center" wrapText="1"/>
    </xf>
    <xf numFmtId="0" fontId="23" fillId="0" borderId="18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  <protection locked="0"/>
    </xf>
  </cellXfs>
  <cellStyles count="7">
    <cellStyle name="Currency [0] 2" xfId="3" xr:uid="{2330A873-48BC-4F80-891E-0D3D2A4DB553}"/>
    <cellStyle name="Normal_Sheet1" xfId="2" xr:uid="{2E3E6648-29E3-4615-A5D8-BEA05A20138C}"/>
    <cellStyle name="Денежный [0] 2" xfId="4" xr:uid="{A2E489C2-B0C1-4559-B4E9-E8D65F8E769D}"/>
    <cellStyle name="Обычный" xfId="0" builtinId="0"/>
    <cellStyle name="Финансовый" xfId="1" builtinId="3"/>
    <cellStyle name="Финансовый [0] 2" xfId="6" xr:uid="{2B71CA2C-4806-406E-8FE3-5E4914D08CE6}"/>
    <cellStyle name="표준 2" xfId="5" xr:uid="{AC323A3E-5CCE-425B-938C-40744F054940}"/>
  </cellStyles>
  <dxfs count="8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horizontal="center" vertical="center" textRotation="0" wrapText="1" indent="0" justifyLastLine="0" shrinkToFit="0" readingOrder="0"/>
    </dxf>
    <dxf>
      <font>
        <sz val="9"/>
      </font>
      <numFmt numFmtId="19" formatCode="dd/mm/yyyy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horizontal="center" vertical="center" textRotation="0" wrapText="1" indent="0" justifyLastLine="0" shrinkToFit="0" readingOrder="0"/>
    </dxf>
    <dxf>
      <font>
        <sz val="9"/>
      </font>
      <numFmt numFmtId="4" formatCode="#,##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horizontal="center" vertical="center" textRotation="0" wrapText="1" indent="0" justifyLastLine="0" shrinkToFit="0" readingOrder="0"/>
    </dxf>
    <dxf>
      <font>
        <sz val="9"/>
      </font>
      <numFmt numFmtId="4" formatCode="#,##0.00"/>
      <alignment horizontal="center" vertical="center" textRotation="0" wrapText="1" indent="0" justifyLastLine="0" shrinkToFit="0" readingOrder="0"/>
    </dxf>
    <dxf>
      <font>
        <sz val="9"/>
      </font>
      <numFmt numFmtId="4" formatCode="#,##0.00"/>
      <alignment horizontal="center" vertical="center" textRotation="0" wrapText="1" indent="0" justifyLastLine="0" shrinkToFit="0" readingOrder="0"/>
    </dxf>
    <dxf>
      <font>
        <sz val="9"/>
      </font>
      <numFmt numFmtId="4" formatCode="#,##0.00"/>
      <alignment horizontal="center" vertical="center" textRotation="0" wrapText="1" indent="0" justifyLastLine="0" shrinkToFit="0" readingOrder="0"/>
    </dxf>
    <dxf>
      <font>
        <sz val="9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horizontal="center" vertical="center" textRotation="0" wrapText="1" indent="0" justifyLastLine="0" shrinkToFit="0" readingOrder="0"/>
    </dxf>
    <dxf>
      <font>
        <sz val="9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</dxf>
    <dxf>
      <font>
        <sz val="9"/>
      </font>
      <numFmt numFmtId="0" formatCode="General"/>
      <alignment horizontal="center" vertical="center" textRotation="0" wrapText="1" indent="0" justifyLastLine="0" shrinkToFit="0" readingOrder="0"/>
    </dxf>
    <dxf>
      <font>
        <sz val="9"/>
      </font>
      <numFmt numFmtId="19" formatCode="dd/mm/yyyy"/>
      <alignment horizontal="center" vertical="center" textRotation="0" wrapText="1" indent="0" justifyLastLine="0" shrinkToFit="0" readingOrder="0"/>
    </dxf>
    <dxf>
      <font>
        <sz val="9"/>
      </font>
      <numFmt numFmtId="0" formatCode="General"/>
      <alignment horizontal="center" vertical="center" textRotation="0" wrapText="1" indent="0" justifyLastLine="0" shrinkToFit="0" readingOrder="0"/>
    </dxf>
    <dxf>
      <font>
        <sz val="9"/>
      </font>
      <numFmt numFmtId="0" formatCode="General"/>
      <alignment horizontal="center" vertical="center" textRotation="0" wrapText="1" indent="0" justifyLastLine="0" shrinkToFit="0" readingOrder="0"/>
    </dxf>
    <dxf>
      <font>
        <sz val="9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93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mzp8nb\My%20Documents\LSC_BID_TEMPLATE%20ORIGIN%20AP%203-10-200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 "/>
      <sheetName val="BID PREPARER'S CONTACT INFO"/>
      <sheetName val="GLOSSARY"/>
      <sheetName val="FINANCE CONVERSION RATES"/>
      <sheetName val="CONSOLIDATION CENTER INFO"/>
      <sheetName val="OTHER CHARGES"/>
      <sheetName val="CURRENCY CODE"/>
      <sheetName val="LISTS"/>
      <sheetName val="AIRPORT CODES"/>
      <sheetName val="GB-IC Villingen GG"/>
      <sheetName val="AIR Airport Codes"/>
      <sheetName val="PLCL Port Names"/>
      <sheetName val="Curr_Code"/>
      <sheetName val="HOME"/>
      <sheetName val="Ryder References"/>
      <sheetName val="Reference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>
        <row r="2">
          <cell r="A2" t="str">
            <v>AED</v>
          </cell>
        </row>
        <row r="3">
          <cell r="A3" t="str">
            <v>ANG</v>
          </cell>
        </row>
        <row r="4">
          <cell r="A4" t="str">
            <v>ARS</v>
          </cell>
        </row>
        <row r="5">
          <cell r="A5" t="str">
            <v>AUD</v>
          </cell>
        </row>
        <row r="6">
          <cell r="A6" t="str">
            <v>AWG</v>
          </cell>
        </row>
        <row r="7">
          <cell r="A7" t="str">
            <v>BHD</v>
          </cell>
        </row>
        <row r="8">
          <cell r="A8" t="str">
            <v>BRL</v>
          </cell>
        </row>
        <row r="9">
          <cell r="A9" t="str">
            <v>BSD</v>
          </cell>
        </row>
        <row r="10">
          <cell r="A10" t="str">
            <v>CAD</v>
          </cell>
        </row>
        <row r="11">
          <cell r="A11" t="str">
            <v>CLP</v>
          </cell>
        </row>
        <row r="12">
          <cell r="A12" t="str">
            <v>CNY</v>
          </cell>
        </row>
        <row r="13">
          <cell r="A13" t="str">
            <v>COP</v>
          </cell>
        </row>
        <row r="14">
          <cell r="A14" t="str">
            <v>CZK</v>
          </cell>
        </row>
        <row r="15">
          <cell r="A15" t="str">
            <v>EGP</v>
          </cell>
        </row>
        <row r="16">
          <cell r="A16" t="str">
            <v>EUR</v>
          </cell>
        </row>
        <row r="17">
          <cell r="A17" t="str">
            <v>GBP</v>
          </cell>
        </row>
        <row r="18">
          <cell r="A18" t="str">
            <v>HKD</v>
          </cell>
        </row>
        <row r="19">
          <cell r="A19" t="str">
            <v>HUF</v>
          </cell>
        </row>
        <row r="20">
          <cell r="A20" t="str">
            <v>IDR</v>
          </cell>
        </row>
        <row r="21">
          <cell r="A21" t="str">
            <v>ILS</v>
          </cell>
        </row>
        <row r="22">
          <cell r="A22" t="str">
            <v>INR</v>
          </cell>
        </row>
        <row r="23">
          <cell r="A23" t="str">
            <v>JOD</v>
          </cell>
        </row>
        <row r="24">
          <cell r="A24" t="str">
            <v>JPY</v>
          </cell>
        </row>
        <row r="25">
          <cell r="A25" t="str">
            <v>KES</v>
          </cell>
        </row>
        <row r="26">
          <cell r="A26" t="str">
            <v>KRW</v>
          </cell>
        </row>
        <row r="27">
          <cell r="A27" t="str">
            <v>LBP</v>
          </cell>
        </row>
        <row r="28">
          <cell r="A28" t="str">
            <v>MXN</v>
          </cell>
        </row>
        <row r="29">
          <cell r="A29" t="str">
            <v>MYR</v>
          </cell>
        </row>
        <row r="30">
          <cell r="A30" t="str">
            <v>NZD</v>
          </cell>
        </row>
        <row r="31">
          <cell r="A31" t="str">
            <v>OMR</v>
          </cell>
        </row>
        <row r="32">
          <cell r="A32" t="str">
            <v>PAB</v>
          </cell>
        </row>
        <row r="33">
          <cell r="A33" t="str">
            <v>PEN</v>
          </cell>
        </row>
        <row r="34">
          <cell r="A34" t="str">
            <v>PHP</v>
          </cell>
        </row>
        <row r="35">
          <cell r="A35" t="str">
            <v>PLN</v>
          </cell>
        </row>
        <row r="36">
          <cell r="A36" t="str">
            <v>QAR</v>
          </cell>
        </row>
        <row r="37">
          <cell r="A37" t="str">
            <v>RON</v>
          </cell>
        </row>
        <row r="38">
          <cell r="A38" t="str">
            <v>SAR</v>
          </cell>
        </row>
        <row r="39">
          <cell r="A39" t="str">
            <v>SEK</v>
          </cell>
        </row>
        <row r="40">
          <cell r="A40" t="str">
            <v>SGD</v>
          </cell>
        </row>
        <row r="41">
          <cell r="A41" t="str">
            <v>SKK</v>
          </cell>
        </row>
        <row r="42">
          <cell r="A42" t="str">
            <v>SRD</v>
          </cell>
        </row>
        <row r="43">
          <cell r="A43" t="str">
            <v>SVC</v>
          </cell>
        </row>
        <row r="44">
          <cell r="A44" t="str">
            <v>SYP</v>
          </cell>
        </row>
        <row r="45">
          <cell r="A45" t="str">
            <v>THB</v>
          </cell>
        </row>
        <row r="46">
          <cell r="A46" t="str">
            <v>TND</v>
          </cell>
        </row>
        <row r="47">
          <cell r="A47" t="str">
            <v>TWD</v>
          </cell>
        </row>
        <row r="48">
          <cell r="A48" t="str">
            <v>USD</v>
          </cell>
        </row>
        <row r="49">
          <cell r="A49" t="str">
            <v>VEB</v>
          </cell>
        </row>
        <row r="50">
          <cell r="A50" t="str">
            <v>VND</v>
          </cell>
        </row>
        <row r="51">
          <cell r="A51" t="str">
            <v>ZAR</v>
          </cell>
        </row>
      </sheetData>
      <sheetData sheetId="7">
        <row r="2">
          <cell r="A2" t="str">
            <v>AIR</v>
          </cell>
          <cell r="B2" t="str">
            <v>D-D</v>
          </cell>
          <cell r="C2" t="str">
            <v>Afghanistan</v>
          </cell>
          <cell r="D2" t="str">
            <v>APO</v>
          </cell>
        </row>
        <row r="3">
          <cell r="A3" t="str">
            <v>OCEAN</v>
          </cell>
          <cell r="B3" t="str">
            <v>D-A</v>
          </cell>
          <cell r="C3" t="str">
            <v>Albania</v>
          </cell>
          <cell r="D3" t="str">
            <v>EU</v>
          </cell>
        </row>
        <row r="4">
          <cell r="A4" t="str">
            <v>PURELCL</v>
          </cell>
          <cell r="B4" t="str">
            <v>A-A</v>
          </cell>
          <cell r="C4" t="str">
            <v>Algeria</v>
          </cell>
          <cell r="D4" t="str">
            <v>LAAM</v>
          </cell>
        </row>
        <row r="5">
          <cell r="A5" t="str">
            <v>INLAND</v>
          </cell>
          <cell r="B5" t="str">
            <v>A-D</v>
          </cell>
          <cell r="C5" t="str">
            <v>American Samoa</v>
          </cell>
          <cell r="D5" t="str">
            <v>NA</v>
          </cell>
        </row>
        <row r="6">
          <cell r="B6" t="str">
            <v>D-P</v>
          </cell>
          <cell r="C6" t="str">
            <v>Andorra</v>
          </cell>
        </row>
        <row r="7">
          <cell r="B7" t="str">
            <v>P-P</v>
          </cell>
          <cell r="C7" t="str">
            <v>Angola</v>
          </cell>
        </row>
        <row r="8">
          <cell r="B8" t="str">
            <v>P-D</v>
          </cell>
          <cell r="C8" t="str">
            <v>Anguilla</v>
          </cell>
        </row>
        <row r="9">
          <cell r="C9" t="str">
            <v>Antigua And Barbuda</v>
          </cell>
        </row>
        <row r="10">
          <cell r="C10" t="str">
            <v>Argentina</v>
          </cell>
        </row>
        <row r="11">
          <cell r="C11" t="str">
            <v>Armenia</v>
          </cell>
        </row>
        <row r="12">
          <cell r="C12" t="str">
            <v>Aruba</v>
          </cell>
        </row>
        <row r="13">
          <cell r="C13" t="str">
            <v>Australia</v>
          </cell>
        </row>
        <row r="14">
          <cell r="C14" t="str">
            <v>Austria</v>
          </cell>
        </row>
        <row r="15">
          <cell r="C15" t="str">
            <v>Azerbaijan</v>
          </cell>
        </row>
        <row r="16">
          <cell r="C16" t="str">
            <v>Bahamas</v>
          </cell>
        </row>
        <row r="17">
          <cell r="C17" t="str">
            <v>Bahrain</v>
          </cell>
        </row>
        <row r="18">
          <cell r="C18" t="str">
            <v>Bangladesh</v>
          </cell>
        </row>
        <row r="19">
          <cell r="C19" t="str">
            <v>Barbados</v>
          </cell>
        </row>
        <row r="20">
          <cell r="C20" t="str">
            <v>Belarus</v>
          </cell>
        </row>
        <row r="21">
          <cell r="C21" t="str">
            <v>Belgium</v>
          </cell>
        </row>
        <row r="22">
          <cell r="C22" t="str">
            <v>Belize</v>
          </cell>
        </row>
        <row r="23">
          <cell r="C23" t="str">
            <v>Benin</v>
          </cell>
        </row>
        <row r="24">
          <cell r="C24" t="str">
            <v>Bermuda</v>
          </cell>
        </row>
        <row r="25">
          <cell r="C25" t="str">
            <v>Bhutan</v>
          </cell>
        </row>
        <row r="26">
          <cell r="C26" t="str">
            <v>Bolivia</v>
          </cell>
        </row>
        <row r="27">
          <cell r="C27" t="str">
            <v>Bosnia And Herzegovina</v>
          </cell>
        </row>
        <row r="28">
          <cell r="C28" t="str">
            <v>Botswana</v>
          </cell>
        </row>
        <row r="29">
          <cell r="C29" t="str">
            <v>Brazil</v>
          </cell>
        </row>
        <row r="30">
          <cell r="C30" t="str">
            <v>British Indian Ocean</v>
          </cell>
        </row>
        <row r="31">
          <cell r="C31" t="str">
            <v>Brunei Darussalam</v>
          </cell>
        </row>
        <row r="32">
          <cell r="C32" t="str">
            <v>Bulgaria</v>
          </cell>
        </row>
        <row r="33">
          <cell r="C33" t="str">
            <v>Burkina Faso</v>
          </cell>
        </row>
        <row r="34">
          <cell r="C34" t="str">
            <v>Burundi</v>
          </cell>
        </row>
        <row r="35">
          <cell r="C35" t="str">
            <v>Cambodia</v>
          </cell>
        </row>
        <row r="36">
          <cell r="C36" t="str">
            <v>Cameroon</v>
          </cell>
        </row>
        <row r="37">
          <cell r="C37" t="str">
            <v>Canada</v>
          </cell>
        </row>
        <row r="38">
          <cell r="C38" t="str">
            <v>Cape Verde</v>
          </cell>
        </row>
        <row r="39">
          <cell r="C39" t="str">
            <v>Cayman Islands</v>
          </cell>
        </row>
        <row r="40">
          <cell r="C40" t="str">
            <v>Central African Republic</v>
          </cell>
        </row>
        <row r="41">
          <cell r="C41" t="str">
            <v>Chad</v>
          </cell>
        </row>
        <row r="42">
          <cell r="C42" t="str">
            <v>Chile</v>
          </cell>
        </row>
        <row r="43">
          <cell r="C43" t="str">
            <v>China</v>
          </cell>
        </row>
        <row r="44">
          <cell r="C44" t="str">
            <v>Christmas Island</v>
          </cell>
        </row>
        <row r="45">
          <cell r="C45" t="str">
            <v>Cocos (Keeling) Islands</v>
          </cell>
        </row>
        <row r="46">
          <cell r="C46" t="str">
            <v>Colombia</v>
          </cell>
        </row>
        <row r="47">
          <cell r="C47" t="str">
            <v>Comoros</v>
          </cell>
        </row>
        <row r="48">
          <cell r="C48" t="str">
            <v>Congo</v>
          </cell>
        </row>
        <row r="49">
          <cell r="C49" t="str">
            <v>Congo, The Democratic Republic Of The</v>
          </cell>
        </row>
        <row r="50">
          <cell r="C50" t="str">
            <v>Cook Islands</v>
          </cell>
        </row>
        <row r="51">
          <cell r="C51" t="str">
            <v>Costa Rica</v>
          </cell>
        </row>
        <row r="52">
          <cell r="C52" t="str">
            <v>Cote D'Ivoire</v>
          </cell>
        </row>
        <row r="53">
          <cell r="C53" t="str">
            <v>Croatia</v>
          </cell>
        </row>
        <row r="54">
          <cell r="C54" t="str">
            <v>Cuba</v>
          </cell>
        </row>
        <row r="55">
          <cell r="C55" t="str">
            <v>Cyprus</v>
          </cell>
        </row>
        <row r="56">
          <cell r="C56" t="str">
            <v>Czech Republic</v>
          </cell>
        </row>
        <row r="57">
          <cell r="C57" t="str">
            <v>Denmark</v>
          </cell>
        </row>
        <row r="58">
          <cell r="C58" t="str">
            <v>Djibouti</v>
          </cell>
        </row>
        <row r="59">
          <cell r="C59" t="str">
            <v>Dominica</v>
          </cell>
        </row>
        <row r="60">
          <cell r="C60" t="str">
            <v>Dominican Republic</v>
          </cell>
        </row>
        <row r="61">
          <cell r="C61" t="str">
            <v>Ecuador</v>
          </cell>
        </row>
        <row r="62">
          <cell r="C62" t="str">
            <v>Egypt</v>
          </cell>
        </row>
        <row r="63">
          <cell r="C63" t="str">
            <v>El Salvador</v>
          </cell>
        </row>
        <row r="64">
          <cell r="C64" t="str">
            <v>Equatorial Guinea</v>
          </cell>
        </row>
        <row r="65">
          <cell r="C65" t="str">
            <v>Eritrea</v>
          </cell>
        </row>
        <row r="66">
          <cell r="C66" t="str">
            <v>Estonia</v>
          </cell>
        </row>
        <row r="67">
          <cell r="C67" t="str">
            <v>Ethiopia</v>
          </cell>
        </row>
        <row r="68">
          <cell r="C68" t="str">
            <v>Falkland Islands (Malvinas)</v>
          </cell>
        </row>
        <row r="69">
          <cell r="C69" t="str">
            <v>Faroe Islands</v>
          </cell>
        </row>
        <row r="70">
          <cell r="C70" t="str">
            <v>Fiji</v>
          </cell>
        </row>
        <row r="71">
          <cell r="C71" t="str">
            <v>Finland</v>
          </cell>
        </row>
        <row r="72">
          <cell r="C72" t="str">
            <v>France</v>
          </cell>
        </row>
        <row r="73">
          <cell r="C73" t="str">
            <v>French Guiana</v>
          </cell>
        </row>
        <row r="74">
          <cell r="C74" t="str">
            <v>French Polynesia</v>
          </cell>
        </row>
        <row r="75">
          <cell r="C75" t="str">
            <v>Gabon</v>
          </cell>
        </row>
        <row r="76">
          <cell r="C76" t="str">
            <v>Gambia</v>
          </cell>
        </row>
        <row r="77">
          <cell r="C77" t="str">
            <v>Georgia</v>
          </cell>
        </row>
        <row r="78">
          <cell r="C78" t="str">
            <v>Germany</v>
          </cell>
        </row>
        <row r="79">
          <cell r="C79" t="str">
            <v>Ghana</v>
          </cell>
        </row>
        <row r="80">
          <cell r="C80" t="str">
            <v>Gibraltar</v>
          </cell>
        </row>
        <row r="81">
          <cell r="C81" t="str">
            <v>Greece</v>
          </cell>
        </row>
        <row r="82">
          <cell r="C82" t="str">
            <v>Greenland</v>
          </cell>
        </row>
        <row r="83">
          <cell r="C83" t="str">
            <v>Grenada</v>
          </cell>
        </row>
        <row r="84">
          <cell r="C84" t="str">
            <v>Guadeloupe</v>
          </cell>
        </row>
        <row r="85">
          <cell r="C85" t="str">
            <v>Guam</v>
          </cell>
        </row>
        <row r="86">
          <cell r="C86" t="str">
            <v>Guatemala</v>
          </cell>
        </row>
        <row r="87">
          <cell r="C87" t="str">
            <v>Guinea</v>
          </cell>
        </row>
        <row r="88">
          <cell r="C88" t="str">
            <v>Guinea-Bissau</v>
          </cell>
        </row>
        <row r="89">
          <cell r="C89" t="str">
            <v>Guyana</v>
          </cell>
        </row>
        <row r="90">
          <cell r="C90" t="str">
            <v>Haiti</v>
          </cell>
        </row>
        <row r="91">
          <cell r="C91" t="str">
            <v>Heard Island And Mcdonald Islands</v>
          </cell>
        </row>
        <row r="92">
          <cell r="C92" t="str">
            <v>Holy See (Vatican City State)</v>
          </cell>
        </row>
        <row r="93">
          <cell r="C93" t="str">
            <v>Honduras</v>
          </cell>
        </row>
        <row r="94">
          <cell r="C94" t="str">
            <v>Hong Kong</v>
          </cell>
        </row>
        <row r="95">
          <cell r="C95" t="str">
            <v>Hungary</v>
          </cell>
        </row>
        <row r="96">
          <cell r="C96" t="str">
            <v>Iceland</v>
          </cell>
        </row>
        <row r="97">
          <cell r="C97" t="str">
            <v>India</v>
          </cell>
        </row>
        <row r="98">
          <cell r="C98" t="str">
            <v>Indonesia</v>
          </cell>
        </row>
        <row r="99">
          <cell r="C99" t="str">
            <v>Iran, Islamic Republic Of</v>
          </cell>
        </row>
        <row r="100">
          <cell r="C100" t="str">
            <v>Iraq</v>
          </cell>
        </row>
        <row r="101">
          <cell r="C101" t="str">
            <v>Ireland</v>
          </cell>
        </row>
        <row r="102">
          <cell r="C102" t="str">
            <v>Israel</v>
          </cell>
        </row>
        <row r="103">
          <cell r="C103" t="str">
            <v>Italy</v>
          </cell>
        </row>
        <row r="104">
          <cell r="C104" t="str">
            <v>Jamaica</v>
          </cell>
        </row>
        <row r="105">
          <cell r="C105" t="str">
            <v>Japan</v>
          </cell>
        </row>
        <row r="106">
          <cell r="C106" t="str">
            <v>Jordan</v>
          </cell>
        </row>
        <row r="107">
          <cell r="C107" t="str">
            <v>Kazakhstan</v>
          </cell>
        </row>
        <row r="108">
          <cell r="C108" t="str">
            <v>Kenya</v>
          </cell>
        </row>
        <row r="109">
          <cell r="C109" t="str">
            <v>Kiribati</v>
          </cell>
        </row>
        <row r="110">
          <cell r="C110" t="str">
            <v>Korea, Democratic People's Republic Of</v>
          </cell>
        </row>
        <row r="111">
          <cell r="C111" t="str">
            <v>Korea, Republic Of</v>
          </cell>
        </row>
        <row r="112">
          <cell r="C112" t="str">
            <v>Kuwait</v>
          </cell>
        </row>
        <row r="113">
          <cell r="C113" t="str">
            <v>Kyrgyzstan</v>
          </cell>
        </row>
        <row r="114">
          <cell r="C114" t="str">
            <v>Lao People'S Democratic Republic</v>
          </cell>
        </row>
        <row r="115">
          <cell r="C115" t="str">
            <v>Latvia</v>
          </cell>
        </row>
        <row r="116">
          <cell r="C116" t="str">
            <v>Lebanon</v>
          </cell>
        </row>
        <row r="117">
          <cell r="C117" t="str">
            <v>Lesotho</v>
          </cell>
        </row>
        <row r="118">
          <cell r="C118" t="str">
            <v>Liberia</v>
          </cell>
        </row>
        <row r="119">
          <cell r="C119" t="str">
            <v>Libyan Arab Jamahiriya</v>
          </cell>
        </row>
        <row r="120">
          <cell r="C120" t="str">
            <v>Liechtenstein</v>
          </cell>
        </row>
        <row r="121">
          <cell r="C121" t="str">
            <v>Lithuania</v>
          </cell>
        </row>
        <row r="122">
          <cell r="C122" t="str">
            <v>Luxembourg</v>
          </cell>
        </row>
        <row r="123">
          <cell r="C123" t="str">
            <v>Macao</v>
          </cell>
        </row>
        <row r="124">
          <cell r="C124" t="str">
            <v>Macedonia, The Former Yugoslav Republic Of</v>
          </cell>
        </row>
        <row r="125">
          <cell r="C125" t="str">
            <v>Madagascar</v>
          </cell>
        </row>
        <row r="126">
          <cell r="C126" t="str">
            <v>Malawi</v>
          </cell>
        </row>
        <row r="127">
          <cell r="C127" t="str">
            <v>Malaysia</v>
          </cell>
        </row>
        <row r="128">
          <cell r="C128" t="str">
            <v>Maldives</v>
          </cell>
        </row>
        <row r="129">
          <cell r="C129" t="str">
            <v>Mali</v>
          </cell>
        </row>
        <row r="130">
          <cell r="C130" t="str">
            <v>Malta</v>
          </cell>
        </row>
        <row r="131">
          <cell r="C131" t="str">
            <v>Marshall Islands</v>
          </cell>
        </row>
        <row r="132">
          <cell r="C132" t="str">
            <v>Martinique</v>
          </cell>
        </row>
        <row r="133">
          <cell r="C133" t="str">
            <v>Mauritania</v>
          </cell>
        </row>
        <row r="134">
          <cell r="C134" t="str">
            <v>Mauritius</v>
          </cell>
        </row>
        <row r="135">
          <cell r="C135" t="str">
            <v>Mayotte</v>
          </cell>
        </row>
        <row r="136">
          <cell r="C136" t="str">
            <v>Mexico</v>
          </cell>
        </row>
        <row r="137">
          <cell r="C137" t="str">
            <v>Micronesia, Federated States Of</v>
          </cell>
        </row>
        <row r="138">
          <cell r="C138" t="str">
            <v>Moldova, Republic Of</v>
          </cell>
        </row>
        <row r="139">
          <cell r="C139" t="str">
            <v>Monaco</v>
          </cell>
        </row>
        <row r="140">
          <cell r="C140" t="str">
            <v>Mongolia</v>
          </cell>
        </row>
        <row r="141">
          <cell r="C141" t="str">
            <v>Montserrat</v>
          </cell>
        </row>
        <row r="142">
          <cell r="C142" t="str">
            <v>Morocco</v>
          </cell>
        </row>
        <row r="143">
          <cell r="C143" t="str">
            <v>Mozambique</v>
          </cell>
        </row>
        <row r="144">
          <cell r="C144" t="str">
            <v>Myanmar</v>
          </cell>
        </row>
        <row r="145">
          <cell r="C145" t="str">
            <v>Namibia</v>
          </cell>
        </row>
        <row r="146">
          <cell r="C146" t="str">
            <v>Nauru</v>
          </cell>
        </row>
        <row r="147">
          <cell r="C147" t="str">
            <v>Nepal</v>
          </cell>
        </row>
        <row r="148">
          <cell r="C148" t="str">
            <v>Netherlands</v>
          </cell>
        </row>
        <row r="149">
          <cell r="C149" t="str">
            <v>Netherlands Antilles</v>
          </cell>
        </row>
        <row r="150">
          <cell r="C150" t="str">
            <v>New Caledonia</v>
          </cell>
        </row>
        <row r="151">
          <cell r="C151" t="str">
            <v>New Zealand</v>
          </cell>
        </row>
        <row r="152">
          <cell r="C152" t="str">
            <v>Nicaragua</v>
          </cell>
        </row>
        <row r="153">
          <cell r="C153" t="str">
            <v>Niger</v>
          </cell>
        </row>
        <row r="154">
          <cell r="C154" t="str">
            <v>Nigeria</v>
          </cell>
        </row>
        <row r="155">
          <cell r="C155" t="str">
            <v>Niue</v>
          </cell>
        </row>
        <row r="156">
          <cell r="C156" t="str">
            <v>Norfolk Island</v>
          </cell>
        </row>
        <row r="157">
          <cell r="C157" t="str">
            <v>Northern Mariana Islands</v>
          </cell>
        </row>
        <row r="158">
          <cell r="C158" t="str">
            <v>Norway</v>
          </cell>
        </row>
        <row r="159">
          <cell r="C159" t="str">
            <v>Oman</v>
          </cell>
        </row>
        <row r="160">
          <cell r="C160" t="str">
            <v>Pakistan</v>
          </cell>
        </row>
        <row r="161">
          <cell r="C161" t="str">
            <v>Palau</v>
          </cell>
        </row>
        <row r="162">
          <cell r="C162" t="str">
            <v>Panama</v>
          </cell>
        </row>
        <row r="163">
          <cell r="C163" t="str">
            <v>Papua New Guinea</v>
          </cell>
        </row>
        <row r="164">
          <cell r="C164" t="str">
            <v>Paraguay</v>
          </cell>
        </row>
        <row r="165">
          <cell r="C165" t="str">
            <v>Peru</v>
          </cell>
        </row>
        <row r="166">
          <cell r="C166" t="str">
            <v>Philippines</v>
          </cell>
        </row>
        <row r="167">
          <cell r="C167" t="str">
            <v>Pitcairn</v>
          </cell>
        </row>
        <row r="168">
          <cell r="C168" t="str">
            <v>Poland</v>
          </cell>
        </row>
        <row r="169">
          <cell r="C169" t="str">
            <v>Portugal</v>
          </cell>
        </row>
        <row r="170">
          <cell r="C170" t="str">
            <v>Puerto Rico</v>
          </cell>
        </row>
        <row r="171">
          <cell r="C171" t="str">
            <v>Qatar</v>
          </cell>
        </row>
        <row r="172">
          <cell r="C172" t="str">
            <v>Reunion</v>
          </cell>
        </row>
        <row r="173">
          <cell r="C173" t="str">
            <v>Romania</v>
          </cell>
        </row>
        <row r="174">
          <cell r="C174" t="str">
            <v>Russian Federation</v>
          </cell>
        </row>
        <row r="175">
          <cell r="C175" t="str">
            <v>Rwanda</v>
          </cell>
        </row>
        <row r="176">
          <cell r="C176" t="str">
            <v>Saint Helena</v>
          </cell>
        </row>
        <row r="177">
          <cell r="C177" t="str">
            <v>Saint Kitts And Nevis</v>
          </cell>
        </row>
        <row r="178">
          <cell r="C178" t="str">
            <v>Saint Lucia</v>
          </cell>
        </row>
        <row r="179">
          <cell r="C179" t="str">
            <v>Saint Pierre And Miquelon</v>
          </cell>
        </row>
        <row r="180">
          <cell r="C180" t="str">
            <v>Saint Vincent And The Grenadines</v>
          </cell>
        </row>
        <row r="181">
          <cell r="C181" t="str">
            <v>Samoa</v>
          </cell>
        </row>
        <row r="182">
          <cell r="C182" t="str">
            <v>San Marino</v>
          </cell>
        </row>
        <row r="183">
          <cell r="C183" t="str">
            <v>Sao Tome And Principe</v>
          </cell>
        </row>
        <row r="184">
          <cell r="C184" t="str">
            <v>Saudi Arabia</v>
          </cell>
        </row>
        <row r="185">
          <cell r="C185" t="str">
            <v>Senegal</v>
          </cell>
        </row>
        <row r="186">
          <cell r="C186" t="str">
            <v>Serbia And Montenegro</v>
          </cell>
        </row>
        <row r="187">
          <cell r="C187" t="str">
            <v>Seychelles</v>
          </cell>
        </row>
        <row r="188">
          <cell r="C188" t="str">
            <v>Sierra Leone</v>
          </cell>
        </row>
        <row r="189">
          <cell r="C189" t="str">
            <v>Singapore</v>
          </cell>
        </row>
        <row r="190">
          <cell r="C190" t="str">
            <v>Slovakia</v>
          </cell>
        </row>
        <row r="191">
          <cell r="C191" t="str">
            <v>Slovenia</v>
          </cell>
        </row>
        <row r="192">
          <cell r="C192" t="str">
            <v>Solomon Islands</v>
          </cell>
        </row>
        <row r="193">
          <cell r="C193" t="str">
            <v>Somalia</v>
          </cell>
        </row>
        <row r="194">
          <cell r="C194" t="str">
            <v>South Africa</v>
          </cell>
        </row>
        <row r="195">
          <cell r="C195" t="str">
            <v>South Georgia And The South Sandwich Islands</v>
          </cell>
        </row>
        <row r="196">
          <cell r="C196" t="str">
            <v>Spain</v>
          </cell>
        </row>
        <row r="197">
          <cell r="C197" t="str">
            <v>Sri Lanka</v>
          </cell>
        </row>
        <row r="198">
          <cell r="C198" t="str">
            <v>Sudan</v>
          </cell>
        </row>
        <row r="199">
          <cell r="C199" t="str">
            <v>Suriname</v>
          </cell>
        </row>
        <row r="200">
          <cell r="C200" t="str">
            <v>Svalbard And Jan Mayen</v>
          </cell>
        </row>
        <row r="201">
          <cell r="C201" t="str">
            <v>Swaziland</v>
          </cell>
        </row>
        <row r="202">
          <cell r="C202" t="str">
            <v>Sweden</v>
          </cell>
        </row>
        <row r="203">
          <cell r="C203" t="str">
            <v>Switzerland</v>
          </cell>
        </row>
        <row r="204">
          <cell r="C204" t="str">
            <v>Syrian Arab Republic</v>
          </cell>
        </row>
        <row r="205">
          <cell r="C205" t="str">
            <v>Taiwan, Province Of China</v>
          </cell>
        </row>
        <row r="206">
          <cell r="C206" t="str">
            <v>Tajikistan</v>
          </cell>
        </row>
        <row r="207">
          <cell r="C207" t="str">
            <v>Tanzania, United Republic Of</v>
          </cell>
        </row>
        <row r="208">
          <cell r="C208" t="str">
            <v>Thailand</v>
          </cell>
        </row>
        <row r="209">
          <cell r="C209" t="str">
            <v>Togo</v>
          </cell>
        </row>
        <row r="210">
          <cell r="C210" t="str">
            <v>Tokelau</v>
          </cell>
        </row>
        <row r="211">
          <cell r="C211" t="str">
            <v>Tonga</v>
          </cell>
        </row>
        <row r="212">
          <cell r="C212" t="str">
            <v>Trinidad And Tobago</v>
          </cell>
        </row>
        <row r="213">
          <cell r="C213" t="str">
            <v>Tunisia</v>
          </cell>
        </row>
        <row r="214">
          <cell r="C214" t="str">
            <v>Turkey</v>
          </cell>
        </row>
        <row r="215">
          <cell r="C215" t="str">
            <v>Turkmenistan</v>
          </cell>
        </row>
        <row r="216">
          <cell r="C216" t="str">
            <v>Turks And Caicos Islands</v>
          </cell>
        </row>
        <row r="217">
          <cell r="C217" t="str">
            <v>Tuvalu</v>
          </cell>
        </row>
        <row r="218">
          <cell r="C218" t="str">
            <v>Uganda</v>
          </cell>
        </row>
        <row r="219">
          <cell r="C219" t="str">
            <v>Ukraine</v>
          </cell>
        </row>
        <row r="220">
          <cell r="C220" t="str">
            <v>United Arab Emirates</v>
          </cell>
        </row>
        <row r="221">
          <cell r="C221" t="str">
            <v>United Kingdom</v>
          </cell>
        </row>
        <row r="222">
          <cell r="C222" t="str">
            <v>United States</v>
          </cell>
        </row>
        <row r="223">
          <cell r="C223" t="str">
            <v>Uruguay</v>
          </cell>
        </row>
        <row r="224">
          <cell r="C224" t="str">
            <v>Uzbekistan</v>
          </cell>
        </row>
        <row r="225">
          <cell r="C225" t="str">
            <v>Vanuatu</v>
          </cell>
        </row>
        <row r="226">
          <cell r="C226" t="str">
            <v>Venezuela</v>
          </cell>
        </row>
        <row r="227">
          <cell r="C227" t="str">
            <v>Viet Nam</v>
          </cell>
        </row>
        <row r="228">
          <cell r="C228" t="str">
            <v>Virgin Islands, British</v>
          </cell>
        </row>
        <row r="229">
          <cell r="C229" t="str">
            <v>Virgin Islands, U.S.</v>
          </cell>
        </row>
        <row r="230">
          <cell r="C230" t="str">
            <v>Wallis And Futuna</v>
          </cell>
        </row>
        <row r="231">
          <cell r="C231" t="str">
            <v>Western Sahara</v>
          </cell>
        </row>
        <row r="232">
          <cell r="C232" t="str">
            <v>Yemen</v>
          </cell>
        </row>
        <row r="233">
          <cell r="C233" t="str">
            <v>Zambia</v>
          </cell>
        </row>
        <row r="234">
          <cell r="C234" t="str">
            <v>Zimbabwe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5" xr16:uid="{1C241846-7515-434D-9C63-36A44A07ECFB}" autoFormatId="16" applyNumberFormats="0" applyBorderFormats="0" applyFontFormats="0" applyPatternFormats="0" applyAlignmentFormats="0" applyWidthHeightFormats="0">
  <queryTableRefresh nextId="29">
    <queryTableFields count="27">
      <queryTableField id="1" name="1" tableColumnId="1"/>
      <queryTableField id="2" name="2" tableColumnId="2"/>
      <queryTableField id="3" name="3" tableColumnId="3"/>
      <queryTableField id="4" name="4" tableColumnId="4"/>
      <queryTableField id="5" name="5" tableColumnId="5"/>
      <queryTableField id="6" name="6" tableColumnId="6"/>
      <queryTableField id="7" name="7" tableColumnId="7"/>
      <queryTableField id="8" name="8" tableColumnId="8"/>
      <queryTableField id="9" name="9" tableColumnId="9"/>
      <queryTableField id="10" name="10" tableColumnId="10"/>
      <queryTableField id="11" name="11" tableColumnId="11"/>
      <queryTableField id="12" name="12" tableColumnId="12"/>
      <queryTableField id="13" name="13" tableColumnId="13"/>
      <queryTableField id="14" name="14" tableColumnId="14"/>
      <queryTableField id="15" name="15" tableColumnId="15"/>
      <queryTableField id="16" name="16" tableColumnId="16"/>
      <queryTableField id="17" name="17" tableColumnId="17"/>
      <queryTableField id="18" name="18" tableColumnId="18"/>
      <queryTableField id="19" name="19" tableColumnId="19"/>
      <queryTableField id="20" name="20" tableColumnId="20"/>
      <queryTableField id="21" name="21" tableColumnId="21"/>
      <queryTableField id="22" name="22" tableColumnId="22"/>
      <queryTableField id="23" name="23" tableColumnId="23"/>
      <queryTableField id="24" name="24" tableColumnId="24"/>
      <queryTableField id="25" name="25" tableColumnId="25"/>
      <queryTableField id="26" name="26" tableColumnId="26"/>
      <queryTableField id="28" name="27" tableColumnId="2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89C29027-E8F5-487B-AA03-94DF141BF563}" autoFormatId="16" applyNumberFormats="0" applyBorderFormats="0" applyFontFormats="0" applyPatternFormats="0" applyAlignmentFormats="0" applyWidthHeightFormats="0">
  <queryTableRefresh nextId="88">
    <queryTableFields count="29">
      <queryTableField id="50" name="№" tableColumnId="1"/>
      <queryTableField id="51" name="Container No/_x000a_№ Контейнера" tableColumnId="2"/>
      <queryTableField id="42" name="Container type/ _x000a_Тип контейнера" tableColumnId="42"/>
      <queryTableField id="52" name="Date of Dispatch/ _x000a_Дата отгрузки" tableColumnId="3"/>
      <queryTableField id="84" name="Name of goods/ _x000a_Наименование              товара" tableColumnId="4"/>
      <queryTableField id="85" name="Supplier Invoice No/                          № Инвойса Поставщика" tableColumnId="5"/>
      <queryTableField id="55" name="Supplier/ Поставщик" tableColumnId="6"/>
      <queryTableField id="56" name="CBM" tableColumnId="7"/>
      <queryTableField id="57" name="Gross weight, kg/ Вес брутто, кг" tableColumnId="8"/>
      <queryTableField id="58" name="Delivery terms / Условия поставки" tableColumnId="9"/>
      <queryTableField id="59" name="Column11" tableColumnId="10"/>
      <queryTableField id="60" name="Container total CBM" tableColumnId="11"/>
      <queryTableField id="61" name="FTL inland freight cost per Invoice Appendix/ Стоимость внутренней наземной перевозки за инвойс Приложение                     KRW" tableColumnId="12"/>
      <queryTableField id="62" name="Consolidation Work, Loading, Unloading/ Работы по консолидации, Погрузка, Разгрузка (Rate/Тариф - 8000 per CBM)                   KRW" tableColumnId="13"/>
      <queryTableField id="63" name="Shoring, Banding, Sealing, Handling/ Крепление, Перевязка, Опечатование, Обработка_x000a_KRW" tableColumnId="14"/>
      <queryTableField id="64" name="Documents Work/ Сбор за подготовку документов_x000a_KRW" tableColumnId="15"/>
      <queryTableField id="65" name="THC/ Терминальная обработка_x000a_KRW" tableColumnId="16"/>
      <queryTableField id="66" name="Wharfage/ Портовая пошлина_x000a_KRW" tableColumnId="17"/>
      <queryTableField id="67" name="TRUCKING CHARGE" tableColumnId="18"/>
      <queryTableField id="68" name="FCL Inland freight cost (Consolidation center-Shipment Port)/ Сборы за внутреннюю наземную перевозку полных контейнеров (Консолидационный центр-Порт отгрузки)_x000a_KRW" tableColumnId="19"/>
      <queryTableField id="69" name="Special Wooden Shoring / Специальное деревянное крепление" tableColumnId="20"/>
      <queryTableField id="70" name="Total amount/ Общая стоимость KRW (10+11+12+13+14+15+16)" tableColumnId="21"/>
      <queryTableField id="71" name="Total amount/ Общая стоимость (17*exchange rate/ обменный курс)_x000a_ USD" tableColumnId="22"/>
      <queryTableField id="72" name="Column24" tableColumnId="23"/>
      <queryTableField id="73" name="Column25" tableColumnId="24"/>
      <queryTableField id="74" name="Column26" tableColumnId="25"/>
      <queryTableField id="75" name="Column27" tableColumnId="26"/>
      <queryTableField id="76" name="Column28" tableColumnId="27"/>
      <queryTableField id="77" name="INVOICE SUMM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72B670-9EBD-4DDF-B3F2-81B41E46769E}" name="Шаблон_Формулы_2" displayName="Шаблон_Формулы_2" ref="A2:AA78" tableType="queryTable" totalsRowShown="0" headerRowDxfId="87" dataDxfId="86" tableBorderDxfId="85">
  <autoFilter ref="A2:AA78" xr:uid="{2172B670-9EBD-4DDF-B3F2-81B41E4676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7">
    <tableColumn id="1" xr3:uid="{A434EB3C-8376-48E8-B977-7F2BDEF4C531}" uniqueName="1" name="1" queryTableFieldId="1" dataDxfId="84"/>
    <tableColumn id="2" xr3:uid="{8A87712C-FC73-4678-B1A7-ED16A8E04E71}" uniqueName="2" name="2" queryTableFieldId="2" dataDxfId="83"/>
    <tableColumn id="3" xr3:uid="{D148B657-97B3-4E46-93B8-6B1F20441BFF}" uniqueName="3" name="3" queryTableFieldId="3" dataDxfId="82"/>
    <tableColumn id="4" xr3:uid="{41DC2B2B-DC98-4A52-BCD6-A4D95BBD953E}" uniqueName="4" name="4" queryTableFieldId="4" dataDxfId="81"/>
    <tableColumn id="5" xr3:uid="{1D866B85-DF46-4A1E-944F-986C019F9BC1}" uniqueName="5" name="5" queryTableFieldId="5" dataDxfId="80"/>
    <tableColumn id="6" xr3:uid="{3FB0D426-BB7F-4C2E-AE23-CCC777815CE8}" uniqueName="6" name="6" queryTableFieldId="6" dataDxfId="79"/>
    <tableColumn id="7" xr3:uid="{634833FD-8BCD-46C0-B3AC-ADF92E1F1DA3}" uniqueName="7" name="7" queryTableFieldId="7" dataDxfId="78" dataCellStyle="Финансовый"/>
    <tableColumn id="8" xr3:uid="{3A30ACC9-9C1F-4DDE-B6D4-274E27DD3664}" uniqueName="8" name="8" queryTableFieldId="8" dataDxfId="77"/>
    <tableColumn id="9" xr3:uid="{C72BEEDD-A656-42A9-BFBA-8C91A38CA41D}" uniqueName="9" name="9" queryTableFieldId="9" dataDxfId="76"/>
    <tableColumn id="10" xr3:uid="{FA489D1A-BD4C-4A40-840B-54A23E6FE1B6}" uniqueName="10" name="10" queryTableFieldId="10" dataDxfId="75"/>
    <tableColumn id="11" xr3:uid="{AF649117-E4FD-47F6-94D2-7E0D741B1108}" uniqueName="11" name="11" queryTableFieldId="11" dataDxfId="74"/>
    <tableColumn id="12" xr3:uid="{6E4EE260-E04D-4ADC-869F-B8FD8CF3742C}" uniqueName="12" name="12" queryTableFieldId="12" dataDxfId="73"/>
    <tableColumn id="13" xr3:uid="{23E2C403-EC82-4A11-B21E-3CDF9FF92735}" uniqueName="13" name="13" queryTableFieldId="13" dataDxfId="72"/>
    <tableColumn id="14" xr3:uid="{B90B6DA9-B0EC-4D7D-BF3D-9FA1954332A4}" uniqueName="14" name="14" queryTableFieldId="14" dataDxfId="71"/>
    <tableColumn id="15" xr3:uid="{A0754BD4-1808-4F1C-9BE0-CD5590CD3151}" uniqueName="15" name="15" queryTableFieldId="15" dataDxfId="70"/>
    <tableColumn id="16" xr3:uid="{6FF623EF-0A86-4754-A87A-F356B7ACBF2D}" uniqueName="16" name="16" queryTableFieldId="16" dataDxfId="69"/>
    <tableColumn id="17" xr3:uid="{9158F7F1-6BFE-4F93-94CE-81ABA288FDEA}" uniqueName="17" name="17" queryTableFieldId="17" dataDxfId="68"/>
    <tableColumn id="18" xr3:uid="{420AF06A-A8C7-4FCD-A2F3-090E8B2B7AC3}" uniqueName="18" name="18" queryTableFieldId="18" dataDxfId="67"/>
    <tableColumn id="19" xr3:uid="{4274A0A0-56D1-4E95-B283-1EDFBA256114}" uniqueName="19" name="19" queryTableFieldId="19" dataDxfId="66"/>
    <tableColumn id="20" xr3:uid="{B6F87092-021B-4BDE-BCDE-9F7C6B8F1E36}" uniqueName="20" name="20" queryTableFieldId="20" dataDxfId="65"/>
    <tableColumn id="21" xr3:uid="{70453219-26CE-401C-A798-3E6AC931E0FC}" uniqueName="21" name="21" queryTableFieldId="21" dataDxfId="64"/>
    <tableColumn id="22" xr3:uid="{3F4116D9-77AB-43A0-BEF2-5B20A0F3707E}" uniqueName="22" name="22" queryTableFieldId="22" dataDxfId="63"/>
    <tableColumn id="23" xr3:uid="{0B9465B3-5A11-4241-A0D8-736A6CF17BC3}" uniqueName="23" name="23" queryTableFieldId="23" dataDxfId="62"/>
    <tableColumn id="24" xr3:uid="{A92E1B7E-9131-4031-9E80-42D518598C99}" uniqueName="24" name="24" queryTableFieldId="24" dataDxfId="61"/>
    <tableColumn id="25" xr3:uid="{B6EC9D45-01EE-4BF8-A9AB-678B33FC1ACE}" uniqueName="25" name="25" queryTableFieldId="25" dataDxfId="60"/>
    <tableColumn id="26" xr3:uid="{FB1E0E35-5389-4522-9C98-B22D7ACA016A}" uniqueName="26" name="26" queryTableFieldId="26" dataDxfId="59" dataCellStyle="Финансовый"/>
    <tableColumn id="28" xr3:uid="{D9BC4018-E21F-4E28-84E5-51AC4A014223}" uniqueName="28" name="27" queryTableFieldId="28" dataDxfId="58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34A19-259B-40D5-9FFB-3CD1C5FF657E}" name="ACT" displayName="ACT" ref="A1:AC116" tableType="queryTable" totalsRowShown="0" headerRowDxfId="57" dataDxfId="56">
  <autoFilter ref="A1:AC116" xr:uid="{5B834A19-259B-40D5-9FFB-3CD1C5FF657E}"/>
  <tableColumns count="29">
    <tableColumn id="1" xr3:uid="{8E831ADF-11AB-4A8D-873B-AA7A47AB52AF}" uniqueName="1" name="№" queryTableFieldId="50" dataDxfId="55"/>
    <tableColumn id="2" xr3:uid="{EE1885CF-81B0-4A89-B4DE-65A0E48265F9}" uniqueName="2" name="Container No/_x000a_№ Контейнера" queryTableFieldId="51" dataDxfId="54"/>
    <tableColumn id="42" xr3:uid="{C82B05DB-D11B-4987-95C0-26F1B6EEE9B7}" uniqueName="42" name="Container Type/ _x000a_Тип контейнера" queryTableFieldId="42" dataDxfId="53"/>
    <tableColumn id="3" xr3:uid="{0B3CD9AD-DB0D-498A-9A05-3764D46F15B2}" uniqueName="3" name="Date of Dispatch/ _x000a_Дата отгрузки" queryTableFieldId="52" dataDxfId="52"/>
    <tableColumn id="4" xr3:uid="{D0731289-F468-46CD-A3E0-3EFC8B55D9D8}" uniqueName="4" name="Name of goods/ _x000a_Наименование              товара" queryTableFieldId="84"/>
    <tableColumn id="5" xr3:uid="{9EAFCB74-CF1F-4B36-BCCE-7A57DFBA91CE}" uniqueName="5" name="Supplier Invoice No/                          № Инвойса Поставщика" queryTableFieldId="85" dataDxfId="51"/>
    <tableColumn id="6" xr3:uid="{ABB996E3-C143-4015-9FA1-6B6F60FE0331}" uniqueName="6" name="Supplier/ Поставщик" queryTableFieldId="55" dataDxfId="50"/>
    <tableColumn id="7" xr3:uid="{82161375-A429-4D5A-85E6-149563CB1893}" uniqueName="7" name="CBM" queryTableFieldId="56" dataDxfId="49"/>
    <tableColumn id="8" xr3:uid="{D3A0A2AF-6662-483F-B804-3506DD13CD2C}" uniqueName="8" name="Gross weight, kg/ Вес брутто, кг" queryTableFieldId="57" dataDxfId="48"/>
    <tableColumn id="9" xr3:uid="{7792B197-C7B2-4696-9C42-D3DE23D8C14F}" uniqueName="9" name="Delivery terms / Условия поставки" queryTableFieldId="58" dataDxfId="47"/>
    <tableColumn id="10" xr3:uid="{49720C86-257D-43A9-A872-EDE0A611E3B0}" uniqueName="10" name="Column11" queryTableFieldId="59" dataDxfId="46"/>
    <tableColumn id="11" xr3:uid="{C433A2D5-41AB-47FB-9A13-43794B9F2307}" uniqueName="11" name="Container total CBM" queryTableFieldId="60" dataDxfId="45"/>
    <tableColumn id="12" xr3:uid="{A93C31E2-20FD-431D-BBFF-A8D34991530C}" uniqueName="12" name="FTL inland freight cost per Invoice Appendix/ Стоимость внутренней наземной перевозки за инвойс Приложение                     KRW" queryTableFieldId="61" dataDxfId="44"/>
    <tableColumn id="13" xr3:uid="{265569C5-D265-4EE7-A8D0-E8F578200A1C}" uniqueName="13" name="Consolidation Work, Loading, Unloading/ Работы по консолидации, Погрузка, Разгрузка (Rate/Тариф - 8000 per CBM)                   KRW" queryTableFieldId="62" dataDxfId="43"/>
    <tableColumn id="14" xr3:uid="{1AF1A389-2532-4CBD-BFFF-BF61162BDFCD}" uniqueName="14" name="Shoring, Banding, Sealing, Handling/ Крепление, Перевязка, Опечатование, Обработка_x000a_KRW" queryTableFieldId="63" dataDxfId="42"/>
    <tableColumn id="15" xr3:uid="{8565B2BC-1E76-481A-B87F-8DF6AE5BE6DA}" uniqueName="15" name="Documents Work/ Сбор за подготовку документов_x000a_KRW" queryTableFieldId="64" dataDxfId="41"/>
    <tableColumn id="16" xr3:uid="{EDC32DB2-AA88-4632-868D-E800DCF2AD21}" uniqueName="16" name="THC/ Терминальная обработка_x000a_KRW" queryTableFieldId="65" dataDxfId="40"/>
    <tableColumn id="17" xr3:uid="{7979175A-8031-437D-9E21-9C213D1D2E14}" uniqueName="17" name="Wharfage/ Портовая пошлина_x000a_KRW" queryTableFieldId="66" dataDxfId="39"/>
    <tableColumn id="18" xr3:uid="{2282DD93-F0A2-45A6-92C4-663BD90BC13C}" uniqueName="18" name="TRUCKING CHARGE" queryTableFieldId="67" dataDxfId="38"/>
    <tableColumn id="19" xr3:uid="{3D338477-CA3E-4A98-8AE0-C5C41BB0B161}" uniqueName="19" name="FCL Inland freight cost (Consolidation center-Shipment Port)/ Сборы за внутреннюю наземную перевозку полных контейнеров (Консолидационный центр-Порт отгрузки)_x000a_KRW" queryTableFieldId="68" dataDxfId="37"/>
    <tableColumn id="20" xr3:uid="{F77BB9CD-6B54-4F2A-8EB0-4DC116A64104}" uniqueName="20" name="Special Wooden Shoring / Специальное деревянное крепление" queryTableFieldId="69" dataDxfId="36"/>
    <tableColumn id="21" xr3:uid="{60643051-07DC-4A02-A5B9-810D0FF04A0E}" uniqueName="21" name="Total amount/ Общая стоимость KRW (10+11+12+13+14+15+16)" queryTableFieldId="70" dataDxfId="35"/>
    <tableColumn id="22" xr3:uid="{327354D1-31B6-4F98-BB75-3A31DB43BCF5}" uniqueName="22" name="Total amount/ Общая стоимость (17*exchange rate/ обменный курс)_x000a_ USD" queryTableFieldId="71" dataDxfId="34"/>
    <tableColumn id="23" xr3:uid="{5B7655C4-A2F3-446A-A1DF-B1CE49E32FDA}" uniqueName="23" name="Column24" queryTableFieldId="72" dataDxfId="33"/>
    <tableColumn id="24" xr3:uid="{FC6FB029-693F-4C81-A5AF-E78C97E7D72E}" uniqueName="24" name="Column25" queryTableFieldId="73" dataDxfId="32"/>
    <tableColumn id="25" xr3:uid="{11625087-B798-4DD8-A068-89200E922B3A}" uniqueName="25" name="Column26" queryTableFieldId="74" dataDxfId="31"/>
    <tableColumn id="26" xr3:uid="{0AC682C0-9761-4951-9E08-50335FAFD4E0}" uniqueName="26" name="Column27" queryTableFieldId="75"/>
    <tableColumn id="27" xr3:uid="{57763EC9-3BC2-4659-BDD2-6242E4C301EB}" uniqueName="27" name="Column28" queryTableFieldId="76"/>
    <tableColumn id="28" xr3:uid="{CEFB31CD-74DF-4831-8B29-43B729D82096}" uniqueName="28" name="INVOICE SUMM" queryTableFieldId="7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B1D09C-DEA4-4C6B-9A0D-3FD322FFB58E}" name="Шаблон_Формулы" displayName="Шаблон_Формулы" ref="A2:AA154" totalsRowShown="0" headerRowDxfId="30" dataDxfId="28" headerRowBorderDxfId="29" tableBorderDxfId="27">
  <autoFilter ref="A2:AA154" xr:uid="{12B1D09C-DEA4-4C6B-9A0D-3FD322FFB5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</autoFilter>
  <tableColumns count="27">
    <tableColumn id="1" xr3:uid="{EECC832E-C76E-4694-A5A3-64DC16DFA877}" name="1" dataDxfId="26"/>
    <tableColumn id="2" xr3:uid="{80163841-85DF-45AF-B7E7-9E8BAC067856}" name="2" dataDxfId="25">
      <calculatedColumnFormula>_xlfn.XLOOKUP($A3,#REF!,#REF!,"",0,1)</calculatedColumnFormula>
    </tableColumn>
    <tableColumn id="3" xr3:uid="{CA85C000-838A-439D-9211-E21F6CC17707}" name="3" dataDxfId="24">
      <calculatedColumnFormula>_xlfn.XLOOKUP($A3,#REF!,#REF!,"",0,1)</calculatedColumnFormula>
    </tableColumn>
    <tableColumn id="4" xr3:uid="{7431317B-AE29-4CFE-AC62-FA82612ACE82}" name="4" dataDxfId="23">
      <calculatedColumnFormula>_xlfn.XLOOKUP($A3,#REF!,#REF!,"",0,1)</calculatedColumnFormula>
    </tableColumn>
    <tableColumn id="5" xr3:uid="{3EF1956F-4D3B-46B0-9F66-B38A17048A4F}" name="5" dataDxfId="22">
      <calculatedColumnFormula>_xlfn.XLOOKUP($A3,#REF!,#REF!,"",0,1)</calculatedColumnFormula>
    </tableColumn>
    <tableColumn id="6" xr3:uid="{4432DDD8-C665-4F6B-950E-1927A7F7118D}" name="6" dataDxfId="21">
      <calculatedColumnFormula>_xlfn.XLOOKUP($A3,#REF!,#REF!,"",1)</calculatedColumnFormula>
    </tableColumn>
    <tableColumn id="7" xr3:uid="{1CA7C4FD-641C-450D-8DD1-22F160E6F34B}" name="7" dataDxfId="20" dataCellStyle="Финансовый">
      <calculatedColumnFormula>_xlfn.XLOOKUP($A3,#REF!,#REF!,"",0,1)</calculatedColumnFormula>
    </tableColumn>
    <tableColumn id="8" xr3:uid="{FB63AE05-E41D-4842-892A-D7562D79385B}" name="8" dataDxfId="19"/>
    <tableColumn id="9" xr3:uid="{370A2487-A477-458B-A444-1301F9EA66A1}" name="9" dataDxfId="18">
      <calculatedColumnFormula>_xlfn.XLOOKUP($A3,#REF!,#REF!,"",0,1)</calculatedColumnFormula>
    </tableColumn>
    <tableColumn id="10" xr3:uid="{038E84C5-C7A9-45FB-A8DB-708203D4A03D}" name="10" dataDxfId="17">
      <calculatedColumnFormula>_xlfn.XLOOKUP($A3,#REF!,#REF!,"",0,1)</calculatedColumnFormula>
    </tableColumn>
    <tableColumn id="11" xr3:uid="{05F76E4A-38AE-46E2-8F02-34F67092A4B1}" name="11" dataDxfId="16">
      <calculatedColumnFormula>_xlfn.XLOOKUP($A3,#REF!,#REF!,"",0,1)</calculatedColumnFormula>
    </tableColumn>
    <tableColumn id="12" xr3:uid="{6EB1FA54-9C9E-4ED9-9339-A4C8D734A09D}" name="12" dataDxfId="15">
      <calculatedColumnFormula>_xlfn.XLOOKUP($A3,#REF!,#REF!,"",0,1)</calculatedColumnFormula>
    </tableColumn>
    <tableColumn id="13" xr3:uid="{9FA20739-C1E5-4B59-862B-C413F4AA858F}" name="13" dataDxfId="14">
      <calculatedColumnFormula>_xlfn.XLOOKUP($A3,#REF!,#REF!,"",0,1)</calculatedColumnFormula>
    </tableColumn>
    <tableColumn id="14" xr3:uid="{63FEFC4A-B1D9-4BB8-921C-7581032AAC45}" name="14" dataDxfId="13">
      <calculatedColumnFormula>_xlfn.XLOOKUP($A3,#REF!,#REF!,"",0,1)</calculatedColumnFormula>
    </tableColumn>
    <tableColumn id="15" xr3:uid="{BD36124D-AAE6-4A53-9CB3-E7D2F4231470}" name="15" dataDxfId="12">
      <calculatedColumnFormula>_xlfn.XLOOKUP($A3,#REF!,#REF!,"",0,1)</calculatedColumnFormula>
    </tableColumn>
    <tableColumn id="16" xr3:uid="{36264D1D-FCD0-4BF2-8E96-ED5355F2E054}" name="16" dataDxfId="11">
      <calculatedColumnFormula>_xlfn.XLOOKUP($A3,#REF!,#REF!,"",0,1)</calculatedColumnFormula>
    </tableColumn>
    <tableColumn id="17" xr3:uid="{05E049CF-B3D9-4A72-AE3B-724164A608DA}" name="17" dataDxfId="10">
      <calculatedColumnFormula>_xlfn.XLOOKUP($A3,#REF!,ACT[Container Type/ 
Тип контейнера],"",0,1)</calculatedColumnFormula>
    </tableColumn>
    <tableColumn id="18" xr3:uid="{9935278D-7A2D-4049-A0CC-C0643FEA6C21}" name="18" dataDxfId="9">
      <calculatedColumnFormula>_xlfn.XLOOKUP($A3,#REF!,#REF!,0,0,1)</calculatedColumnFormula>
    </tableColumn>
    <tableColumn id="19" xr3:uid="{5844F963-A9CB-426F-98B8-FDB41E611CD6}" name="19" dataDxfId="8">
      <calculatedColumnFormula>Шаблон_Формулы!$T3-Шаблон_Формулы!$R3</calculatedColumnFormula>
    </tableColumn>
    <tableColumn id="20" xr3:uid="{E887A808-FF17-4878-B535-FBD80D39880E}" name="20" dataDxfId="7">
      <calculatedColumnFormula>_xlfn.XLOOKUP($A3,#REF!,#REF!,0,0,1)</calculatedColumnFormula>
    </tableColumn>
    <tableColumn id="21" xr3:uid="{78C244F9-7E9E-47FD-A78C-A5D4C2D79272}" name="21" dataDxfId="6">
      <calculatedColumnFormula>_xlfn.SINGLE(_xlfn.XLOOKUP("МАКС",#REF!,#REF!,,0,1))</calculatedColumnFormula>
    </tableColumn>
    <tableColumn id="22" xr3:uid="{5CFDFB8E-AC8A-4DC4-A9D3-48ACF7A0E0EB}" name="22" dataDxfId="5">
      <calculatedColumnFormula>_xlfn.XLOOKUP("МАКС",#REF!,#REF!,,0,1)</calculatedColumnFormula>
    </tableColumn>
    <tableColumn id="23" xr3:uid="{4A9FB422-E372-4E96-BB5F-BD72EFD53781}" name="23" dataDxfId="4">
      <calculatedColumnFormula>Шаблон_Формулы!$T3*Шаблон_Формулы!$V3</calculatedColumnFormula>
    </tableColumn>
    <tableColumn id="24" xr3:uid="{B4293233-93AA-4248-BF42-1CAFF7BDA958}" name="24" dataDxfId="3"/>
    <tableColumn id="25" xr3:uid="{F8AC5341-935E-486E-8BF5-585E1EFE217E}" name="25" dataDxfId="2">
      <calculatedColumnFormula>Шаблон_Формулы!$W3+Шаблон_Формулы!$X3</calculatedColumnFormula>
    </tableColumn>
    <tableColumn id="26" xr3:uid="{6C80E714-6993-4343-A4B1-A83F3EDBB997}" name="26" dataDxfId="1">
      <calculatedColumnFormula>_xlfn.XLOOKUP($A3,#REF!,#REF!,"",0,1)</calculatedColumnFormula>
    </tableColumn>
    <tableColumn id="27" xr3:uid="{EFF6D157-2699-4CC6-BCD8-61A1E103CD4E}" name="27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0D05-AABC-40A7-A0B8-F378B6D6A099}">
  <sheetPr codeName="Лист1">
    <tabColor rgb="FF2F93A7"/>
  </sheetPr>
  <dimension ref="A1:AA78"/>
  <sheetViews>
    <sheetView tabSelected="1" zoomScale="70" zoomScaleNormal="70" workbookViewId="0">
      <selection activeCell="A14" sqref="A14"/>
    </sheetView>
  </sheetViews>
  <sheetFormatPr defaultRowHeight="14.4"/>
  <cols>
    <col min="1" max="1" width="7.33203125" bestFit="1" customWidth="1"/>
    <col min="2" max="2" width="16.109375" customWidth="1"/>
    <col min="3" max="3" width="11" customWidth="1"/>
    <col min="4" max="4" width="12.6640625" customWidth="1"/>
    <col min="5" max="5" width="13.44140625" customWidth="1"/>
    <col min="6" max="6" width="19" customWidth="1"/>
    <col min="7" max="7" width="21.33203125" customWidth="1"/>
    <col min="8" max="8" width="7.44140625" bestFit="1" customWidth="1"/>
    <col min="9" max="9" width="19.44140625" customWidth="1"/>
    <col min="10" max="10" width="9.33203125" customWidth="1"/>
    <col min="11" max="11" width="8.88671875" customWidth="1"/>
    <col min="12" max="12" width="15.21875" customWidth="1"/>
    <col min="13" max="13" width="16" customWidth="1"/>
    <col min="14" max="14" width="16.33203125" customWidth="1"/>
    <col min="15" max="15" width="19.33203125" customWidth="1"/>
    <col min="16" max="16" width="21" customWidth="1"/>
    <col min="17" max="17" width="17.5546875" customWidth="1"/>
    <col min="18" max="18" width="13.33203125" customWidth="1"/>
    <col min="19" max="19" width="18.5546875" customWidth="1"/>
    <col min="20" max="20" width="14" customWidth="1"/>
    <col min="21" max="21" width="13" customWidth="1"/>
    <col min="22" max="22" width="16.6640625" customWidth="1"/>
    <col min="23" max="23" width="28.109375" customWidth="1"/>
    <col min="24" max="24" width="17.88671875" customWidth="1"/>
    <col min="25" max="25" width="23.5546875" customWidth="1"/>
    <col min="26" max="26" width="21" customWidth="1"/>
    <col min="27" max="27" width="17.6640625" style="3" customWidth="1"/>
  </cols>
  <sheetData>
    <row r="1" spans="1:27" ht="61.2">
      <c r="A1" s="69">
        <v>489</v>
      </c>
      <c r="B1" s="69"/>
      <c r="C1" s="69"/>
      <c r="D1" s="70" t="str">
        <f>AA5</f>
        <v>482 P LCL</v>
      </c>
      <c r="E1" s="70"/>
      <c r="F1" s="70"/>
      <c r="G1" s="70"/>
      <c r="H1" s="71" t="s">
        <v>0</v>
      </c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18"/>
      <c r="Z1" s="25"/>
      <c r="AA1" s="25"/>
    </row>
    <row r="2" spans="1:27">
      <c r="A2" s="16" t="s">
        <v>22</v>
      </c>
      <c r="B2" s="16" t="s">
        <v>23</v>
      </c>
      <c r="C2" s="16" t="s">
        <v>24</v>
      </c>
      <c r="D2" s="16" t="s">
        <v>25</v>
      </c>
      <c r="E2" s="16" t="s">
        <v>26</v>
      </c>
      <c r="F2" s="16" t="s">
        <v>27</v>
      </c>
      <c r="G2" s="16" t="s">
        <v>28</v>
      </c>
      <c r="H2" s="16" t="s">
        <v>29</v>
      </c>
      <c r="I2" s="16" t="s">
        <v>30</v>
      </c>
      <c r="J2" s="16" t="s">
        <v>31</v>
      </c>
      <c r="K2" s="16" t="s">
        <v>32</v>
      </c>
      <c r="L2" s="16" t="s">
        <v>33</v>
      </c>
      <c r="M2" s="16" t="s">
        <v>34</v>
      </c>
      <c r="N2" s="16" t="s">
        <v>35</v>
      </c>
      <c r="O2" s="16" t="s">
        <v>36</v>
      </c>
      <c r="P2" s="16" t="s">
        <v>37</v>
      </c>
      <c r="Q2" s="16" t="s">
        <v>38</v>
      </c>
      <c r="R2" s="16" t="s">
        <v>39</v>
      </c>
      <c r="S2" s="16" t="s">
        <v>40</v>
      </c>
      <c r="T2" s="16" t="s">
        <v>41</v>
      </c>
      <c r="U2" s="16" t="s">
        <v>42</v>
      </c>
      <c r="V2" s="16" t="s">
        <v>43</v>
      </c>
      <c r="W2" s="16" t="s">
        <v>44</v>
      </c>
      <c r="X2" s="16" t="s">
        <v>45</v>
      </c>
      <c r="Y2" s="16" t="s">
        <v>46</v>
      </c>
      <c r="Z2" s="16" t="s">
        <v>47</v>
      </c>
      <c r="AA2" s="16" t="s">
        <v>48</v>
      </c>
    </row>
    <row r="3" spans="1:27" s="19" customFormat="1" ht="83.4" customHeight="1">
      <c r="A3" s="30" t="s">
        <v>1</v>
      </c>
      <c r="B3" s="31" t="s">
        <v>104</v>
      </c>
      <c r="C3" s="31" t="s">
        <v>2</v>
      </c>
      <c r="D3" s="31" t="s">
        <v>105</v>
      </c>
      <c r="E3" s="32" t="s">
        <v>106</v>
      </c>
      <c r="F3" s="31" t="s">
        <v>3</v>
      </c>
      <c r="G3" s="33" t="s">
        <v>107</v>
      </c>
      <c r="H3" s="31" t="s">
        <v>54</v>
      </c>
      <c r="I3" s="34" t="s">
        <v>108</v>
      </c>
      <c r="J3" s="34" t="s">
        <v>109</v>
      </c>
      <c r="K3" s="31" t="s">
        <v>58</v>
      </c>
      <c r="L3" s="34" t="s">
        <v>110</v>
      </c>
      <c r="M3" s="34" t="s">
        <v>111</v>
      </c>
      <c r="N3" s="34" t="s">
        <v>112</v>
      </c>
      <c r="O3" s="34" t="s">
        <v>113</v>
      </c>
      <c r="P3" s="34" t="s">
        <v>114</v>
      </c>
      <c r="Q3" s="34" t="s">
        <v>115</v>
      </c>
      <c r="R3" s="34" t="s">
        <v>116</v>
      </c>
      <c r="S3" s="34" t="s">
        <v>117</v>
      </c>
      <c r="T3" s="34" t="s">
        <v>118</v>
      </c>
      <c r="U3" s="32" t="s">
        <v>119</v>
      </c>
      <c r="V3" s="34" t="s">
        <v>120</v>
      </c>
      <c r="W3" s="34" t="s">
        <v>121</v>
      </c>
      <c r="X3" s="32" t="s">
        <v>122</v>
      </c>
      <c r="Y3" s="34" t="s">
        <v>123</v>
      </c>
      <c r="Z3" s="33" t="s">
        <v>124</v>
      </c>
      <c r="AA3" s="30" t="s">
        <v>125</v>
      </c>
    </row>
    <row r="4" spans="1:27">
      <c r="A4" s="30" t="s">
        <v>4</v>
      </c>
      <c r="B4" s="31"/>
      <c r="C4" s="31"/>
      <c r="D4" s="31"/>
      <c r="E4" s="32"/>
      <c r="F4" s="31"/>
      <c r="G4" s="33"/>
      <c r="H4" s="31"/>
      <c r="I4" s="34"/>
      <c r="J4" s="34"/>
      <c r="K4" s="31"/>
      <c r="L4" s="34"/>
      <c r="M4" s="34"/>
      <c r="N4" s="34"/>
      <c r="O4" s="34"/>
      <c r="P4" s="34"/>
      <c r="Q4" s="34"/>
      <c r="R4" s="34"/>
      <c r="S4" s="34"/>
      <c r="T4" s="34"/>
      <c r="U4" s="32"/>
      <c r="V4" s="34"/>
      <c r="W4" s="34">
        <f>SUM(W5:W78)</f>
        <v>49076.740000000027</v>
      </c>
      <c r="X4" s="32">
        <v>45245</v>
      </c>
      <c r="Y4" s="34">
        <v>12289.98</v>
      </c>
      <c r="Z4" s="33">
        <f>SUM(Z5:Z78)</f>
        <v>603152153.06520009</v>
      </c>
      <c r="AA4" s="30"/>
    </row>
    <row r="5" spans="1:27" ht="24">
      <c r="A5" s="30">
        <v>1</v>
      </c>
      <c r="B5" s="31" t="s">
        <v>304</v>
      </c>
      <c r="C5" s="31" t="s">
        <v>126</v>
      </c>
      <c r="D5" s="31" t="s">
        <v>21</v>
      </c>
      <c r="E5" s="32">
        <v>45200</v>
      </c>
      <c r="F5" s="31" t="s">
        <v>330</v>
      </c>
      <c r="G5" s="33" t="s">
        <v>331</v>
      </c>
      <c r="H5" s="31">
        <v>25.206</v>
      </c>
      <c r="I5" s="34">
        <v>14337.4</v>
      </c>
      <c r="J5" s="34" t="s">
        <v>78</v>
      </c>
      <c r="K5" s="35">
        <v>37.146000000000001</v>
      </c>
      <c r="L5" s="34">
        <v>952000</v>
      </c>
      <c r="M5" s="34">
        <v>213998.94</v>
      </c>
      <c r="N5" s="34">
        <v>131506.02487481828</v>
      </c>
      <c r="O5" s="34">
        <v>33928.282991439184</v>
      </c>
      <c r="P5" s="34">
        <v>125806.07333225649</v>
      </c>
      <c r="Q5" s="34">
        <v>6174.9475044419314</v>
      </c>
      <c r="R5" s="34">
        <v>0</v>
      </c>
      <c r="S5" s="34">
        <v>190337.66758197383</v>
      </c>
      <c r="T5" s="34">
        <v>0</v>
      </c>
      <c r="U5" s="35">
        <v>0</v>
      </c>
      <c r="V5" s="34">
        <v>1653751.9362849295</v>
      </c>
      <c r="W5" s="34">
        <v>1224.3800000000001</v>
      </c>
      <c r="X5" s="32">
        <v>45245</v>
      </c>
      <c r="Y5" s="34">
        <v>12289.98</v>
      </c>
      <c r="Z5" s="33">
        <f>Шаблон_Формулы_2[[#This Row],[23]]*Шаблон_Формулы_2[[#This Row],[25]]</f>
        <v>15047605.712400001</v>
      </c>
      <c r="AA5" s="30" t="s">
        <v>487</v>
      </c>
    </row>
    <row r="6" spans="1:27" ht="24">
      <c r="A6" s="30">
        <v>2</v>
      </c>
      <c r="B6" s="31" t="s">
        <v>304</v>
      </c>
      <c r="C6" s="31" t="s">
        <v>126</v>
      </c>
      <c r="D6" s="31" t="s">
        <v>21</v>
      </c>
      <c r="E6" s="32">
        <v>45200</v>
      </c>
      <c r="F6" s="31" t="s">
        <v>332</v>
      </c>
      <c r="G6" s="33" t="s">
        <v>331</v>
      </c>
      <c r="H6" s="31">
        <v>11.94</v>
      </c>
      <c r="I6" s="34">
        <v>7482.6</v>
      </c>
      <c r="J6" s="34" t="s">
        <v>78</v>
      </c>
      <c r="K6" s="35">
        <v>37.146000000000001</v>
      </c>
      <c r="L6" s="34">
        <v>487000</v>
      </c>
      <c r="M6" s="34">
        <v>101370.59999999999</v>
      </c>
      <c r="N6" s="34">
        <v>62293.975125181707</v>
      </c>
      <c r="O6" s="34">
        <v>16071.717008560812</v>
      </c>
      <c r="P6" s="34">
        <v>59593.926667743493</v>
      </c>
      <c r="Q6" s="34">
        <v>2925.0524955580677</v>
      </c>
      <c r="R6" s="34">
        <v>0</v>
      </c>
      <c r="S6" s="34">
        <v>90162.332418026155</v>
      </c>
      <c r="T6" s="34">
        <v>0</v>
      </c>
      <c r="U6" s="35">
        <v>0</v>
      </c>
      <c r="V6" s="34">
        <v>819417.60371507017</v>
      </c>
      <c r="W6" s="34">
        <v>606.66999999999996</v>
      </c>
      <c r="X6" s="32">
        <v>45245</v>
      </c>
      <c r="Y6" s="34">
        <v>12289.98</v>
      </c>
      <c r="Z6" s="33">
        <f>Шаблон_Формулы_2[[#This Row],[23]]*Шаблон_Формулы_2[[#This Row],[25]]</f>
        <v>7455962.1665999992</v>
      </c>
      <c r="AA6" s="30" t="s">
        <v>487</v>
      </c>
    </row>
    <row r="7" spans="1:27" ht="24">
      <c r="A7" s="30">
        <v>3</v>
      </c>
      <c r="B7" s="31" t="s">
        <v>305</v>
      </c>
      <c r="C7" s="31" t="s">
        <v>126</v>
      </c>
      <c r="D7" s="31" t="s">
        <v>21</v>
      </c>
      <c r="E7" s="32">
        <v>45200</v>
      </c>
      <c r="F7" s="31" t="s">
        <v>333</v>
      </c>
      <c r="G7" s="33" t="s">
        <v>331</v>
      </c>
      <c r="H7" s="31">
        <v>37.146000000000001</v>
      </c>
      <c r="I7" s="34">
        <v>23279.200000000001</v>
      </c>
      <c r="J7" s="34" t="s">
        <v>78</v>
      </c>
      <c r="K7" s="35">
        <v>37.146000000000001</v>
      </c>
      <c r="L7" s="34">
        <v>1421000</v>
      </c>
      <c r="M7" s="34">
        <v>315369.53999999998</v>
      </c>
      <c r="N7" s="34">
        <v>193800</v>
      </c>
      <c r="O7" s="34">
        <v>50000</v>
      </c>
      <c r="P7" s="34">
        <v>185400</v>
      </c>
      <c r="Q7" s="34">
        <v>9100</v>
      </c>
      <c r="R7" s="34">
        <v>0</v>
      </c>
      <c r="S7" s="34">
        <v>280500</v>
      </c>
      <c r="T7" s="34">
        <v>0</v>
      </c>
      <c r="U7" s="35">
        <v>0</v>
      </c>
      <c r="V7" s="34">
        <v>2455169.54</v>
      </c>
      <c r="W7" s="34">
        <v>1817.71</v>
      </c>
      <c r="X7" s="32">
        <v>45245</v>
      </c>
      <c r="Y7" s="34">
        <v>12289.98</v>
      </c>
      <c r="Z7" s="33">
        <f>Шаблон_Формулы_2[[#This Row],[23]]*Шаблон_Формулы_2[[#This Row],[25]]</f>
        <v>22339619.5458</v>
      </c>
      <c r="AA7" s="30" t="s">
        <v>487</v>
      </c>
    </row>
    <row r="8" spans="1:27" ht="24">
      <c r="A8" s="30">
        <v>4</v>
      </c>
      <c r="B8" s="31" t="s">
        <v>306</v>
      </c>
      <c r="C8" s="31" t="s">
        <v>126</v>
      </c>
      <c r="D8" s="31" t="s">
        <v>21</v>
      </c>
      <c r="E8" s="32">
        <v>45200</v>
      </c>
      <c r="F8" s="31" t="s">
        <v>334</v>
      </c>
      <c r="G8" s="33" t="s">
        <v>331</v>
      </c>
      <c r="H8" s="31">
        <v>37.146000000000001</v>
      </c>
      <c r="I8" s="34">
        <v>23279.200000000001</v>
      </c>
      <c r="J8" s="34" t="s">
        <v>78</v>
      </c>
      <c r="K8" s="35">
        <v>37.146000000000001</v>
      </c>
      <c r="L8" s="34">
        <v>1421000</v>
      </c>
      <c r="M8" s="34">
        <v>315369.53999999998</v>
      </c>
      <c r="N8" s="34">
        <v>193800</v>
      </c>
      <c r="O8" s="34">
        <v>50000</v>
      </c>
      <c r="P8" s="34">
        <v>185400</v>
      </c>
      <c r="Q8" s="34">
        <v>9100</v>
      </c>
      <c r="R8" s="34">
        <v>0</v>
      </c>
      <c r="S8" s="34">
        <v>280500</v>
      </c>
      <c r="T8" s="34">
        <v>0</v>
      </c>
      <c r="U8" s="35">
        <v>0</v>
      </c>
      <c r="V8" s="34">
        <v>2455169.54</v>
      </c>
      <c r="W8" s="34">
        <v>1817.71</v>
      </c>
      <c r="X8" s="32">
        <v>45245</v>
      </c>
      <c r="Y8" s="34">
        <v>12289.98</v>
      </c>
      <c r="Z8" s="33">
        <f>Шаблон_Формулы_2[[#This Row],[23]]*Шаблон_Формулы_2[[#This Row],[25]]</f>
        <v>22339619.5458</v>
      </c>
      <c r="AA8" s="30" t="s">
        <v>487</v>
      </c>
    </row>
    <row r="9" spans="1:27" ht="24">
      <c r="A9" s="30">
        <v>5</v>
      </c>
      <c r="B9" s="31" t="s">
        <v>307</v>
      </c>
      <c r="C9" s="31" t="s">
        <v>126</v>
      </c>
      <c r="D9" s="31" t="s">
        <v>21</v>
      </c>
      <c r="E9" s="32">
        <v>45200</v>
      </c>
      <c r="F9" s="31" t="s">
        <v>335</v>
      </c>
      <c r="G9" s="33" t="s">
        <v>331</v>
      </c>
      <c r="H9" s="31">
        <v>10.613</v>
      </c>
      <c r="I9" s="34">
        <v>6651.2</v>
      </c>
      <c r="J9" s="34" t="s">
        <v>78</v>
      </c>
      <c r="K9" s="35">
        <v>59.725999999999999</v>
      </c>
      <c r="L9" s="34">
        <v>487000</v>
      </c>
      <c r="M9" s="34">
        <v>90104.37</v>
      </c>
      <c r="N9" s="34">
        <v>34437.253457455714</v>
      </c>
      <c r="O9" s="34">
        <v>8884.7403141010618</v>
      </c>
      <c r="P9" s="34">
        <v>32944.617084686732</v>
      </c>
      <c r="Q9" s="34">
        <v>1617.0227371663932</v>
      </c>
      <c r="R9" s="34">
        <v>0</v>
      </c>
      <c r="S9" s="34">
        <v>49843.39316210695</v>
      </c>
      <c r="T9" s="34">
        <v>0</v>
      </c>
      <c r="U9" s="35">
        <v>0</v>
      </c>
      <c r="V9" s="34">
        <v>704831.39675551688</v>
      </c>
      <c r="W9" s="34">
        <v>521.83000000000004</v>
      </c>
      <c r="X9" s="32">
        <v>45245</v>
      </c>
      <c r="Y9" s="34">
        <v>12289.98</v>
      </c>
      <c r="Z9" s="33">
        <f>Шаблон_Формулы_2[[#This Row],[23]]*Шаблон_Формулы_2[[#This Row],[25]]</f>
        <v>6413280.2634000005</v>
      </c>
      <c r="AA9" s="30" t="s">
        <v>487</v>
      </c>
    </row>
    <row r="10" spans="1:27">
      <c r="A10" s="30">
        <v>6</v>
      </c>
      <c r="B10" s="31" t="s">
        <v>307</v>
      </c>
      <c r="C10" s="31" t="s">
        <v>126</v>
      </c>
      <c r="D10" s="31" t="s">
        <v>21</v>
      </c>
      <c r="E10" s="32">
        <v>45200</v>
      </c>
      <c r="F10" s="31" t="s">
        <v>336</v>
      </c>
      <c r="G10" s="33" t="s">
        <v>337</v>
      </c>
      <c r="H10" s="31">
        <v>34.527999999999999</v>
      </c>
      <c r="I10" s="34">
        <v>7744</v>
      </c>
      <c r="J10" s="34" t="s">
        <v>78</v>
      </c>
      <c r="K10" s="35">
        <v>59.725999999999999</v>
      </c>
      <c r="L10" s="34">
        <v>624000</v>
      </c>
      <c r="M10" s="34">
        <v>293142.71999999997</v>
      </c>
      <c r="N10" s="34">
        <v>112037.07598031007</v>
      </c>
      <c r="O10" s="34">
        <v>28905.334360245117</v>
      </c>
      <c r="P10" s="34">
        <v>107180.97980778888</v>
      </c>
      <c r="Q10" s="34">
        <v>5260.7708535646116</v>
      </c>
      <c r="R10" s="34">
        <v>0</v>
      </c>
      <c r="S10" s="34">
        <v>162158.92576097511</v>
      </c>
      <c r="T10" s="34">
        <v>0</v>
      </c>
      <c r="U10" s="35">
        <v>0</v>
      </c>
      <c r="V10" s="34">
        <v>1332685.8067628839</v>
      </c>
      <c r="W10" s="34">
        <v>986.67</v>
      </c>
      <c r="X10" s="32">
        <v>45245</v>
      </c>
      <c r="Y10" s="34">
        <v>12289.98</v>
      </c>
      <c r="Z10" s="33">
        <f>Шаблон_Формулы_2[[#This Row],[23]]*Шаблон_Формулы_2[[#This Row],[25]]</f>
        <v>12126154.566599999</v>
      </c>
      <c r="AA10" s="30" t="s">
        <v>487</v>
      </c>
    </row>
    <row r="11" spans="1:27">
      <c r="A11" s="30">
        <v>7</v>
      </c>
      <c r="B11" s="31" t="s">
        <v>307</v>
      </c>
      <c r="C11" s="31" t="s">
        <v>126</v>
      </c>
      <c r="D11" s="31" t="s">
        <v>21</v>
      </c>
      <c r="E11" s="32">
        <v>45200</v>
      </c>
      <c r="F11" s="31" t="s">
        <v>338</v>
      </c>
      <c r="G11" s="33" t="s">
        <v>337</v>
      </c>
      <c r="H11" s="31">
        <v>7.032</v>
      </c>
      <c r="I11" s="34">
        <v>2475.1999999999998</v>
      </c>
      <c r="J11" s="34" t="s">
        <v>78</v>
      </c>
      <c r="K11" s="35">
        <v>59.725999999999999</v>
      </c>
      <c r="L11" s="34">
        <v>291100</v>
      </c>
      <c r="M11" s="34">
        <v>59701.68</v>
      </c>
      <c r="N11" s="34">
        <v>22817.560191541372</v>
      </c>
      <c r="O11" s="34">
        <v>5886.8834343501994</v>
      </c>
      <c r="P11" s="34">
        <v>21828.563774570539</v>
      </c>
      <c r="Q11" s="34">
        <v>1071.4127850517364</v>
      </c>
      <c r="R11" s="34">
        <v>0</v>
      </c>
      <c r="S11" s="34">
        <v>33025.416066704616</v>
      </c>
      <c r="T11" s="34">
        <v>0</v>
      </c>
      <c r="U11" s="35">
        <v>0</v>
      </c>
      <c r="V11" s="34">
        <v>435431.51625221845</v>
      </c>
      <c r="W11" s="34">
        <v>322.38</v>
      </c>
      <c r="X11" s="32">
        <v>45245</v>
      </c>
      <c r="Y11" s="34">
        <v>12289.98</v>
      </c>
      <c r="Z11" s="33">
        <f>Шаблон_Формулы_2[[#This Row],[23]]*Шаблон_Формулы_2[[#This Row],[25]]</f>
        <v>3962043.7523999996</v>
      </c>
      <c r="AA11" s="30" t="s">
        <v>487</v>
      </c>
    </row>
    <row r="12" spans="1:27">
      <c r="A12" s="30">
        <v>8</v>
      </c>
      <c r="B12" s="31" t="s">
        <v>307</v>
      </c>
      <c r="C12" s="31" t="s">
        <v>126</v>
      </c>
      <c r="D12" s="31" t="s">
        <v>21</v>
      </c>
      <c r="E12" s="32">
        <v>45200</v>
      </c>
      <c r="F12" s="31" t="s">
        <v>339</v>
      </c>
      <c r="G12" s="33" t="s">
        <v>337</v>
      </c>
      <c r="H12" s="31">
        <v>7.5529999999999999</v>
      </c>
      <c r="I12" s="34">
        <v>2065</v>
      </c>
      <c r="J12" s="34" t="s">
        <v>78</v>
      </c>
      <c r="K12" s="35">
        <v>59.725999999999999</v>
      </c>
      <c r="L12" s="34">
        <v>332000</v>
      </c>
      <c r="M12" s="34">
        <v>64124.97</v>
      </c>
      <c r="N12" s="34">
        <v>24508.11037069283</v>
      </c>
      <c r="O12" s="34">
        <v>6323.0418913036201</v>
      </c>
      <c r="P12" s="34">
        <v>23445.839332953823</v>
      </c>
      <c r="Q12" s="34">
        <v>1150.7936242172589</v>
      </c>
      <c r="R12" s="34">
        <v>0</v>
      </c>
      <c r="S12" s="34">
        <v>35472.265010213305</v>
      </c>
      <c r="T12" s="34">
        <v>0</v>
      </c>
      <c r="U12" s="35">
        <v>0</v>
      </c>
      <c r="V12" s="34">
        <v>487025.02022938087</v>
      </c>
      <c r="W12" s="34">
        <v>360.57</v>
      </c>
      <c r="X12" s="32">
        <v>45245</v>
      </c>
      <c r="Y12" s="34">
        <v>12289.98</v>
      </c>
      <c r="Z12" s="33">
        <f>Шаблон_Формулы_2[[#This Row],[23]]*Шаблон_Формулы_2[[#This Row],[25]]</f>
        <v>4431398.0885999994</v>
      </c>
      <c r="AA12" s="30" t="s">
        <v>487</v>
      </c>
    </row>
    <row r="13" spans="1:27">
      <c r="A13" s="30">
        <v>9</v>
      </c>
      <c r="B13" s="31" t="s">
        <v>308</v>
      </c>
      <c r="C13" s="31" t="s">
        <v>126</v>
      </c>
      <c r="D13" s="31" t="s">
        <v>21</v>
      </c>
      <c r="E13" s="32">
        <v>45200</v>
      </c>
      <c r="F13" s="31" t="s">
        <v>340</v>
      </c>
      <c r="G13" s="33" t="s">
        <v>337</v>
      </c>
      <c r="H13" s="31">
        <v>23.738</v>
      </c>
      <c r="I13" s="34">
        <v>2977.92</v>
      </c>
      <c r="J13" s="34" t="s">
        <v>78</v>
      </c>
      <c r="K13" s="35">
        <v>64.736999999999995</v>
      </c>
      <c r="L13" s="34">
        <v>392000</v>
      </c>
      <c r="M13" s="34">
        <v>201535.62</v>
      </c>
      <c r="N13" s="34">
        <v>71063.293016358497</v>
      </c>
      <c r="O13" s="34">
        <v>18334.182924757093</v>
      </c>
      <c r="P13" s="34">
        <v>67983.150284999312</v>
      </c>
      <c r="Q13" s="34">
        <v>3336.8212923057913</v>
      </c>
      <c r="R13" s="34">
        <v>0</v>
      </c>
      <c r="S13" s="34">
        <v>102854.7662078873</v>
      </c>
      <c r="T13" s="34">
        <v>0</v>
      </c>
      <c r="U13" s="35">
        <v>0</v>
      </c>
      <c r="V13" s="34">
        <v>857107.83372630808</v>
      </c>
      <c r="W13" s="34">
        <v>634.57000000000005</v>
      </c>
      <c r="X13" s="32">
        <v>45245</v>
      </c>
      <c r="Y13" s="34">
        <v>12289.98</v>
      </c>
      <c r="Z13" s="33">
        <f>Шаблон_Формулы_2[[#This Row],[23]]*Шаблон_Формулы_2[[#This Row],[25]]</f>
        <v>7798852.6085999999</v>
      </c>
      <c r="AA13" s="30" t="s">
        <v>487</v>
      </c>
    </row>
    <row r="14" spans="1:27">
      <c r="A14" s="30">
        <v>10</v>
      </c>
      <c r="B14" s="31" t="s">
        <v>308</v>
      </c>
      <c r="C14" s="31" t="s">
        <v>126</v>
      </c>
      <c r="D14" s="31" t="s">
        <v>21</v>
      </c>
      <c r="E14" s="32">
        <v>45200</v>
      </c>
      <c r="F14" s="31" t="s">
        <v>341</v>
      </c>
      <c r="G14" s="33" t="s">
        <v>337</v>
      </c>
      <c r="H14" s="31">
        <v>26.975000000000001</v>
      </c>
      <c r="I14" s="34">
        <v>7575</v>
      </c>
      <c r="J14" s="34" t="s">
        <v>78</v>
      </c>
      <c r="K14" s="35">
        <v>64.736999999999995</v>
      </c>
      <c r="L14" s="34">
        <v>392000</v>
      </c>
      <c r="M14" s="34">
        <v>229017.75</v>
      </c>
      <c r="N14" s="34">
        <v>80753.742064043763</v>
      </c>
      <c r="O14" s="34">
        <v>20834.298778133063</v>
      </c>
      <c r="P14" s="34">
        <v>77253.5798693174</v>
      </c>
      <c r="Q14" s="34">
        <v>3791.8423776202176</v>
      </c>
      <c r="R14" s="34">
        <v>0</v>
      </c>
      <c r="S14" s="34">
        <v>116880.4161453265</v>
      </c>
      <c r="T14" s="34">
        <v>0</v>
      </c>
      <c r="U14" s="35">
        <v>0</v>
      </c>
      <c r="V14" s="34">
        <v>920531.62923444086</v>
      </c>
      <c r="W14" s="34">
        <v>681.53</v>
      </c>
      <c r="X14" s="32">
        <v>45245</v>
      </c>
      <c r="Y14" s="34">
        <v>12289.98</v>
      </c>
      <c r="Z14" s="33">
        <f>Шаблон_Формулы_2[[#This Row],[23]]*Шаблон_Формулы_2[[#This Row],[25]]</f>
        <v>8375990.0693999995</v>
      </c>
      <c r="AA14" s="30" t="s">
        <v>487</v>
      </c>
    </row>
    <row r="15" spans="1:27">
      <c r="A15" s="30">
        <v>11</v>
      </c>
      <c r="B15" s="31" t="s">
        <v>308</v>
      </c>
      <c r="C15" s="31" t="s">
        <v>126</v>
      </c>
      <c r="D15" s="31" t="s">
        <v>21</v>
      </c>
      <c r="E15" s="32">
        <v>45200</v>
      </c>
      <c r="F15" s="31" t="s">
        <v>342</v>
      </c>
      <c r="G15" s="33" t="s">
        <v>337</v>
      </c>
      <c r="H15" s="31">
        <v>14.023999999999999</v>
      </c>
      <c r="I15" s="34">
        <v>9068.7999999999993</v>
      </c>
      <c r="J15" s="34" t="s">
        <v>78</v>
      </c>
      <c r="K15" s="35">
        <v>64.736999999999995</v>
      </c>
      <c r="L15" s="34">
        <v>392000</v>
      </c>
      <c r="M15" s="34">
        <v>119063.76</v>
      </c>
      <c r="N15" s="34">
        <v>41982.964919597762</v>
      </c>
      <c r="O15" s="34">
        <v>10831.518297109846</v>
      </c>
      <c r="P15" s="34">
        <v>40163.269845683302</v>
      </c>
      <c r="Q15" s="34">
        <v>1971.3363300739918</v>
      </c>
      <c r="R15" s="34">
        <v>0</v>
      </c>
      <c r="S15" s="34">
        <v>60764.817646786229</v>
      </c>
      <c r="T15" s="34">
        <v>0</v>
      </c>
      <c r="U15" s="35">
        <v>0</v>
      </c>
      <c r="V15" s="34">
        <v>666777.66703925119</v>
      </c>
      <c r="W15" s="34">
        <v>493.66</v>
      </c>
      <c r="X15" s="32">
        <v>45245</v>
      </c>
      <c r="Y15" s="34">
        <v>12289.98</v>
      </c>
      <c r="Z15" s="33">
        <f>Шаблон_Формулы_2[[#This Row],[23]]*Шаблон_Формулы_2[[#This Row],[25]]</f>
        <v>6067071.5268000001</v>
      </c>
      <c r="AA15" s="30" t="s">
        <v>487</v>
      </c>
    </row>
    <row r="16" spans="1:27">
      <c r="A16" s="30">
        <v>12</v>
      </c>
      <c r="B16" s="31" t="s">
        <v>309</v>
      </c>
      <c r="C16" s="31" t="s">
        <v>126</v>
      </c>
      <c r="D16" s="31" t="s">
        <v>21</v>
      </c>
      <c r="E16" s="32">
        <v>45200</v>
      </c>
      <c r="F16" s="31" t="s">
        <v>343</v>
      </c>
      <c r="G16" s="33" t="s">
        <v>337</v>
      </c>
      <c r="H16" s="31">
        <v>23.738</v>
      </c>
      <c r="I16" s="34">
        <v>2977.92</v>
      </c>
      <c r="J16" s="34" t="s">
        <v>78</v>
      </c>
      <c r="K16" s="35">
        <v>64.736999999999995</v>
      </c>
      <c r="L16" s="34">
        <v>392000</v>
      </c>
      <c r="M16" s="34">
        <v>201535.62</v>
      </c>
      <c r="N16" s="34">
        <v>71063.293016358497</v>
      </c>
      <c r="O16" s="34">
        <v>18334.182924757093</v>
      </c>
      <c r="P16" s="34">
        <v>67983.150284999312</v>
      </c>
      <c r="Q16" s="34">
        <v>3336.8212923057913</v>
      </c>
      <c r="R16" s="34">
        <v>0</v>
      </c>
      <c r="S16" s="34">
        <v>102854.7662078873</v>
      </c>
      <c r="T16" s="34">
        <v>0</v>
      </c>
      <c r="U16" s="35">
        <v>0</v>
      </c>
      <c r="V16" s="34">
        <v>857107.83372630808</v>
      </c>
      <c r="W16" s="34">
        <v>634.57000000000005</v>
      </c>
      <c r="X16" s="32">
        <v>45245</v>
      </c>
      <c r="Y16" s="34">
        <v>12289.98</v>
      </c>
      <c r="Z16" s="33">
        <f>Шаблон_Формулы_2[[#This Row],[23]]*Шаблон_Формулы_2[[#This Row],[25]]</f>
        <v>7798852.6085999999</v>
      </c>
      <c r="AA16" s="30" t="s">
        <v>487</v>
      </c>
    </row>
    <row r="17" spans="1:27">
      <c r="A17" s="30">
        <v>13</v>
      </c>
      <c r="B17" s="31" t="s">
        <v>309</v>
      </c>
      <c r="C17" s="31" t="s">
        <v>126</v>
      </c>
      <c r="D17" s="31" t="s">
        <v>21</v>
      </c>
      <c r="E17" s="32">
        <v>45200</v>
      </c>
      <c r="F17" s="31" t="s">
        <v>344</v>
      </c>
      <c r="G17" s="33" t="s">
        <v>337</v>
      </c>
      <c r="H17" s="31">
        <v>26.975000000000001</v>
      </c>
      <c r="I17" s="34">
        <v>7575</v>
      </c>
      <c r="J17" s="34" t="s">
        <v>78</v>
      </c>
      <c r="K17" s="35">
        <v>64.736999999999995</v>
      </c>
      <c r="L17" s="34">
        <v>392000</v>
      </c>
      <c r="M17" s="34">
        <v>229017.75</v>
      </c>
      <c r="N17" s="34">
        <v>80753.742064043763</v>
      </c>
      <c r="O17" s="34">
        <v>20834.298778133063</v>
      </c>
      <c r="P17" s="34">
        <v>77253.5798693174</v>
      </c>
      <c r="Q17" s="34">
        <v>3791.8423776202176</v>
      </c>
      <c r="R17" s="34">
        <v>0</v>
      </c>
      <c r="S17" s="34">
        <v>116880.4161453265</v>
      </c>
      <c r="T17" s="34">
        <v>0</v>
      </c>
      <c r="U17" s="35">
        <v>0</v>
      </c>
      <c r="V17" s="34">
        <v>920531.62923444086</v>
      </c>
      <c r="W17" s="34">
        <v>681.53</v>
      </c>
      <c r="X17" s="32">
        <v>45245</v>
      </c>
      <c r="Y17" s="34">
        <v>12289.98</v>
      </c>
      <c r="Z17" s="33">
        <f>Шаблон_Формулы_2[[#This Row],[23]]*Шаблон_Формулы_2[[#This Row],[25]]</f>
        <v>8375990.0693999995</v>
      </c>
      <c r="AA17" s="30" t="s">
        <v>487</v>
      </c>
    </row>
    <row r="18" spans="1:27">
      <c r="A18" s="30">
        <v>14</v>
      </c>
      <c r="B18" s="31" t="s">
        <v>309</v>
      </c>
      <c r="C18" s="31" t="s">
        <v>126</v>
      </c>
      <c r="D18" s="31" t="s">
        <v>21</v>
      </c>
      <c r="E18" s="32">
        <v>45200</v>
      </c>
      <c r="F18" s="31" t="s">
        <v>345</v>
      </c>
      <c r="G18" s="33" t="s">
        <v>337</v>
      </c>
      <c r="H18" s="31">
        <v>14.023999999999999</v>
      </c>
      <c r="I18" s="34">
        <v>9068.7999999999993</v>
      </c>
      <c r="J18" s="34" t="s">
        <v>78</v>
      </c>
      <c r="K18" s="35">
        <v>64.736999999999995</v>
      </c>
      <c r="L18" s="34">
        <v>392000</v>
      </c>
      <c r="M18" s="34">
        <v>119063.76</v>
      </c>
      <c r="N18" s="34">
        <v>41982.964919597762</v>
      </c>
      <c r="O18" s="34">
        <v>10831.518297109846</v>
      </c>
      <c r="P18" s="34">
        <v>40163.269845683302</v>
      </c>
      <c r="Q18" s="34">
        <v>1971.3363300739918</v>
      </c>
      <c r="R18" s="34">
        <v>0</v>
      </c>
      <c r="S18" s="34">
        <v>60764.817646786229</v>
      </c>
      <c r="T18" s="34">
        <v>0</v>
      </c>
      <c r="U18" s="35">
        <v>0</v>
      </c>
      <c r="V18" s="34">
        <v>666777.66703925119</v>
      </c>
      <c r="W18" s="34">
        <v>493.66</v>
      </c>
      <c r="X18" s="32">
        <v>45245</v>
      </c>
      <c r="Y18" s="34">
        <v>12289.98</v>
      </c>
      <c r="Z18" s="33">
        <f>Шаблон_Формулы_2[[#This Row],[23]]*Шаблон_Формулы_2[[#This Row],[25]]</f>
        <v>6067071.5268000001</v>
      </c>
      <c r="AA18" s="30" t="s">
        <v>487</v>
      </c>
    </row>
    <row r="19" spans="1:27">
      <c r="A19" s="30">
        <v>15</v>
      </c>
      <c r="B19" s="31" t="s">
        <v>310</v>
      </c>
      <c r="C19" s="31" t="s">
        <v>126</v>
      </c>
      <c r="D19" s="31" t="s">
        <v>21</v>
      </c>
      <c r="E19" s="32">
        <v>45200</v>
      </c>
      <c r="F19" s="31" t="s">
        <v>346</v>
      </c>
      <c r="G19" s="33" t="s">
        <v>337</v>
      </c>
      <c r="H19" s="31">
        <v>22.658999999999999</v>
      </c>
      <c r="I19" s="34">
        <v>2842.56</v>
      </c>
      <c r="J19" s="34" t="s">
        <v>78</v>
      </c>
      <c r="K19" s="35">
        <v>64.739999999999995</v>
      </c>
      <c r="L19" s="34">
        <v>392000</v>
      </c>
      <c r="M19" s="34">
        <v>192374.91</v>
      </c>
      <c r="N19" s="34">
        <v>67830</v>
      </c>
      <c r="O19" s="34">
        <v>17500</v>
      </c>
      <c r="P19" s="34">
        <v>64890.000000000007</v>
      </c>
      <c r="Q19" s="34">
        <v>3185.0000000000005</v>
      </c>
      <c r="R19" s="34">
        <v>0</v>
      </c>
      <c r="S19" s="34">
        <v>98175.000000000015</v>
      </c>
      <c r="T19" s="34">
        <v>0</v>
      </c>
      <c r="U19" s="35">
        <v>0</v>
      </c>
      <c r="V19" s="34">
        <v>835954.91</v>
      </c>
      <c r="W19" s="34">
        <v>618.91</v>
      </c>
      <c r="X19" s="32">
        <v>45245</v>
      </c>
      <c r="Y19" s="34">
        <v>12289.98</v>
      </c>
      <c r="Z19" s="33">
        <f>Шаблон_Формулы_2[[#This Row],[23]]*Шаблон_Формулы_2[[#This Row],[25]]</f>
        <v>7606391.5217999993</v>
      </c>
      <c r="AA19" s="30" t="s">
        <v>487</v>
      </c>
    </row>
    <row r="20" spans="1:27">
      <c r="A20" s="30">
        <v>16</v>
      </c>
      <c r="B20" s="31" t="s">
        <v>310</v>
      </c>
      <c r="C20" s="31" t="s">
        <v>126</v>
      </c>
      <c r="D20" s="31" t="s">
        <v>21</v>
      </c>
      <c r="E20" s="32">
        <v>45200</v>
      </c>
      <c r="F20" s="31" t="s">
        <v>347</v>
      </c>
      <c r="G20" s="33" t="s">
        <v>337</v>
      </c>
      <c r="H20" s="31">
        <v>34.527999999999999</v>
      </c>
      <c r="I20" s="34">
        <v>7488</v>
      </c>
      <c r="J20" s="34" t="s">
        <v>78</v>
      </c>
      <c r="K20" s="35">
        <v>64.739999999999995</v>
      </c>
      <c r="L20" s="34">
        <v>624000</v>
      </c>
      <c r="M20" s="34">
        <v>293142.71999999997</v>
      </c>
      <c r="N20" s="34">
        <v>103360</v>
      </c>
      <c r="O20" s="34">
        <v>26666.666666666668</v>
      </c>
      <c r="P20" s="34">
        <v>98880</v>
      </c>
      <c r="Q20" s="34">
        <v>4853.333333333333</v>
      </c>
      <c r="R20" s="34">
        <v>0</v>
      </c>
      <c r="S20" s="34">
        <v>149600</v>
      </c>
      <c r="T20" s="34">
        <v>0</v>
      </c>
      <c r="U20" s="35">
        <v>0</v>
      </c>
      <c r="V20" s="34">
        <v>1300502.72</v>
      </c>
      <c r="W20" s="34">
        <v>962.84</v>
      </c>
      <c r="X20" s="32">
        <v>45245</v>
      </c>
      <c r="Y20" s="34">
        <v>12289.98</v>
      </c>
      <c r="Z20" s="33">
        <f>Шаблон_Формулы_2[[#This Row],[23]]*Шаблон_Формулы_2[[#This Row],[25]]</f>
        <v>11833284.3432</v>
      </c>
      <c r="AA20" s="30" t="s">
        <v>487</v>
      </c>
    </row>
    <row r="21" spans="1:27">
      <c r="A21" s="30">
        <v>17</v>
      </c>
      <c r="B21" s="31" t="s">
        <v>310</v>
      </c>
      <c r="C21" s="31" t="s">
        <v>126</v>
      </c>
      <c r="D21" s="31" t="s">
        <v>21</v>
      </c>
      <c r="E21" s="32">
        <v>45200</v>
      </c>
      <c r="F21" s="31" t="s">
        <v>348</v>
      </c>
      <c r="G21" s="33" t="s">
        <v>337</v>
      </c>
      <c r="H21" s="31">
        <v>7.5529999999999999</v>
      </c>
      <c r="I21" s="34">
        <v>2065</v>
      </c>
      <c r="J21" s="34" t="s">
        <v>78</v>
      </c>
      <c r="K21" s="35">
        <v>64.739999999999995</v>
      </c>
      <c r="L21" s="34">
        <v>332000</v>
      </c>
      <c r="M21" s="34">
        <v>64124.97</v>
      </c>
      <c r="N21" s="34">
        <v>22610</v>
      </c>
      <c r="O21" s="34">
        <v>5833.333333333333</v>
      </c>
      <c r="P21" s="34">
        <v>21630</v>
      </c>
      <c r="Q21" s="34">
        <v>1061.6666666666667</v>
      </c>
      <c r="R21" s="34">
        <v>0</v>
      </c>
      <c r="S21" s="34">
        <v>32725</v>
      </c>
      <c r="T21" s="34">
        <v>0</v>
      </c>
      <c r="U21" s="35">
        <v>0</v>
      </c>
      <c r="V21" s="34">
        <v>479984.97</v>
      </c>
      <c r="W21" s="34">
        <v>355.36</v>
      </c>
      <c r="X21" s="32">
        <v>45245</v>
      </c>
      <c r="Y21" s="34">
        <v>12289.98</v>
      </c>
      <c r="Z21" s="33">
        <f>Шаблон_Формулы_2[[#This Row],[23]]*Шаблон_Формулы_2[[#This Row],[25]]</f>
        <v>4367367.2927999999</v>
      </c>
      <c r="AA21" s="30" t="s">
        <v>487</v>
      </c>
    </row>
    <row r="22" spans="1:27">
      <c r="A22" s="30">
        <v>18</v>
      </c>
      <c r="B22" s="31" t="s">
        <v>311</v>
      </c>
      <c r="C22" s="31" t="s">
        <v>126</v>
      </c>
      <c r="D22" s="31" t="s">
        <v>21</v>
      </c>
      <c r="E22" s="32">
        <v>45200</v>
      </c>
      <c r="F22" s="31" t="s">
        <v>349</v>
      </c>
      <c r="G22" s="33" t="s">
        <v>337</v>
      </c>
      <c r="H22" s="31">
        <v>2.8479999999999999</v>
      </c>
      <c r="I22" s="34">
        <v>370</v>
      </c>
      <c r="J22" s="34" t="s">
        <v>78</v>
      </c>
      <c r="K22" s="35">
        <v>57.653999999999989</v>
      </c>
      <c r="L22" s="34">
        <v>232000</v>
      </c>
      <c r="M22" s="34">
        <v>24179.52</v>
      </c>
      <c r="N22" s="34">
        <v>9573.3583099177868</v>
      </c>
      <c r="O22" s="34">
        <v>2469.9066847053114</v>
      </c>
      <c r="P22" s="34">
        <v>9158.4139868872953</v>
      </c>
      <c r="Q22" s="34">
        <v>449.52301661636665</v>
      </c>
      <c r="R22" s="34">
        <v>0</v>
      </c>
      <c r="S22" s="34">
        <v>13856.176501196796</v>
      </c>
      <c r="T22" s="34">
        <v>0</v>
      </c>
      <c r="U22" s="35">
        <v>0</v>
      </c>
      <c r="V22" s="34">
        <v>291686.89849932352</v>
      </c>
      <c r="W22" s="34">
        <v>215.95</v>
      </c>
      <c r="X22" s="32">
        <v>45245</v>
      </c>
      <c r="Y22" s="34">
        <v>12289.98</v>
      </c>
      <c r="Z22" s="33">
        <f>Шаблон_Формулы_2[[#This Row],[23]]*Шаблон_Формулы_2[[#This Row],[25]]</f>
        <v>2654021.1809999999</v>
      </c>
      <c r="AA22" s="30" t="s">
        <v>487</v>
      </c>
    </row>
    <row r="23" spans="1:27">
      <c r="A23" s="30">
        <v>19</v>
      </c>
      <c r="B23" s="31" t="s">
        <v>311</v>
      </c>
      <c r="C23" s="31" t="s">
        <v>126</v>
      </c>
      <c r="D23" s="31" t="s">
        <v>21</v>
      </c>
      <c r="E23" s="32">
        <v>45200</v>
      </c>
      <c r="F23" s="31" t="s">
        <v>350</v>
      </c>
      <c r="G23" s="33" t="s">
        <v>87</v>
      </c>
      <c r="H23" s="31">
        <v>25.65</v>
      </c>
      <c r="I23" s="34">
        <v>11064</v>
      </c>
      <c r="J23" s="34" t="s">
        <v>88</v>
      </c>
      <c r="K23" s="35">
        <v>57.653999999999989</v>
      </c>
      <c r="L23" s="34">
        <v>0</v>
      </c>
      <c r="M23" s="34">
        <v>0</v>
      </c>
      <c r="N23" s="34">
        <v>0</v>
      </c>
      <c r="O23" s="34">
        <v>0</v>
      </c>
      <c r="P23" s="34">
        <v>0</v>
      </c>
      <c r="Q23" s="34">
        <v>0</v>
      </c>
      <c r="R23" s="34">
        <v>0</v>
      </c>
      <c r="S23" s="34">
        <v>0</v>
      </c>
      <c r="T23" s="34">
        <v>0</v>
      </c>
      <c r="U23" s="35">
        <v>0</v>
      </c>
      <c r="V23" s="34">
        <v>0</v>
      </c>
      <c r="W23" s="34">
        <v>0</v>
      </c>
      <c r="X23" s="32">
        <v>45245</v>
      </c>
      <c r="Y23" s="34">
        <v>12289.98</v>
      </c>
      <c r="Z23" s="33">
        <f>Шаблон_Формулы_2[[#This Row],[23]]*Шаблон_Формулы_2[[#This Row],[25]]</f>
        <v>0</v>
      </c>
      <c r="AA23" s="30" t="s">
        <v>487</v>
      </c>
    </row>
    <row r="24" spans="1:27">
      <c r="A24" s="30">
        <v>20</v>
      </c>
      <c r="B24" s="31" t="s">
        <v>311</v>
      </c>
      <c r="C24" s="31" t="s">
        <v>126</v>
      </c>
      <c r="D24" s="31" t="s">
        <v>21</v>
      </c>
      <c r="E24" s="32">
        <v>45200</v>
      </c>
      <c r="F24" s="31" t="s">
        <v>351</v>
      </c>
      <c r="G24" s="33" t="s">
        <v>352</v>
      </c>
      <c r="H24" s="31">
        <v>10.54</v>
      </c>
      <c r="I24" s="34">
        <v>921.34</v>
      </c>
      <c r="J24" s="34" t="s">
        <v>78</v>
      </c>
      <c r="K24" s="35">
        <v>57.653999999999989</v>
      </c>
      <c r="L24" s="34">
        <v>485000</v>
      </c>
      <c r="M24" s="34">
        <v>89484.599999999991</v>
      </c>
      <c r="N24" s="34">
        <v>35429.493183473831</v>
      </c>
      <c r="O24" s="34">
        <v>9140.7361154473238</v>
      </c>
      <c r="P24" s="34">
        <v>33893.849516078677</v>
      </c>
      <c r="Q24" s="34">
        <v>1663.613973011413</v>
      </c>
      <c r="R24" s="34">
        <v>0</v>
      </c>
      <c r="S24" s="34">
        <v>51279.52960765949</v>
      </c>
      <c r="T24" s="34">
        <v>0</v>
      </c>
      <c r="U24" s="35">
        <v>0</v>
      </c>
      <c r="V24" s="34">
        <v>705891.82239567069</v>
      </c>
      <c r="W24" s="34">
        <v>522.62</v>
      </c>
      <c r="X24" s="32">
        <v>45245</v>
      </c>
      <c r="Y24" s="34">
        <v>12289.98</v>
      </c>
      <c r="Z24" s="33">
        <f>Шаблон_Формулы_2[[#This Row],[23]]*Шаблон_Формулы_2[[#This Row],[25]]</f>
        <v>6422989.3476</v>
      </c>
      <c r="AA24" s="30" t="s">
        <v>487</v>
      </c>
    </row>
    <row r="25" spans="1:27">
      <c r="A25" s="30">
        <v>21</v>
      </c>
      <c r="B25" s="31" t="s">
        <v>311</v>
      </c>
      <c r="C25" s="31" t="s">
        <v>126</v>
      </c>
      <c r="D25" s="31" t="s">
        <v>21</v>
      </c>
      <c r="E25" s="32">
        <v>45200</v>
      </c>
      <c r="F25" s="31" t="s">
        <v>353</v>
      </c>
      <c r="G25" s="33" t="s">
        <v>352</v>
      </c>
      <c r="H25" s="31">
        <v>10.54</v>
      </c>
      <c r="I25" s="34">
        <v>921.34</v>
      </c>
      <c r="J25" s="34" t="s">
        <v>78</v>
      </c>
      <c r="K25" s="35">
        <v>57.653999999999989</v>
      </c>
      <c r="L25" s="34">
        <v>485000</v>
      </c>
      <c r="M25" s="34">
        <v>89484.599999999991</v>
      </c>
      <c r="N25" s="34">
        <v>35429.493183473831</v>
      </c>
      <c r="O25" s="34">
        <v>9140.7361154473238</v>
      </c>
      <c r="P25" s="34">
        <v>33893.849516078677</v>
      </c>
      <c r="Q25" s="34">
        <v>1663.613973011413</v>
      </c>
      <c r="R25" s="34">
        <v>0</v>
      </c>
      <c r="S25" s="34">
        <v>51279.52960765949</v>
      </c>
      <c r="T25" s="34">
        <v>0</v>
      </c>
      <c r="U25" s="35">
        <v>0</v>
      </c>
      <c r="V25" s="34">
        <v>705891.82239567069</v>
      </c>
      <c r="W25" s="34">
        <v>522.62</v>
      </c>
      <c r="X25" s="32">
        <v>45245</v>
      </c>
      <c r="Y25" s="34">
        <v>12289.98</v>
      </c>
      <c r="Z25" s="33">
        <f>Шаблон_Формулы_2[[#This Row],[23]]*Шаблон_Формулы_2[[#This Row],[25]]</f>
        <v>6422989.3476</v>
      </c>
      <c r="AA25" s="30" t="s">
        <v>487</v>
      </c>
    </row>
    <row r="26" spans="1:27">
      <c r="A26" s="30">
        <v>22</v>
      </c>
      <c r="B26" s="31" t="s">
        <v>311</v>
      </c>
      <c r="C26" s="31" t="s">
        <v>126</v>
      </c>
      <c r="D26" s="31" t="s">
        <v>21</v>
      </c>
      <c r="E26" s="32">
        <v>45200</v>
      </c>
      <c r="F26" s="31" t="s">
        <v>354</v>
      </c>
      <c r="G26" s="33" t="s">
        <v>80</v>
      </c>
      <c r="H26" s="31">
        <v>6.09</v>
      </c>
      <c r="I26" s="34">
        <v>1541</v>
      </c>
      <c r="J26" s="34" t="s">
        <v>78</v>
      </c>
      <c r="K26" s="35">
        <v>57.653999999999989</v>
      </c>
      <c r="L26" s="34">
        <v>147000</v>
      </c>
      <c r="M26" s="34">
        <v>51704.1</v>
      </c>
      <c r="N26" s="34">
        <v>20471.120824227291</v>
      </c>
      <c r="O26" s="34">
        <v>5281.5069205952759</v>
      </c>
      <c r="P26" s="34">
        <v>19583.827661567284</v>
      </c>
      <c r="Q26" s="34">
        <v>961.23425954834022</v>
      </c>
      <c r="R26" s="34">
        <v>0</v>
      </c>
      <c r="S26" s="34">
        <v>29629.253824539497</v>
      </c>
      <c r="T26" s="34">
        <v>0</v>
      </c>
      <c r="U26" s="35">
        <v>0</v>
      </c>
      <c r="V26" s="34">
        <v>274631.04349047766</v>
      </c>
      <c r="W26" s="34">
        <v>203.33</v>
      </c>
      <c r="X26" s="32">
        <v>45245</v>
      </c>
      <c r="Y26" s="34">
        <v>12289.98</v>
      </c>
      <c r="Z26" s="33">
        <f>Шаблон_Формулы_2[[#This Row],[23]]*Шаблон_Формулы_2[[#This Row],[25]]</f>
        <v>2498921.6334000002</v>
      </c>
      <c r="AA26" s="30" t="s">
        <v>487</v>
      </c>
    </row>
    <row r="27" spans="1:27">
      <c r="A27" s="30">
        <v>23</v>
      </c>
      <c r="B27" s="31" t="s">
        <v>311</v>
      </c>
      <c r="C27" s="31" t="s">
        <v>126</v>
      </c>
      <c r="D27" s="31" t="s">
        <v>21</v>
      </c>
      <c r="E27" s="32">
        <v>45200</v>
      </c>
      <c r="F27" s="31" t="s">
        <v>355</v>
      </c>
      <c r="G27" s="33" t="s">
        <v>356</v>
      </c>
      <c r="H27" s="31">
        <v>1.986</v>
      </c>
      <c r="I27" s="34">
        <v>1784.67</v>
      </c>
      <c r="J27" s="34" t="s">
        <v>88</v>
      </c>
      <c r="K27" s="35">
        <v>57.653999999999989</v>
      </c>
      <c r="L27" s="34">
        <v>0</v>
      </c>
      <c r="M27" s="34">
        <v>0</v>
      </c>
      <c r="N27" s="34">
        <v>0</v>
      </c>
      <c r="O27" s="34">
        <v>0</v>
      </c>
      <c r="P27" s="34">
        <v>0</v>
      </c>
      <c r="Q27" s="34">
        <v>0</v>
      </c>
      <c r="R27" s="34">
        <v>0</v>
      </c>
      <c r="S27" s="34">
        <v>0</v>
      </c>
      <c r="T27" s="34">
        <v>0</v>
      </c>
      <c r="U27" s="35">
        <v>0</v>
      </c>
      <c r="V27" s="34">
        <v>0</v>
      </c>
      <c r="W27" s="34">
        <v>0</v>
      </c>
      <c r="X27" s="32">
        <v>45245</v>
      </c>
      <c r="Y27" s="34">
        <v>12289.98</v>
      </c>
      <c r="Z27" s="33">
        <f>Шаблон_Формулы_2[[#This Row],[23]]*Шаблон_Формулы_2[[#This Row],[25]]</f>
        <v>0</v>
      </c>
      <c r="AA27" s="30" t="s">
        <v>487</v>
      </c>
    </row>
    <row r="28" spans="1:27">
      <c r="A28" s="30">
        <v>24</v>
      </c>
      <c r="B28" s="31" t="s">
        <v>312</v>
      </c>
      <c r="C28" s="31" t="s">
        <v>126</v>
      </c>
      <c r="D28" s="31" t="s">
        <v>21</v>
      </c>
      <c r="E28" s="32">
        <v>45200</v>
      </c>
      <c r="F28" s="31" t="s">
        <v>357</v>
      </c>
      <c r="G28" s="33" t="s">
        <v>89</v>
      </c>
      <c r="H28" s="31">
        <v>22.98</v>
      </c>
      <c r="I28" s="34">
        <v>8234.6</v>
      </c>
      <c r="J28" s="34" t="s">
        <v>78</v>
      </c>
      <c r="K28" s="35">
        <v>61.671999999999997</v>
      </c>
      <c r="L28" s="34">
        <v>380000</v>
      </c>
      <c r="M28" s="34">
        <v>195100.2</v>
      </c>
      <c r="N28" s="34">
        <v>72213.062654040739</v>
      </c>
      <c r="O28" s="34">
        <v>18630.821118173564</v>
      </c>
      <c r="P28" s="34">
        <v>69083.084706187583</v>
      </c>
      <c r="Q28" s="34">
        <v>3390.8094435075891</v>
      </c>
      <c r="R28" s="34">
        <v>0</v>
      </c>
      <c r="S28" s="34">
        <v>104518.90647295371</v>
      </c>
      <c r="T28" s="34">
        <v>0</v>
      </c>
      <c r="U28" s="35">
        <v>0</v>
      </c>
      <c r="V28" s="34">
        <v>842936.88439486315</v>
      </c>
      <c r="W28" s="34">
        <v>624.08000000000004</v>
      </c>
      <c r="X28" s="32">
        <v>45245</v>
      </c>
      <c r="Y28" s="34">
        <v>12289.98</v>
      </c>
      <c r="Z28" s="33">
        <f>Шаблон_Формулы_2[[#This Row],[23]]*Шаблон_Формулы_2[[#This Row],[25]]</f>
        <v>7669930.7184000006</v>
      </c>
      <c r="AA28" s="30" t="s">
        <v>487</v>
      </c>
    </row>
    <row r="29" spans="1:27">
      <c r="A29" s="30">
        <v>25</v>
      </c>
      <c r="B29" s="31" t="s">
        <v>312</v>
      </c>
      <c r="C29" s="31" t="s">
        <v>126</v>
      </c>
      <c r="D29" s="31" t="s">
        <v>21</v>
      </c>
      <c r="E29" s="32">
        <v>45200</v>
      </c>
      <c r="F29" s="31" t="s">
        <v>358</v>
      </c>
      <c r="G29" s="33" t="s">
        <v>89</v>
      </c>
      <c r="H29" s="31">
        <v>2.798</v>
      </c>
      <c r="I29" s="34">
        <v>1203.26</v>
      </c>
      <c r="J29" s="34" t="s">
        <v>78</v>
      </c>
      <c r="K29" s="35">
        <v>61.671999999999997</v>
      </c>
      <c r="L29" s="34">
        <v>235000</v>
      </c>
      <c r="M29" s="34">
        <v>23755.02</v>
      </c>
      <c r="N29" s="34">
        <v>8792.5217278505643</v>
      </c>
      <c r="O29" s="34">
        <v>2268.4524581657802</v>
      </c>
      <c r="P29" s="34">
        <v>8411.4217148787138</v>
      </c>
      <c r="Q29" s="34">
        <v>412.858347386172</v>
      </c>
      <c r="R29" s="34">
        <v>0</v>
      </c>
      <c r="S29" s="34">
        <v>12726.018290310027</v>
      </c>
      <c r="T29" s="34">
        <v>0</v>
      </c>
      <c r="U29" s="35">
        <v>0</v>
      </c>
      <c r="V29" s="34">
        <v>291366.29253859125</v>
      </c>
      <c r="W29" s="34">
        <v>215.72</v>
      </c>
      <c r="X29" s="32">
        <v>45245</v>
      </c>
      <c r="Y29" s="34">
        <v>12289.98</v>
      </c>
      <c r="Z29" s="33">
        <f>Шаблон_Формулы_2[[#This Row],[23]]*Шаблон_Формулы_2[[#This Row],[25]]</f>
        <v>2651194.4855999998</v>
      </c>
      <c r="AA29" s="30" t="s">
        <v>487</v>
      </c>
    </row>
    <row r="30" spans="1:27">
      <c r="A30" s="30">
        <v>26</v>
      </c>
      <c r="B30" s="31" t="s">
        <v>312</v>
      </c>
      <c r="C30" s="31" t="s">
        <v>126</v>
      </c>
      <c r="D30" s="31" t="s">
        <v>21</v>
      </c>
      <c r="E30" s="32">
        <v>45200</v>
      </c>
      <c r="F30" s="31" t="s">
        <v>359</v>
      </c>
      <c r="G30" s="33" t="s">
        <v>83</v>
      </c>
      <c r="H30" s="31">
        <v>17.088999999999999</v>
      </c>
      <c r="I30" s="34">
        <v>5070</v>
      </c>
      <c r="J30" s="34" t="s">
        <v>78</v>
      </c>
      <c r="K30" s="35">
        <v>61.671999999999997</v>
      </c>
      <c r="L30" s="34">
        <v>562000</v>
      </c>
      <c r="M30" s="34">
        <v>145085.60999999999</v>
      </c>
      <c r="N30" s="34">
        <v>53701.002075496173</v>
      </c>
      <c r="O30" s="34">
        <v>13854.747697496434</v>
      </c>
      <c r="P30" s="34">
        <v>51373.404462316772</v>
      </c>
      <c r="Q30" s="34">
        <v>2521.5640809443507</v>
      </c>
      <c r="R30" s="34">
        <v>0</v>
      </c>
      <c r="S30" s="34">
        <v>77725.134582954997</v>
      </c>
      <c r="T30" s="34">
        <v>0</v>
      </c>
      <c r="U30" s="35">
        <v>0</v>
      </c>
      <c r="V30" s="34">
        <v>906261.46289920877</v>
      </c>
      <c r="W30" s="34">
        <v>670.96</v>
      </c>
      <c r="X30" s="32">
        <v>45245</v>
      </c>
      <c r="Y30" s="34">
        <v>12289.98</v>
      </c>
      <c r="Z30" s="33">
        <f>Шаблон_Формулы_2[[#This Row],[23]]*Шаблон_Формулы_2[[#This Row],[25]]</f>
        <v>8246084.9808</v>
      </c>
      <c r="AA30" s="30" t="s">
        <v>487</v>
      </c>
    </row>
    <row r="31" spans="1:27">
      <c r="A31" s="30">
        <v>27</v>
      </c>
      <c r="B31" s="31" t="s">
        <v>312</v>
      </c>
      <c r="C31" s="31" t="s">
        <v>126</v>
      </c>
      <c r="D31" s="31" t="s">
        <v>21</v>
      </c>
      <c r="E31" s="32">
        <v>45200</v>
      </c>
      <c r="F31" s="31" t="s">
        <v>360</v>
      </c>
      <c r="G31" s="33" t="s">
        <v>83</v>
      </c>
      <c r="H31" s="31">
        <v>18.805</v>
      </c>
      <c r="I31" s="34">
        <v>5750</v>
      </c>
      <c r="J31" s="34" t="s">
        <v>78</v>
      </c>
      <c r="K31" s="35">
        <v>61.671999999999997</v>
      </c>
      <c r="L31" s="34">
        <v>562000</v>
      </c>
      <c r="M31" s="34">
        <v>159654.45000000001</v>
      </c>
      <c r="N31" s="34">
        <v>59093.413542612536</v>
      </c>
      <c r="O31" s="34">
        <v>15245.978726164225</v>
      </c>
      <c r="P31" s="34">
        <v>56532.089116616946</v>
      </c>
      <c r="Q31" s="34">
        <v>2774.7681281618889</v>
      </c>
      <c r="R31" s="34">
        <v>0</v>
      </c>
      <c r="S31" s="34">
        <v>85529.940653781305</v>
      </c>
      <c r="T31" s="34">
        <v>0</v>
      </c>
      <c r="U31" s="35">
        <v>0</v>
      </c>
      <c r="V31" s="34">
        <v>940830.64016733691</v>
      </c>
      <c r="W31" s="34">
        <v>696.56</v>
      </c>
      <c r="X31" s="32">
        <v>45245</v>
      </c>
      <c r="Y31" s="34">
        <v>12289.98</v>
      </c>
      <c r="Z31" s="33">
        <f>Шаблон_Формулы_2[[#This Row],[23]]*Шаблон_Формулы_2[[#This Row],[25]]</f>
        <v>8560708.468799999</v>
      </c>
      <c r="AA31" s="30" t="s">
        <v>487</v>
      </c>
    </row>
    <row r="32" spans="1:27" ht="24">
      <c r="A32" s="30">
        <v>28</v>
      </c>
      <c r="B32" s="31" t="s">
        <v>313</v>
      </c>
      <c r="C32" s="31" t="s">
        <v>126</v>
      </c>
      <c r="D32" s="31" t="s">
        <v>21</v>
      </c>
      <c r="E32" s="32">
        <v>45209</v>
      </c>
      <c r="F32" s="31" t="s">
        <v>361</v>
      </c>
      <c r="G32" s="33" t="s">
        <v>331</v>
      </c>
      <c r="H32" s="31">
        <v>13.266</v>
      </c>
      <c r="I32" s="34">
        <v>7546</v>
      </c>
      <c r="J32" s="34" t="s">
        <v>78</v>
      </c>
      <c r="K32" s="35">
        <v>37.146000000000001</v>
      </c>
      <c r="L32" s="34">
        <v>487000</v>
      </c>
      <c r="M32" s="34">
        <v>112628.34</v>
      </c>
      <c r="N32" s="34">
        <v>69212.049749636572</v>
      </c>
      <c r="O32" s="34">
        <v>17856.565982878372</v>
      </c>
      <c r="P32" s="34">
        <v>66212.146664512999</v>
      </c>
      <c r="Q32" s="34">
        <v>3249.8950088838637</v>
      </c>
      <c r="R32" s="34">
        <v>0</v>
      </c>
      <c r="S32" s="34">
        <v>100175.33516394768</v>
      </c>
      <c r="T32" s="34">
        <v>0</v>
      </c>
      <c r="U32" s="35">
        <v>0</v>
      </c>
      <c r="V32" s="34">
        <v>856334.33256985946</v>
      </c>
      <c r="W32" s="34">
        <v>634</v>
      </c>
      <c r="X32" s="32">
        <v>45245</v>
      </c>
      <c r="Y32" s="34">
        <v>12289.98</v>
      </c>
      <c r="Z32" s="33">
        <f>Шаблон_Формулы_2[[#This Row],[23]]*Шаблон_Формулы_2[[#This Row],[25]]</f>
        <v>7791847.3199999994</v>
      </c>
      <c r="AA32" s="30" t="s">
        <v>487</v>
      </c>
    </row>
    <row r="33" spans="1:27" ht="24">
      <c r="A33" s="30">
        <v>29</v>
      </c>
      <c r="B33" s="31" t="s">
        <v>313</v>
      </c>
      <c r="C33" s="31" t="s">
        <v>126</v>
      </c>
      <c r="D33" s="31" t="s">
        <v>21</v>
      </c>
      <c r="E33" s="32">
        <v>45209</v>
      </c>
      <c r="F33" s="31" t="s">
        <v>362</v>
      </c>
      <c r="G33" s="33" t="s">
        <v>331</v>
      </c>
      <c r="H33" s="31">
        <v>23.88</v>
      </c>
      <c r="I33" s="34">
        <v>14965.2</v>
      </c>
      <c r="J33" s="34" t="s">
        <v>78</v>
      </c>
      <c r="K33" s="35">
        <v>37.146000000000001</v>
      </c>
      <c r="L33" s="34">
        <v>952000</v>
      </c>
      <c r="M33" s="34">
        <v>202741.19999999998</v>
      </c>
      <c r="N33" s="34">
        <v>124587.95025036341</v>
      </c>
      <c r="O33" s="34">
        <v>32143.434017121624</v>
      </c>
      <c r="P33" s="34">
        <v>119187.85333548699</v>
      </c>
      <c r="Q33" s="34">
        <v>5850.1049911161354</v>
      </c>
      <c r="R33" s="34">
        <v>0</v>
      </c>
      <c r="S33" s="34">
        <v>180324.66483605231</v>
      </c>
      <c r="T33" s="34">
        <v>0</v>
      </c>
      <c r="U33" s="35">
        <v>0</v>
      </c>
      <c r="V33" s="34">
        <v>1616835.2074301403</v>
      </c>
      <c r="W33" s="34">
        <v>1197.04</v>
      </c>
      <c r="X33" s="32">
        <v>45245</v>
      </c>
      <c r="Y33" s="34">
        <v>12289.98</v>
      </c>
      <c r="Z33" s="33">
        <f>Шаблон_Формулы_2[[#This Row],[23]]*Шаблон_Формулы_2[[#This Row],[25]]</f>
        <v>14711597.6592</v>
      </c>
      <c r="AA33" s="30" t="s">
        <v>487</v>
      </c>
    </row>
    <row r="34" spans="1:27" ht="24">
      <c r="A34" s="30">
        <v>30</v>
      </c>
      <c r="B34" s="31" t="s">
        <v>314</v>
      </c>
      <c r="C34" s="31" t="s">
        <v>126</v>
      </c>
      <c r="D34" s="31" t="s">
        <v>21</v>
      </c>
      <c r="E34" s="32">
        <v>45209</v>
      </c>
      <c r="F34" s="31" t="s">
        <v>363</v>
      </c>
      <c r="G34" s="33" t="s">
        <v>331</v>
      </c>
      <c r="H34" s="31">
        <v>26.533000000000001</v>
      </c>
      <c r="I34" s="34">
        <v>16628</v>
      </c>
      <c r="J34" s="34" t="s">
        <v>78</v>
      </c>
      <c r="K34" s="35">
        <v>37.146000000000001</v>
      </c>
      <c r="L34" s="34">
        <v>1021000</v>
      </c>
      <c r="M34" s="34">
        <v>225265.17</v>
      </c>
      <c r="N34" s="34">
        <v>138429.31675012116</v>
      </c>
      <c r="O34" s="34">
        <v>35714.478005707213</v>
      </c>
      <c r="P34" s="34">
        <v>132429.28444516234</v>
      </c>
      <c r="Q34" s="34">
        <v>6500.0349970387124</v>
      </c>
      <c r="R34" s="34">
        <v>0</v>
      </c>
      <c r="S34" s="34">
        <v>200358.22161201746</v>
      </c>
      <c r="T34" s="34">
        <v>0</v>
      </c>
      <c r="U34" s="35">
        <v>0</v>
      </c>
      <c r="V34" s="34">
        <v>1759696.5058100468</v>
      </c>
      <c r="W34" s="34">
        <v>1302.81</v>
      </c>
      <c r="X34" s="32">
        <v>45245</v>
      </c>
      <c r="Y34" s="34">
        <v>12289.98</v>
      </c>
      <c r="Z34" s="33">
        <f>Шаблон_Формулы_2[[#This Row],[23]]*Шаблон_Формулы_2[[#This Row],[25]]</f>
        <v>16011508.843799999</v>
      </c>
      <c r="AA34" s="30" t="s">
        <v>487</v>
      </c>
    </row>
    <row r="35" spans="1:27" ht="24">
      <c r="A35" s="30">
        <v>31</v>
      </c>
      <c r="B35" s="31" t="s">
        <v>314</v>
      </c>
      <c r="C35" s="31" t="s">
        <v>126</v>
      </c>
      <c r="D35" s="31" t="s">
        <v>21</v>
      </c>
      <c r="E35" s="32">
        <v>45209</v>
      </c>
      <c r="F35" s="31" t="s">
        <v>364</v>
      </c>
      <c r="G35" s="33" t="s">
        <v>331</v>
      </c>
      <c r="H35" s="31">
        <v>10.613</v>
      </c>
      <c r="I35" s="34">
        <v>6036.8</v>
      </c>
      <c r="J35" s="34" t="s">
        <v>78</v>
      </c>
      <c r="K35" s="31">
        <v>37.146000000000001</v>
      </c>
      <c r="L35" s="34">
        <v>487000</v>
      </c>
      <c r="M35" s="34">
        <v>90104.37</v>
      </c>
      <c r="N35" s="34">
        <v>55370.683249878857</v>
      </c>
      <c r="O35" s="34">
        <v>14285.521994292791</v>
      </c>
      <c r="P35" s="34">
        <v>52970.715554837669</v>
      </c>
      <c r="Q35" s="34">
        <v>2599.9650029612881</v>
      </c>
      <c r="R35" s="34">
        <v>0</v>
      </c>
      <c r="S35" s="34">
        <v>80141.778387982558</v>
      </c>
      <c r="T35" s="34">
        <v>0</v>
      </c>
      <c r="U35" s="35">
        <v>0</v>
      </c>
      <c r="V35" s="34">
        <v>782473.03418995312</v>
      </c>
      <c r="W35" s="34">
        <v>579.30999999999995</v>
      </c>
      <c r="X35" s="32">
        <v>45245</v>
      </c>
      <c r="Y35" s="34">
        <v>12289.98</v>
      </c>
      <c r="Z35" s="33">
        <f>Шаблон_Формулы_2[[#This Row],[23]]*Шаблон_Формулы_2[[#This Row],[25]]</f>
        <v>7119708.3137999987</v>
      </c>
      <c r="AA35" s="30" t="s">
        <v>487</v>
      </c>
    </row>
    <row r="36" spans="1:27" ht="24">
      <c r="A36" s="30">
        <v>32</v>
      </c>
      <c r="B36" s="31" t="s">
        <v>315</v>
      </c>
      <c r="C36" s="31" t="s">
        <v>126</v>
      </c>
      <c r="D36" s="31" t="s">
        <v>21</v>
      </c>
      <c r="E36" s="32">
        <v>45213</v>
      </c>
      <c r="F36" s="31" t="s">
        <v>365</v>
      </c>
      <c r="G36" s="33" t="s">
        <v>331</v>
      </c>
      <c r="H36" s="31">
        <v>37.146000000000001</v>
      </c>
      <c r="I36" s="34">
        <v>23279.200000000001</v>
      </c>
      <c r="J36" s="34" t="s">
        <v>78</v>
      </c>
      <c r="K36" s="31">
        <v>37.146000000000001</v>
      </c>
      <c r="L36" s="34">
        <v>1421000</v>
      </c>
      <c r="M36" s="34">
        <v>315369.53999999998</v>
      </c>
      <c r="N36" s="34">
        <v>193800</v>
      </c>
      <c r="O36" s="34">
        <v>50000</v>
      </c>
      <c r="P36" s="34">
        <v>185400</v>
      </c>
      <c r="Q36" s="34">
        <v>9100</v>
      </c>
      <c r="R36" s="34">
        <v>0</v>
      </c>
      <c r="S36" s="34">
        <v>280500</v>
      </c>
      <c r="T36" s="34">
        <v>0</v>
      </c>
      <c r="U36" s="35">
        <v>0</v>
      </c>
      <c r="V36" s="34">
        <v>2455169.54</v>
      </c>
      <c r="W36" s="34">
        <v>1817.71</v>
      </c>
      <c r="X36" s="32">
        <v>45245</v>
      </c>
      <c r="Y36" s="34">
        <v>12289.98</v>
      </c>
      <c r="Z36" s="33">
        <f>Шаблон_Формулы_2[[#This Row],[23]]*Шаблон_Формулы_2[[#This Row],[25]]</f>
        <v>22339619.5458</v>
      </c>
      <c r="AA36" s="30" t="s">
        <v>487</v>
      </c>
    </row>
    <row r="37" spans="1:27" ht="24">
      <c r="A37" s="30">
        <v>33</v>
      </c>
      <c r="B37" s="31" t="s">
        <v>316</v>
      </c>
      <c r="C37" s="31" t="s">
        <v>126</v>
      </c>
      <c r="D37" s="31" t="s">
        <v>21</v>
      </c>
      <c r="E37" s="32">
        <v>45213</v>
      </c>
      <c r="F37" s="31" t="s">
        <v>366</v>
      </c>
      <c r="G37" s="33" t="s">
        <v>331</v>
      </c>
      <c r="H37" s="31">
        <v>13.266</v>
      </c>
      <c r="I37" s="34">
        <v>8314</v>
      </c>
      <c r="J37" s="34" t="s">
        <v>78</v>
      </c>
      <c r="K37" s="31">
        <v>61.238</v>
      </c>
      <c r="L37" s="34">
        <v>534000</v>
      </c>
      <c r="M37" s="34">
        <v>112628.34</v>
      </c>
      <c r="N37" s="34">
        <v>41982.932166301973</v>
      </c>
      <c r="O37" s="34">
        <v>10831.509846827134</v>
      </c>
      <c r="P37" s="34">
        <v>40163.238512035008</v>
      </c>
      <c r="Q37" s="34">
        <v>1971.3347921225384</v>
      </c>
      <c r="R37" s="34">
        <v>0</v>
      </c>
      <c r="S37" s="34">
        <v>60764.770240700222</v>
      </c>
      <c r="T37" s="34">
        <v>0</v>
      </c>
      <c r="U37" s="35">
        <v>0</v>
      </c>
      <c r="V37" s="34">
        <v>802342.1255579869</v>
      </c>
      <c r="W37" s="34">
        <v>594.02</v>
      </c>
      <c r="X37" s="32">
        <v>45245</v>
      </c>
      <c r="Y37" s="34">
        <v>12289.98</v>
      </c>
      <c r="Z37" s="33">
        <f>Шаблон_Формулы_2[[#This Row],[23]]*Шаблон_Формулы_2[[#This Row],[25]]</f>
        <v>7300493.9195999997</v>
      </c>
      <c r="AA37" s="30" t="s">
        <v>487</v>
      </c>
    </row>
    <row r="38" spans="1:27" ht="24">
      <c r="A38" s="30">
        <v>34</v>
      </c>
      <c r="B38" s="31" t="s">
        <v>316</v>
      </c>
      <c r="C38" s="31" t="s">
        <v>126</v>
      </c>
      <c r="D38" s="31" t="s">
        <v>21</v>
      </c>
      <c r="E38" s="32">
        <v>45213</v>
      </c>
      <c r="F38" s="31" t="s">
        <v>367</v>
      </c>
      <c r="G38" s="33" t="s">
        <v>331</v>
      </c>
      <c r="H38" s="31">
        <v>2.6539999999999999</v>
      </c>
      <c r="I38" s="34">
        <v>1509.2</v>
      </c>
      <c r="J38" s="34" t="s">
        <v>78</v>
      </c>
      <c r="K38" s="31">
        <v>61.238</v>
      </c>
      <c r="L38" s="34">
        <v>353000</v>
      </c>
      <c r="M38" s="34">
        <v>22532.46</v>
      </c>
      <c r="N38" s="34">
        <v>8399.1181945850603</v>
      </c>
      <c r="O38" s="34">
        <v>2166.9551585616773</v>
      </c>
      <c r="P38" s="34">
        <v>8035.0697279466995</v>
      </c>
      <c r="Q38" s="34">
        <v>394.38583885822527</v>
      </c>
      <c r="R38" s="34">
        <v>0</v>
      </c>
      <c r="S38" s="34">
        <v>12156.61843953101</v>
      </c>
      <c r="T38" s="34">
        <v>0</v>
      </c>
      <c r="U38" s="35">
        <v>0</v>
      </c>
      <c r="V38" s="34">
        <v>406684.60735948273</v>
      </c>
      <c r="W38" s="34">
        <v>301.08999999999997</v>
      </c>
      <c r="X38" s="32">
        <v>45245</v>
      </c>
      <c r="Y38" s="34">
        <v>12289.98</v>
      </c>
      <c r="Z38" s="33">
        <f>Шаблон_Формулы_2[[#This Row],[23]]*Шаблон_Формулы_2[[#This Row],[25]]</f>
        <v>3700390.0781999994</v>
      </c>
      <c r="AA38" s="30" t="s">
        <v>487</v>
      </c>
    </row>
    <row r="39" spans="1:27">
      <c r="A39" s="30">
        <v>35</v>
      </c>
      <c r="B39" s="31" t="s">
        <v>316</v>
      </c>
      <c r="C39" s="31" t="s">
        <v>126</v>
      </c>
      <c r="D39" s="31" t="s">
        <v>21</v>
      </c>
      <c r="E39" s="32">
        <v>45213</v>
      </c>
      <c r="F39" s="31" t="s">
        <v>368</v>
      </c>
      <c r="G39" s="33" t="s">
        <v>337</v>
      </c>
      <c r="H39" s="31">
        <v>45.317999999999998</v>
      </c>
      <c r="I39" s="34">
        <v>12726</v>
      </c>
      <c r="J39" s="34" t="s">
        <v>78</v>
      </c>
      <c r="K39" s="31">
        <v>61.238</v>
      </c>
      <c r="L39" s="34">
        <v>724000</v>
      </c>
      <c r="M39" s="34">
        <v>384749.82</v>
      </c>
      <c r="N39" s="34">
        <v>143417.94963911295</v>
      </c>
      <c r="O39" s="34">
        <v>37001.534994611182</v>
      </c>
      <c r="P39" s="34">
        <v>137201.69176001826</v>
      </c>
      <c r="Q39" s="34">
        <v>6734.2793690192357</v>
      </c>
      <c r="R39" s="34">
        <v>0</v>
      </c>
      <c r="S39" s="34">
        <v>207578.61131976874</v>
      </c>
      <c r="T39" s="34">
        <v>0</v>
      </c>
      <c r="U39" s="35">
        <v>0</v>
      </c>
      <c r="V39" s="34">
        <v>1640683.8870825304</v>
      </c>
      <c r="W39" s="34">
        <v>1214.7</v>
      </c>
      <c r="X39" s="32">
        <v>45245</v>
      </c>
      <c r="Y39" s="34">
        <v>12289.98</v>
      </c>
      <c r="Z39" s="33">
        <f>Шаблон_Формулы_2[[#This Row],[23]]*Шаблон_Формулы_2[[#This Row],[25]]</f>
        <v>14928638.706</v>
      </c>
      <c r="AA39" s="30" t="s">
        <v>487</v>
      </c>
    </row>
    <row r="40" spans="1:27">
      <c r="A40" s="30">
        <v>36</v>
      </c>
      <c r="B40" s="31" t="s">
        <v>317</v>
      </c>
      <c r="C40" s="31" t="s">
        <v>126</v>
      </c>
      <c r="D40" s="31" t="s">
        <v>21</v>
      </c>
      <c r="E40" s="32">
        <v>45213</v>
      </c>
      <c r="F40" s="31" t="s">
        <v>369</v>
      </c>
      <c r="G40" s="33" t="s">
        <v>337</v>
      </c>
      <c r="H40" s="31">
        <v>5.3949999999999996</v>
      </c>
      <c r="I40" s="34">
        <v>1515</v>
      </c>
      <c r="J40" s="34" t="s">
        <v>78</v>
      </c>
      <c r="K40" s="31">
        <v>64.736000000000004</v>
      </c>
      <c r="L40" s="34">
        <v>291100</v>
      </c>
      <c r="M40" s="34">
        <v>45803.549999999996</v>
      </c>
      <c r="N40" s="34">
        <v>16150.997899159662</v>
      </c>
      <c r="O40" s="34">
        <v>4166.9241225902115</v>
      </c>
      <c r="P40" s="34">
        <v>15450.954646564505</v>
      </c>
      <c r="Q40" s="34">
        <v>758.38019031141857</v>
      </c>
      <c r="R40" s="34">
        <v>0</v>
      </c>
      <c r="S40" s="34">
        <v>23376.444327731089</v>
      </c>
      <c r="T40" s="34">
        <v>0</v>
      </c>
      <c r="U40" s="35">
        <v>0</v>
      </c>
      <c r="V40" s="34">
        <v>396807.25118635688</v>
      </c>
      <c r="W40" s="34">
        <v>293.77999999999997</v>
      </c>
      <c r="X40" s="32">
        <v>45245</v>
      </c>
      <c r="Y40" s="34">
        <v>12289.98</v>
      </c>
      <c r="Z40" s="33">
        <f>Шаблон_Формулы_2[[#This Row],[23]]*Шаблон_Формулы_2[[#This Row],[25]]</f>
        <v>3610550.3243999993</v>
      </c>
      <c r="AA40" s="30" t="s">
        <v>487</v>
      </c>
    </row>
    <row r="41" spans="1:27">
      <c r="A41" s="30">
        <v>37</v>
      </c>
      <c r="B41" s="31" t="s">
        <v>317</v>
      </c>
      <c r="C41" s="31" t="s">
        <v>126</v>
      </c>
      <c r="D41" s="31" t="s">
        <v>21</v>
      </c>
      <c r="E41" s="32">
        <v>45213</v>
      </c>
      <c r="F41" s="31" t="s">
        <v>370</v>
      </c>
      <c r="G41" s="33" t="s">
        <v>337</v>
      </c>
      <c r="H41" s="31">
        <v>41.002000000000002</v>
      </c>
      <c r="I41" s="34">
        <v>5143.68</v>
      </c>
      <c r="J41" s="34" t="s">
        <v>78</v>
      </c>
      <c r="K41" s="31">
        <v>64.736000000000004</v>
      </c>
      <c r="L41" s="34">
        <v>724000</v>
      </c>
      <c r="M41" s="34">
        <v>348106.98000000004</v>
      </c>
      <c r="N41" s="34">
        <v>122747.58403361344</v>
      </c>
      <c r="O41" s="34">
        <v>31668.623331685612</v>
      </c>
      <c r="P41" s="34">
        <v>117427.25531389026</v>
      </c>
      <c r="Q41" s="34">
        <v>5763.6894463667813</v>
      </c>
      <c r="R41" s="34">
        <v>0</v>
      </c>
      <c r="S41" s="34">
        <v>177660.97689075628</v>
      </c>
      <c r="T41" s="34">
        <v>0</v>
      </c>
      <c r="U41" s="35">
        <v>0</v>
      </c>
      <c r="V41" s="34">
        <v>1527375.1090163125</v>
      </c>
      <c r="W41" s="34">
        <v>1130.81</v>
      </c>
      <c r="X41" s="32">
        <v>45245</v>
      </c>
      <c r="Y41" s="34">
        <v>12289.98</v>
      </c>
      <c r="Z41" s="33">
        <f>Шаблон_Формулы_2[[#This Row],[23]]*Шаблон_Формулы_2[[#This Row],[25]]</f>
        <v>13897632.283799998</v>
      </c>
      <c r="AA41" s="30" t="s">
        <v>487</v>
      </c>
    </row>
    <row r="42" spans="1:27">
      <c r="A42" s="30">
        <v>38</v>
      </c>
      <c r="B42" s="31" t="s">
        <v>317</v>
      </c>
      <c r="C42" s="31" t="s">
        <v>126</v>
      </c>
      <c r="D42" s="31" t="s">
        <v>21</v>
      </c>
      <c r="E42" s="32">
        <v>45213</v>
      </c>
      <c r="F42" s="31" t="s">
        <v>371</v>
      </c>
      <c r="G42" s="33" t="s">
        <v>337</v>
      </c>
      <c r="H42" s="31">
        <v>18.338999999999999</v>
      </c>
      <c r="I42" s="34">
        <v>11859.2</v>
      </c>
      <c r="J42" s="34" t="s">
        <v>78</v>
      </c>
      <c r="K42" s="31">
        <v>64.736000000000004</v>
      </c>
      <c r="L42" s="34">
        <v>624000</v>
      </c>
      <c r="M42" s="34">
        <v>155698.10999999999</v>
      </c>
      <c r="N42" s="34">
        <v>54901.418067226885</v>
      </c>
      <c r="O42" s="34">
        <v>14164.452545724171</v>
      </c>
      <c r="P42" s="34">
        <v>52521.790039545223</v>
      </c>
      <c r="Q42" s="34">
        <v>2577.9303633217992</v>
      </c>
      <c r="R42" s="34">
        <v>0</v>
      </c>
      <c r="S42" s="34">
        <v>79462.578781512595</v>
      </c>
      <c r="T42" s="34">
        <v>0</v>
      </c>
      <c r="U42" s="35">
        <v>0</v>
      </c>
      <c r="V42" s="34">
        <v>983326.27979733073</v>
      </c>
      <c r="W42" s="34">
        <v>728.02</v>
      </c>
      <c r="X42" s="32">
        <v>45245</v>
      </c>
      <c r="Y42" s="34">
        <v>12289.98</v>
      </c>
      <c r="Z42" s="33">
        <f>Шаблон_Формулы_2[[#This Row],[23]]*Шаблон_Формулы_2[[#This Row],[25]]</f>
        <v>8947351.239599999</v>
      </c>
      <c r="AA42" s="30" t="s">
        <v>487</v>
      </c>
    </row>
    <row r="43" spans="1:27">
      <c r="A43" s="30">
        <v>39</v>
      </c>
      <c r="B43" s="31" t="s">
        <v>318</v>
      </c>
      <c r="C43" s="31" t="s">
        <v>126</v>
      </c>
      <c r="D43" s="31" t="s">
        <v>21</v>
      </c>
      <c r="E43" s="32">
        <v>45209</v>
      </c>
      <c r="F43" s="31" t="s">
        <v>372</v>
      </c>
      <c r="G43" s="33" t="s">
        <v>337</v>
      </c>
      <c r="H43" s="31">
        <v>45.317999999999998</v>
      </c>
      <c r="I43" s="34">
        <v>5685.12</v>
      </c>
      <c r="J43" s="34" t="s">
        <v>78</v>
      </c>
      <c r="K43" s="31">
        <v>63.658000000000001</v>
      </c>
      <c r="L43" s="34">
        <v>724000</v>
      </c>
      <c r="M43" s="34">
        <v>384749.82</v>
      </c>
      <c r="N43" s="34">
        <v>137965.82361996919</v>
      </c>
      <c r="O43" s="34">
        <v>35594.897734770173</v>
      </c>
      <c r="P43" s="34">
        <v>131985.88080052781</v>
      </c>
      <c r="Q43" s="34">
        <v>6478.2713877281722</v>
      </c>
      <c r="R43" s="34">
        <v>0</v>
      </c>
      <c r="S43" s="34">
        <v>199687.37629206068</v>
      </c>
      <c r="T43" s="34">
        <v>0</v>
      </c>
      <c r="U43" s="35">
        <v>0</v>
      </c>
      <c r="V43" s="34">
        <v>1620462.0698350559</v>
      </c>
      <c r="W43" s="34">
        <v>1199.73</v>
      </c>
      <c r="X43" s="32">
        <v>45245</v>
      </c>
      <c r="Y43" s="34">
        <v>12289.98</v>
      </c>
      <c r="Z43" s="33">
        <f>Шаблон_Формулы_2[[#This Row],[23]]*Шаблон_Формулы_2[[#This Row],[25]]</f>
        <v>14744657.705399999</v>
      </c>
      <c r="AA43" s="30" t="s">
        <v>487</v>
      </c>
    </row>
    <row r="44" spans="1:27">
      <c r="A44" s="30">
        <v>40</v>
      </c>
      <c r="B44" s="31" t="s">
        <v>318</v>
      </c>
      <c r="C44" s="31" t="s">
        <v>126</v>
      </c>
      <c r="D44" s="31" t="s">
        <v>21</v>
      </c>
      <c r="E44" s="32">
        <v>45209</v>
      </c>
      <c r="F44" s="31" t="s">
        <v>373</v>
      </c>
      <c r="G44" s="33" t="s">
        <v>337</v>
      </c>
      <c r="H44" s="31">
        <v>18.34</v>
      </c>
      <c r="I44" s="34">
        <v>11859.2</v>
      </c>
      <c r="J44" s="34" t="s">
        <v>78</v>
      </c>
      <c r="K44" s="31">
        <v>63.658000000000001</v>
      </c>
      <c r="L44" s="34">
        <v>624000</v>
      </c>
      <c r="M44" s="34">
        <v>155706.6</v>
      </c>
      <c r="N44" s="34">
        <v>55834.176380030789</v>
      </c>
      <c r="O44" s="34">
        <v>14405.102265229822</v>
      </c>
      <c r="P44" s="34">
        <v>53414.119199472181</v>
      </c>
      <c r="Q44" s="34">
        <v>2621.7286122718274</v>
      </c>
      <c r="R44" s="34">
        <v>0</v>
      </c>
      <c r="S44" s="34">
        <v>80812.623707939303</v>
      </c>
      <c r="T44" s="34">
        <v>0</v>
      </c>
      <c r="U44" s="35">
        <v>0</v>
      </c>
      <c r="V44" s="34">
        <v>986794.35016494384</v>
      </c>
      <c r="W44" s="34">
        <v>730.59</v>
      </c>
      <c r="X44" s="32">
        <v>45245</v>
      </c>
      <c r="Y44" s="34">
        <v>12289.98</v>
      </c>
      <c r="Z44" s="33">
        <f>Шаблон_Формулы_2[[#This Row],[23]]*Шаблон_Формулы_2[[#This Row],[25]]</f>
        <v>8978936.4881999996</v>
      </c>
      <c r="AA44" s="30" t="s">
        <v>487</v>
      </c>
    </row>
    <row r="45" spans="1:27">
      <c r="A45" s="30">
        <v>41</v>
      </c>
      <c r="B45" s="31" t="s">
        <v>319</v>
      </c>
      <c r="C45" s="31" t="s">
        <v>126</v>
      </c>
      <c r="D45" s="31" t="s">
        <v>21</v>
      </c>
      <c r="E45" s="32">
        <v>45209</v>
      </c>
      <c r="F45" s="31" t="s">
        <v>374</v>
      </c>
      <c r="G45" s="33" t="s">
        <v>337</v>
      </c>
      <c r="H45" s="31">
        <v>50.713000000000001</v>
      </c>
      <c r="I45" s="34">
        <v>14241</v>
      </c>
      <c r="J45" s="34" t="s">
        <v>78</v>
      </c>
      <c r="K45" s="31">
        <v>61.261000000000003</v>
      </c>
      <c r="L45" s="34">
        <v>768000</v>
      </c>
      <c r="M45" s="34">
        <v>430553.37</v>
      </c>
      <c r="N45" s="34">
        <v>160431.25969213693</v>
      </c>
      <c r="O45" s="34">
        <v>41390.933873100337</v>
      </c>
      <c r="P45" s="34">
        <v>153477.58280145607</v>
      </c>
      <c r="Q45" s="34">
        <v>7533.1499649042617</v>
      </c>
      <c r="R45" s="34">
        <v>0</v>
      </c>
      <c r="S45" s="34">
        <v>232203.1390280929</v>
      </c>
      <c r="T45" s="34">
        <v>0</v>
      </c>
      <c r="U45" s="35">
        <v>0</v>
      </c>
      <c r="V45" s="34">
        <v>1793589.4353596906</v>
      </c>
      <c r="W45" s="34">
        <v>1327.91</v>
      </c>
      <c r="X45" s="32">
        <v>45245</v>
      </c>
      <c r="Y45" s="34">
        <v>12289.98</v>
      </c>
      <c r="Z45" s="33">
        <f>Шаблон_Формулы_2[[#This Row],[23]]*Шаблон_Формулы_2[[#This Row],[25]]</f>
        <v>16319987.341800001</v>
      </c>
      <c r="AA45" s="30" t="s">
        <v>487</v>
      </c>
    </row>
    <row r="46" spans="1:27">
      <c r="A46" s="30">
        <v>42</v>
      </c>
      <c r="B46" s="31" t="s">
        <v>319</v>
      </c>
      <c r="C46" s="31" t="s">
        <v>126</v>
      </c>
      <c r="D46" s="31" t="s">
        <v>21</v>
      </c>
      <c r="E46" s="32">
        <v>45209</v>
      </c>
      <c r="F46" s="31" t="s">
        <v>375</v>
      </c>
      <c r="G46" s="33" t="s">
        <v>337</v>
      </c>
      <c r="H46" s="31">
        <v>10.548</v>
      </c>
      <c r="I46" s="34">
        <v>3712.8</v>
      </c>
      <c r="J46" s="34" t="s">
        <v>78</v>
      </c>
      <c r="K46" s="31">
        <v>61.261000000000003</v>
      </c>
      <c r="L46" s="34">
        <v>332000</v>
      </c>
      <c r="M46" s="34">
        <v>89552.52</v>
      </c>
      <c r="N46" s="34">
        <v>33368.740307863074</v>
      </c>
      <c r="O46" s="34">
        <v>8609.0661268996591</v>
      </c>
      <c r="P46" s="34">
        <v>31922.417198543935</v>
      </c>
      <c r="Q46" s="34">
        <v>1566.8500350957379</v>
      </c>
      <c r="R46" s="34">
        <v>0</v>
      </c>
      <c r="S46" s="34">
        <v>48296.860971907088</v>
      </c>
      <c r="T46" s="34">
        <v>0</v>
      </c>
      <c r="U46" s="35">
        <v>0</v>
      </c>
      <c r="V46" s="34">
        <v>545316.45464030956</v>
      </c>
      <c r="W46" s="34">
        <v>403.73</v>
      </c>
      <c r="X46" s="32">
        <v>45245</v>
      </c>
      <c r="Y46" s="34">
        <v>12289.98</v>
      </c>
      <c r="Z46" s="33">
        <f>Шаблон_Формулы_2[[#This Row],[23]]*Шаблон_Формулы_2[[#This Row],[25]]</f>
        <v>4961833.6254000003</v>
      </c>
      <c r="AA46" s="30" t="s">
        <v>487</v>
      </c>
    </row>
    <row r="47" spans="1:27">
      <c r="A47" s="30">
        <v>43</v>
      </c>
      <c r="B47" s="31" t="s">
        <v>320</v>
      </c>
      <c r="C47" s="31" t="s">
        <v>126</v>
      </c>
      <c r="D47" s="31" t="s">
        <v>21</v>
      </c>
      <c r="E47" s="32">
        <v>45213</v>
      </c>
      <c r="F47" s="31" t="s">
        <v>376</v>
      </c>
      <c r="G47" s="33" t="s">
        <v>337</v>
      </c>
      <c r="H47" s="31">
        <v>50.713000000000001</v>
      </c>
      <c r="I47" s="34">
        <v>11374</v>
      </c>
      <c r="J47" s="34" t="s">
        <v>78</v>
      </c>
      <c r="K47" s="31">
        <v>65.430000000000007</v>
      </c>
      <c r="L47" s="34">
        <v>768000</v>
      </c>
      <c r="M47" s="34">
        <v>430553.37</v>
      </c>
      <c r="N47" s="34">
        <v>150209.06923429618</v>
      </c>
      <c r="O47" s="34">
        <v>38753.629833409745</v>
      </c>
      <c r="P47" s="34">
        <v>143698.45942228334</v>
      </c>
      <c r="Q47" s="34">
        <v>7053.1606296805739</v>
      </c>
      <c r="R47" s="34">
        <v>0</v>
      </c>
      <c r="S47" s="34">
        <v>217407.8633654287</v>
      </c>
      <c r="T47" s="34">
        <v>0</v>
      </c>
      <c r="U47" s="35">
        <v>0</v>
      </c>
      <c r="V47" s="34">
        <v>1755675.5524850988</v>
      </c>
      <c r="W47" s="34">
        <v>1299.8399999999999</v>
      </c>
      <c r="X47" s="32">
        <v>45245</v>
      </c>
      <c r="Y47" s="34">
        <v>12289.98</v>
      </c>
      <c r="Z47" s="33">
        <f>Шаблон_Формулы_2[[#This Row],[23]]*Шаблон_Формулы_2[[#This Row],[25]]</f>
        <v>15975007.603199998</v>
      </c>
      <c r="AA47" s="30" t="s">
        <v>487</v>
      </c>
    </row>
    <row r="48" spans="1:27">
      <c r="A48" s="30">
        <v>44</v>
      </c>
      <c r="B48" s="31" t="s">
        <v>320</v>
      </c>
      <c r="C48" s="31" t="s">
        <v>126</v>
      </c>
      <c r="D48" s="31" t="s">
        <v>21</v>
      </c>
      <c r="E48" s="32">
        <v>45213</v>
      </c>
      <c r="F48" s="31" t="s">
        <v>377</v>
      </c>
      <c r="G48" s="33" t="s">
        <v>337</v>
      </c>
      <c r="H48" s="31">
        <v>11.869</v>
      </c>
      <c r="I48" s="34">
        <v>3245</v>
      </c>
      <c r="J48" s="34" t="s">
        <v>78</v>
      </c>
      <c r="K48" s="31">
        <v>65.430000000000007</v>
      </c>
      <c r="L48" s="34">
        <v>332000</v>
      </c>
      <c r="M48" s="34">
        <v>100767.81</v>
      </c>
      <c r="N48" s="34">
        <v>35155.31407611187</v>
      </c>
      <c r="O48" s="34">
        <v>9069.998471649089</v>
      </c>
      <c r="P48" s="34">
        <v>33631.554332874824</v>
      </c>
      <c r="Q48" s="34">
        <v>1650.7397218401343</v>
      </c>
      <c r="R48" s="34">
        <v>0</v>
      </c>
      <c r="S48" s="34">
        <v>50882.691425951387</v>
      </c>
      <c r="T48" s="34">
        <v>0</v>
      </c>
      <c r="U48" s="35">
        <v>0</v>
      </c>
      <c r="V48" s="34">
        <v>563158.10802842735</v>
      </c>
      <c r="W48" s="34">
        <v>416.94</v>
      </c>
      <c r="X48" s="32">
        <v>45245</v>
      </c>
      <c r="Y48" s="34">
        <v>12289.98</v>
      </c>
      <c r="Z48" s="33">
        <f>Шаблон_Формулы_2[[#This Row],[23]]*Шаблон_Формулы_2[[#This Row],[25]]</f>
        <v>5124184.2611999996</v>
      </c>
      <c r="AA48" s="30" t="s">
        <v>487</v>
      </c>
    </row>
    <row r="49" spans="1:27">
      <c r="A49" s="30">
        <v>45</v>
      </c>
      <c r="B49" s="31" t="s">
        <v>320</v>
      </c>
      <c r="C49" s="31" t="s">
        <v>126</v>
      </c>
      <c r="D49" s="31" t="s">
        <v>21</v>
      </c>
      <c r="E49" s="32">
        <v>45213</v>
      </c>
      <c r="F49" s="31" t="s">
        <v>378</v>
      </c>
      <c r="G49" s="33" t="s">
        <v>337</v>
      </c>
      <c r="H49" s="31">
        <v>2.8479999999999999</v>
      </c>
      <c r="I49" s="34">
        <v>370</v>
      </c>
      <c r="J49" s="34" t="s">
        <v>78</v>
      </c>
      <c r="K49" s="31">
        <v>65.430000000000007</v>
      </c>
      <c r="L49" s="34">
        <v>232000</v>
      </c>
      <c r="M49" s="34">
        <v>24179.52</v>
      </c>
      <c r="N49" s="34">
        <v>8435.6166895919287</v>
      </c>
      <c r="O49" s="34">
        <v>2176.3716949411582</v>
      </c>
      <c r="P49" s="34">
        <v>8069.9862448418153</v>
      </c>
      <c r="Q49" s="34">
        <v>396.09964847929081</v>
      </c>
      <c r="R49" s="34">
        <v>0</v>
      </c>
      <c r="S49" s="34">
        <v>12209.445208619898</v>
      </c>
      <c r="T49" s="34">
        <v>0</v>
      </c>
      <c r="U49" s="35">
        <v>0</v>
      </c>
      <c r="V49" s="34">
        <v>287467.03948647407</v>
      </c>
      <c r="W49" s="34">
        <v>212.83</v>
      </c>
      <c r="X49" s="32">
        <v>45245</v>
      </c>
      <c r="Y49" s="34">
        <v>12289.98</v>
      </c>
      <c r="Z49" s="33">
        <f>Шаблон_Формулы_2[[#This Row],[23]]*Шаблон_Формулы_2[[#This Row],[25]]</f>
        <v>2615676.4434000002</v>
      </c>
      <c r="AA49" s="30" t="s">
        <v>487</v>
      </c>
    </row>
    <row r="50" spans="1:27">
      <c r="A50" s="30">
        <v>46</v>
      </c>
      <c r="B50" s="31" t="s">
        <v>321</v>
      </c>
      <c r="C50" s="31" t="s">
        <v>126</v>
      </c>
      <c r="D50" s="31" t="s">
        <v>21</v>
      </c>
      <c r="E50" s="32">
        <v>45209</v>
      </c>
      <c r="F50" s="31" t="s">
        <v>379</v>
      </c>
      <c r="G50" s="33" t="s">
        <v>337</v>
      </c>
      <c r="H50" s="31">
        <v>50.713000000000001</v>
      </c>
      <c r="I50" s="34">
        <v>10998</v>
      </c>
      <c r="J50" s="34" t="s">
        <v>78</v>
      </c>
      <c r="K50" s="31">
        <v>65.430000000000007</v>
      </c>
      <c r="L50" s="34">
        <v>768000</v>
      </c>
      <c r="M50" s="34">
        <v>430553.37</v>
      </c>
      <c r="N50" s="34">
        <v>150209.06923429618</v>
      </c>
      <c r="O50" s="34">
        <v>38753.629833409745</v>
      </c>
      <c r="P50" s="34">
        <v>143698.45942228334</v>
      </c>
      <c r="Q50" s="34">
        <v>7053.1606296805739</v>
      </c>
      <c r="R50" s="34">
        <v>0</v>
      </c>
      <c r="S50" s="34">
        <v>217407.8633654287</v>
      </c>
      <c r="T50" s="34">
        <v>0</v>
      </c>
      <c r="U50" s="35">
        <v>0</v>
      </c>
      <c r="V50" s="34">
        <v>1755675.5524850988</v>
      </c>
      <c r="W50" s="34">
        <v>1299.8399999999999</v>
      </c>
      <c r="X50" s="32">
        <v>45245</v>
      </c>
      <c r="Y50" s="34">
        <v>12289.98</v>
      </c>
      <c r="Z50" s="33">
        <f>Шаблон_Формулы_2[[#This Row],[23]]*Шаблон_Формулы_2[[#This Row],[25]]</f>
        <v>15975007.603199998</v>
      </c>
      <c r="AA50" s="30" t="s">
        <v>487</v>
      </c>
    </row>
    <row r="51" spans="1:27">
      <c r="A51" s="30">
        <v>47</v>
      </c>
      <c r="B51" s="31" t="s">
        <v>321</v>
      </c>
      <c r="C51" s="31" t="s">
        <v>126</v>
      </c>
      <c r="D51" s="31" t="s">
        <v>21</v>
      </c>
      <c r="E51" s="32">
        <v>45209</v>
      </c>
      <c r="F51" s="31" t="s">
        <v>380</v>
      </c>
      <c r="G51" s="33" t="s">
        <v>337</v>
      </c>
      <c r="H51" s="31">
        <v>11.869</v>
      </c>
      <c r="I51" s="34">
        <v>3245</v>
      </c>
      <c r="J51" s="34" t="s">
        <v>78</v>
      </c>
      <c r="K51" s="31">
        <v>65.430000000000007</v>
      </c>
      <c r="L51" s="34">
        <v>332000</v>
      </c>
      <c r="M51" s="34">
        <v>100767.81</v>
      </c>
      <c r="N51" s="34">
        <v>35155.31407611187</v>
      </c>
      <c r="O51" s="34">
        <v>9069.998471649089</v>
      </c>
      <c r="P51" s="34">
        <v>33631.554332874824</v>
      </c>
      <c r="Q51" s="34">
        <v>1650.7397218401343</v>
      </c>
      <c r="R51" s="34">
        <v>0</v>
      </c>
      <c r="S51" s="34">
        <v>50882.691425951387</v>
      </c>
      <c r="T51" s="34">
        <v>0</v>
      </c>
      <c r="U51" s="35">
        <v>0</v>
      </c>
      <c r="V51" s="34">
        <v>563158.10802842735</v>
      </c>
      <c r="W51" s="34">
        <v>416.94</v>
      </c>
      <c r="X51" s="32">
        <v>45245</v>
      </c>
      <c r="Y51" s="34">
        <v>12289.98</v>
      </c>
      <c r="Z51" s="33">
        <f>Шаблон_Формулы_2[[#This Row],[23]]*Шаблон_Формулы_2[[#This Row],[25]]</f>
        <v>5124184.2611999996</v>
      </c>
      <c r="AA51" s="30" t="s">
        <v>487</v>
      </c>
    </row>
    <row r="52" spans="1:27">
      <c r="A52" s="30">
        <v>48</v>
      </c>
      <c r="B52" s="31" t="s">
        <v>321</v>
      </c>
      <c r="C52" s="31" t="s">
        <v>126</v>
      </c>
      <c r="D52" s="31" t="s">
        <v>21</v>
      </c>
      <c r="E52" s="32">
        <v>45209</v>
      </c>
      <c r="F52" s="31" t="s">
        <v>381</v>
      </c>
      <c r="G52" s="33" t="s">
        <v>337</v>
      </c>
      <c r="H52" s="31">
        <v>2.8479999999999999</v>
      </c>
      <c r="I52" s="34">
        <v>370</v>
      </c>
      <c r="J52" s="34" t="s">
        <v>78</v>
      </c>
      <c r="K52" s="31">
        <v>65.430000000000007</v>
      </c>
      <c r="L52" s="34">
        <v>232000</v>
      </c>
      <c r="M52" s="34">
        <v>24179.52</v>
      </c>
      <c r="N52" s="34">
        <v>8435.6166895919287</v>
      </c>
      <c r="O52" s="34">
        <v>2176.3716949411582</v>
      </c>
      <c r="P52" s="34">
        <v>8069.9862448418153</v>
      </c>
      <c r="Q52" s="34">
        <v>396.09964847929081</v>
      </c>
      <c r="R52" s="34">
        <v>0</v>
      </c>
      <c r="S52" s="34">
        <v>12209.445208619898</v>
      </c>
      <c r="T52" s="34">
        <v>0</v>
      </c>
      <c r="U52" s="35">
        <v>0</v>
      </c>
      <c r="V52" s="34">
        <v>287467.03948647407</v>
      </c>
      <c r="W52" s="34">
        <v>212.83</v>
      </c>
      <c r="X52" s="32">
        <v>45245</v>
      </c>
      <c r="Y52" s="34">
        <v>12289.98</v>
      </c>
      <c r="Z52" s="33">
        <f>Шаблон_Формулы_2[[#This Row],[23]]*Шаблон_Формулы_2[[#This Row],[25]]</f>
        <v>2615676.4434000002</v>
      </c>
      <c r="AA52" s="30" t="s">
        <v>487</v>
      </c>
    </row>
    <row r="53" spans="1:27">
      <c r="A53" s="30">
        <v>49</v>
      </c>
      <c r="B53" s="31" t="s">
        <v>322</v>
      </c>
      <c r="C53" s="31" t="s">
        <v>126</v>
      </c>
      <c r="D53" s="31" t="s">
        <v>21</v>
      </c>
      <c r="E53" s="32">
        <v>45209</v>
      </c>
      <c r="F53" s="31" t="s">
        <v>382</v>
      </c>
      <c r="G53" s="33" t="s">
        <v>89</v>
      </c>
      <c r="H53" s="31">
        <v>19.335999999999999</v>
      </c>
      <c r="I53" s="34">
        <v>6923.16</v>
      </c>
      <c r="J53" s="34" t="s">
        <v>78</v>
      </c>
      <c r="K53" s="31">
        <v>53.077999999999996</v>
      </c>
      <c r="L53" s="34">
        <v>338000</v>
      </c>
      <c r="M53" s="34">
        <v>164162.63999999998</v>
      </c>
      <c r="N53" s="34">
        <v>70600.188401974447</v>
      </c>
      <c r="O53" s="34">
        <v>18214.702890086286</v>
      </c>
      <c r="P53" s="34">
        <v>67540.118316439955</v>
      </c>
      <c r="Q53" s="34">
        <v>3315.0759259957044</v>
      </c>
      <c r="R53" s="34">
        <v>0</v>
      </c>
      <c r="S53" s="34">
        <v>102184.48321338407</v>
      </c>
      <c r="T53" s="34">
        <v>0</v>
      </c>
      <c r="U53" s="35">
        <v>0</v>
      </c>
      <c r="V53" s="34">
        <v>764017.20874788042</v>
      </c>
      <c r="W53" s="34">
        <v>565.65</v>
      </c>
      <c r="X53" s="32">
        <v>45245</v>
      </c>
      <c r="Y53" s="34">
        <v>12289.98</v>
      </c>
      <c r="Z53" s="33">
        <f>Шаблон_Формулы_2[[#This Row],[23]]*Шаблон_Формулы_2[[#This Row],[25]]</f>
        <v>6951827.1869999999</v>
      </c>
      <c r="AA53" s="30" t="s">
        <v>487</v>
      </c>
    </row>
    <row r="54" spans="1:27">
      <c r="A54" s="30">
        <v>50</v>
      </c>
      <c r="B54" s="31" t="s">
        <v>322</v>
      </c>
      <c r="C54" s="31" t="s">
        <v>126</v>
      </c>
      <c r="D54" s="31" t="s">
        <v>21</v>
      </c>
      <c r="E54" s="32">
        <v>45209</v>
      </c>
      <c r="F54" s="31" t="s">
        <v>383</v>
      </c>
      <c r="G54" s="33" t="s">
        <v>89</v>
      </c>
      <c r="H54" s="31">
        <v>2.77</v>
      </c>
      <c r="I54" s="34">
        <v>1300.6600000000001</v>
      </c>
      <c r="J54" s="34" t="s">
        <v>78</v>
      </c>
      <c r="K54" s="31">
        <v>53.077999999999996</v>
      </c>
      <c r="L54" s="34">
        <v>235000</v>
      </c>
      <c r="M54" s="34">
        <v>23517.3</v>
      </c>
      <c r="N54" s="34">
        <v>10113.907833754098</v>
      </c>
      <c r="O54" s="34">
        <v>2609.3673461697881</v>
      </c>
      <c r="P54" s="34">
        <v>9675.5341195975743</v>
      </c>
      <c r="Q54" s="34">
        <v>474.90485700290139</v>
      </c>
      <c r="R54" s="34">
        <v>0</v>
      </c>
      <c r="S54" s="34">
        <v>14638.550812012511</v>
      </c>
      <c r="T54" s="34">
        <v>0</v>
      </c>
      <c r="U54" s="35">
        <v>0</v>
      </c>
      <c r="V54" s="34">
        <v>296029.56496853684</v>
      </c>
      <c r="W54" s="34">
        <v>219.17</v>
      </c>
      <c r="X54" s="32">
        <v>45245</v>
      </c>
      <c r="Y54" s="34">
        <v>12289.98</v>
      </c>
      <c r="Z54" s="33">
        <f>Шаблон_Формулы_2[[#This Row],[23]]*Шаблон_Формулы_2[[#This Row],[25]]</f>
        <v>2693594.9165999996</v>
      </c>
      <c r="AA54" s="30" t="s">
        <v>487</v>
      </c>
    </row>
    <row r="55" spans="1:27">
      <c r="A55" s="30">
        <v>51</v>
      </c>
      <c r="B55" s="31" t="s">
        <v>322</v>
      </c>
      <c r="C55" s="31" t="s">
        <v>126</v>
      </c>
      <c r="D55" s="31" t="s">
        <v>21</v>
      </c>
      <c r="E55" s="32">
        <v>45209</v>
      </c>
      <c r="F55" s="31" t="s">
        <v>384</v>
      </c>
      <c r="G55" s="33" t="s">
        <v>89</v>
      </c>
      <c r="H55" s="31">
        <v>1.214</v>
      </c>
      <c r="I55" s="34">
        <v>256.11</v>
      </c>
      <c r="J55" s="34" t="s">
        <v>78</v>
      </c>
      <c r="K55" s="31">
        <v>53.077999999999996</v>
      </c>
      <c r="L55" s="34">
        <v>198000</v>
      </c>
      <c r="M55" s="34">
        <v>10306.86</v>
      </c>
      <c r="N55" s="34">
        <v>4432.593541580316</v>
      </c>
      <c r="O55" s="34">
        <v>1143.5999849278421</v>
      </c>
      <c r="P55" s="34">
        <v>4240.4687441124388</v>
      </c>
      <c r="Q55" s="34">
        <v>208.13519725686726</v>
      </c>
      <c r="R55" s="34">
        <v>0</v>
      </c>
      <c r="S55" s="34">
        <v>6415.5959154451939</v>
      </c>
      <c r="T55" s="34">
        <v>0</v>
      </c>
      <c r="U55" s="35">
        <v>0</v>
      </c>
      <c r="V55" s="34">
        <v>224747.25338332262</v>
      </c>
      <c r="W55" s="34">
        <v>166.39</v>
      </c>
      <c r="X55" s="32">
        <v>45245</v>
      </c>
      <c r="Y55" s="34">
        <v>12289.98</v>
      </c>
      <c r="Z55" s="33">
        <f>Шаблон_Формулы_2[[#This Row],[23]]*Шаблон_Формулы_2[[#This Row],[25]]</f>
        <v>2044929.7721999998</v>
      </c>
      <c r="AA55" s="30" t="s">
        <v>487</v>
      </c>
    </row>
    <row r="56" spans="1:27">
      <c r="A56" s="30">
        <v>52</v>
      </c>
      <c r="B56" s="31" t="s">
        <v>322</v>
      </c>
      <c r="C56" s="31" t="s">
        <v>126</v>
      </c>
      <c r="D56" s="31" t="s">
        <v>21</v>
      </c>
      <c r="E56" s="32">
        <v>45209</v>
      </c>
      <c r="F56" s="31" t="s">
        <v>385</v>
      </c>
      <c r="G56" s="33" t="s">
        <v>83</v>
      </c>
      <c r="H56" s="31">
        <v>29.757999999999999</v>
      </c>
      <c r="I56" s="34">
        <v>9078</v>
      </c>
      <c r="J56" s="34" t="s">
        <v>78</v>
      </c>
      <c r="K56" s="31">
        <v>53.077999999999996</v>
      </c>
      <c r="L56" s="34">
        <v>635000</v>
      </c>
      <c r="M56" s="34">
        <v>252645.41999999998</v>
      </c>
      <c r="N56" s="34">
        <v>108653.31022269114</v>
      </c>
      <c r="O56" s="34">
        <v>28032.329778816085</v>
      </c>
      <c r="P56" s="34">
        <v>103943.87881985004</v>
      </c>
      <c r="Q56" s="34">
        <v>5101.884019744527</v>
      </c>
      <c r="R56" s="34">
        <v>0</v>
      </c>
      <c r="S56" s="34">
        <v>157261.37005915825</v>
      </c>
      <c r="T56" s="34">
        <v>0</v>
      </c>
      <c r="U56" s="35">
        <v>0</v>
      </c>
      <c r="V56" s="34">
        <v>1290638.19290026</v>
      </c>
      <c r="W56" s="34">
        <v>955.54</v>
      </c>
      <c r="X56" s="32">
        <v>45245</v>
      </c>
      <c r="Y56" s="34">
        <v>12289.98</v>
      </c>
      <c r="Z56" s="33">
        <f>Шаблон_Формулы_2[[#This Row],[23]]*Шаблон_Формулы_2[[#This Row],[25]]</f>
        <v>11743567.4892</v>
      </c>
      <c r="AA56" s="30" t="s">
        <v>487</v>
      </c>
    </row>
    <row r="57" spans="1:27" ht="24">
      <c r="A57" s="30">
        <v>53</v>
      </c>
      <c r="B57" s="31" t="s">
        <v>323</v>
      </c>
      <c r="C57" s="31" t="s">
        <v>126</v>
      </c>
      <c r="D57" s="31" t="s">
        <v>21</v>
      </c>
      <c r="E57" s="32">
        <v>45218</v>
      </c>
      <c r="F57" s="31" t="s">
        <v>386</v>
      </c>
      <c r="G57" s="33" t="s">
        <v>331</v>
      </c>
      <c r="H57" s="31">
        <v>19.888000000000002</v>
      </c>
      <c r="I57" s="34">
        <v>11319</v>
      </c>
      <c r="J57" s="34" t="s">
        <v>78</v>
      </c>
      <c r="K57" s="31">
        <v>39.114000000000004</v>
      </c>
      <c r="L57" s="34">
        <v>799000</v>
      </c>
      <c r="M57" s="34">
        <v>168849.12000000002</v>
      </c>
      <c r="N57" s="34">
        <v>98540.021475686459</v>
      </c>
      <c r="O57" s="34">
        <v>25423.122155749861</v>
      </c>
      <c r="P57" s="34">
        <v>94268.93695352049</v>
      </c>
      <c r="Q57" s="34">
        <v>4627.0082323464749</v>
      </c>
      <c r="R57" s="34">
        <v>0</v>
      </c>
      <c r="S57" s="34">
        <v>142623.71529375672</v>
      </c>
      <c r="T57" s="34">
        <v>0</v>
      </c>
      <c r="U57" s="35">
        <v>0</v>
      </c>
      <c r="V57" s="34">
        <v>1333331.9241110599</v>
      </c>
      <c r="W57" s="34">
        <v>987.15</v>
      </c>
      <c r="X57" s="32">
        <v>45245</v>
      </c>
      <c r="Y57" s="34">
        <v>12289.98</v>
      </c>
      <c r="Z57" s="33">
        <f>Шаблон_Формулы_2[[#This Row],[23]]*Шаблон_Формулы_2[[#This Row],[25]]</f>
        <v>12132053.756999999</v>
      </c>
      <c r="AA57" s="30" t="s">
        <v>487</v>
      </c>
    </row>
    <row r="58" spans="1:27" ht="24">
      <c r="A58" s="30">
        <v>54</v>
      </c>
      <c r="B58" s="31" t="s">
        <v>323</v>
      </c>
      <c r="C58" s="31" t="s">
        <v>126</v>
      </c>
      <c r="D58" s="31" t="s">
        <v>21</v>
      </c>
      <c r="E58" s="32">
        <v>45218</v>
      </c>
      <c r="F58" s="31" t="s">
        <v>387</v>
      </c>
      <c r="G58" s="33" t="s">
        <v>331</v>
      </c>
      <c r="H58" s="31">
        <v>17.25</v>
      </c>
      <c r="I58" s="34">
        <v>10808.2</v>
      </c>
      <c r="J58" s="34" t="s">
        <v>78</v>
      </c>
      <c r="K58" s="31">
        <v>39.114000000000004</v>
      </c>
      <c r="L58" s="34">
        <v>534000</v>
      </c>
      <c r="M58" s="34">
        <v>146452.5</v>
      </c>
      <c r="N58" s="34">
        <v>85469.397146801639</v>
      </c>
      <c r="O58" s="34">
        <v>22050.928056450372</v>
      </c>
      <c r="P58" s="34">
        <v>81764.841233317988</v>
      </c>
      <c r="Q58" s="34">
        <v>4013.2689062739678</v>
      </c>
      <c r="R58" s="34">
        <v>0</v>
      </c>
      <c r="S58" s="34">
        <v>123705.70639668658</v>
      </c>
      <c r="T58" s="34">
        <v>0</v>
      </c>
      <c r="U58" s="35">
        <v>0</v>
      </c>
      <c r="V58" s="34">
        <v>997456.64173953061</v>
      </c>
      <c r="W58" s="34">
        <v>738.48</v>
      </c>
      <c r="X58" s="32">
        <v>45245</v>
      </c>
      <c r="Y58" s="34">
        <v>12289.98</v>
      </c>
      <c r="Z58" s="33">
        <f>Шаблон_Формулы_2[[#This Row],[23]]*Шаблон_Формулы_2[[#This Row],[25]]</f>
        <v>9075904.430399999</v>
      </c>
      <c r="AA58" s="30" t="s">
        <v>487</v>
      </c>
    </row>
    <row r="59" spans="1:27">
      <c r="A59" s="30">
        <v>55</v>
      </c>
      <c r="B59" s="31" t="s">
        <v>323</v>
      </c>
      <c r="C59" s="31" t="s">
        <v>126</v>
      </c>
      <c r="D59" s="31" t="s">
        <v>21</v>
      </c>
      <c r="E59" s="32">
        <v>45218</v>
      </c>
      <c r="F59" s="31" t="s">
        <v>388</v>
      </c>
      <c r="G59" s="33" t="s">
        <v>356</v>
      </c>
      <c r="H59" s="31">
        <v>1.976</v>
      </c>
      <c r="I59" s="34">
        <v>1427.64</v>
      </c>
      <c r="J59" s="34" t="s">
        <v>88</v>
      </c>
      <c r="K59" s="31">
        <v>39.114000000000004</v>
      </c>
      <c r="L59" s="34">
        <v>0</v>
      </c>
      <c r="M59" s="34">
        <v>0</v>
      </c>
      <c r="N59" s="34">
        <v>0</v>
      </c>
      <c r="O59" s="34">
        <v>0</v>
      </c>
      <c r="P59" s="34">
        <v>0</v>
      </c>
      <c r="Q59" s="34">
        <v>0</v>
      </c>
      <c r="R59" s="34">
        <v>0</v>
      </c>
      <c r="S59" s="34">
        <v>0</v>
      </c>
      <c r="T59" s="34">
        <v>0</v>
      </c>
      <c r="U59" s="35">
        <v>0</v>
      </c>
      <c r="V59" s="34">
        <v>0</v>
      </c>
      <c r="W59" s="34">
        <v>0</v>
      </c>
      <c r="X59" s="32">
        <v>45245</v>
      </c>
      <c r="Y59" s="34">
        <v>12289.98</v>
      </c>
      <c r="Z59" s="33">
        <f>Шаблон_Формулы_2[[#This Row],[23]]*Шаблон_Формулы_2[[#This Row],[25]]</f>
        <v>0</v>
      </c>
      <c r="AA59" s="30" t="s">
        <v>487</v>
      </c>
    </row>
    <row r="60" spans="1:27" ht="24">
      <c r="A60" s="30">
        <v>56</v>
      </c>
      <c r="B60" s="31" t="s">
        <v>324</v>
      </c>
      <c r="C60" s="31" t="s">
        <v>126</v>
      </c>
      <c r="D60" s="31" t="s">
        <v>21</v>
      </c>
      <c r="E60" s="32">
        <v>45218</v>
      </c>
      <c r="F60" s="31" t="s">
        <v>389</v>
      </c>
      <c r="G60" s="33" t="s">
        <v>331</v>
      </c>
      <c r="H60" s="31">
        <v>37.15</v>
      </c>
      <c r="I60" s="34">
        <v>23279.200000000001</v>
      </c>
      <c r="J60" s="34" t="s">
        <v>78</v>
      </c>
      <c r="K60" s="31">
        <v>37.15</v>
      </c>
      <c r="L60" s="34">
        <v>1421000</v>
      </c>
      <c r="M60" s="34">
        <v>315403.5</v>
      </c>
      <c r="N60" s="34">
        <v>193800</v>
      </c>
      <c r="O60" s="34">
        <v>50000</v>
      </c>
      <c r="P60" s="34">
        <v>185400</v>
      </c>
      <c r="Q60" s="34">
        <v>9100</v>
      </c>
      <c r="R60" s="34">
        <v>0</v>
      </c>
      <c r="S60" s="34">
        <v>280500</v>
      </c>
      <c r="T60" s="34">
        <v>0</v>
      </c>
      <c r="U60" s="35">
        <v>0</v>
      </c>
      <c r="V60" s="34">
        <v>2455203.5</v>
      </c>
      <c r="W60" s="34">
        <v>1817.74</v>
      </c>
      <c r="X60" s="32">
        <v>45245</v>
      </c>
      <c r="Y60" s="34">
        <v>12289.98</v>
      </c>
      <c r="Z60" s="33">
        <f>Шаблон_Формулы_2[[#This Row],[23]]*Шаблон_Формулы_2[[#This Row],[25]]</f>
        <v>22339988.245200001</v>
      </c>
      <c r="AA60" s="30" t="s">
        <v>487</v>
      </c>
    </row>
    <row r="61" spans="1:27" ht="24">
      <c r="A61" s="30">
        <v>57</v>
      </c>
      <c r="B61" s="31" t="s">
        <v>325</v>
      </c>
      <c r="C61" s="31" t="s">
        <v>126</v>
      </c>
      <c r="D61" s="31" t="s">
        <v>21</v>
      </c>
      <c r="E61" s="32">
        <v>45218</v>
      </c>
      <c r="F61" s="31" t="s">
        <v>390</v>
      </c>
      <c r="G61" s="33" t="s">
        <v>331</v>
      </c>
      <c r="H61" s="31">
        <v>21.23</v>
      </c>
      <c r="I61" s="34">
        <v>13302.4</v>
      </c>
      <c r="J61" s="34" t="s">
        <v>78</v>
      </c>
      <c r="K61" s="31">
        <v>58.992999999999995</v>
      </c>
      <c r="L61" s="34">
        <v>887000</v>
      </c>
      <c r="M61" s="34">
        <v>180242.7</v>
      </c>
      <c r="N61" s="34">
        <v>69743.427186276342</v>
      </c>
      <c r="O61" s="34">
        <v>17993.66026477718</v>
      </c>
      <c r="P61" s="34">
        <v>66720.49226179377</v>
      </c>
      <c r="Q61" s="34">
        <v>3274.8461681894464</v>
      </c>
      <c r="R61" s="34">
        <v>0</v>
      </c>
      <c r="S61" s="34">
        <v>100944.43408539997</v>
      </c>
      <c r="T61" s="34">
        <v>0</v>
      </c>
      <c r="U61" s="35">
        <v>0</v>
      </c>
      <c r="V61" s="34">
        <v>1325919.5599664368</v>
      </c>
      <c r="W61" s="34">
        <v>981.66</v>
      </c>
      <c r="X61" s="32">
        <v>45245</v>
      </c>
      <c r="Y61" s="34">
        <v>12289.98</v>
      </c>
      <c r="Z61" s="33">
        <f>Шаблон_Формулы_2[[#This Row],[23]]*Шаблон_Формулы_2[[#This Row],[25]]</f>
        <v>12064581.766799999</v>
      </c>
      <c r="AA61" s="30" t="s">
        <v>487</v>
      </c>
    </row>
    <row r="62" spans="1:27">
      <c r="A62" s="30">
        <v>58</v>
      </c>
      <c r="B62" s="31" t="s">
        <v>325</v>
      </c>
      <c r="C62" s="31" t="s">
        <v>126</v>
      </c>
      <c r="D62" s="31" t="s">
        <v>21</v>
      </c>
      <c r="E62" s="32">
        <v>45218</v>
      </c>
      <c r="F62" s="31" t="s">
        <v>391</v>
      </c>
      <c r="G62" s="33" t="s">
        <v>337</v>
      </c>
      <c r="H62" s="31">
        <v>37.762999999999998</v>
      </c>
      <c r="I62" s="34">
        <v>4737.6000000000004</v>
      </c>
      <c r="J62" s="34" t="s">
        <v>78</v>
      </c>
      <c r="K62" s="31">
        <v>58.992999999999995</v>
      </c>
      <c r="L62" s="34">
        <v>683100</v>
      </c>
      <c r="M62" s="34">
        <v>320607.87</v>
      </c>
      <c r="N62" s="34">
        <v>124056.57281372366</v>
      </c>
      <c r="O62" s="34">
        <v>32006.33973522282</v>
      </c>
      <c r="P62" s="34">
        <v>118679.50773820623</v>
      </c>
      <c r="Q62" s="34">
        <v>5825.1538318105531</v>
      </c>
      <c r="R62" s="34">
        <v>0</v>
      </c>
      <c r="S62" s="34">
        <v>179555.56591460004</v>
      </c>
      <c r="T62" s="34">
        <v>0</v>
      </c>
      <c r="U62" s="35">
        <v>0</v>
      </c>
      <c r="V62" s="34">
        <v>1463831.0100335632</v>
      </c>
      <c r="W62" s="34">
        <v>1083.76</v>
      </c>
      <c r="X62" s="32">
        <v>45245</v>
      </c>
      <c r="Y62" s="34">
        <v>12289.98</v>
      </c>
      <c r="Z62" s="33">
        <f>Шаблон_Формулы_2[[#This Row],[23]]*Шаблон_Формулы_2[[#This Row],[25]]</f>
        <v>13319388.7248</v>
      </c>
      <c r="AA62" s="30" t="s">
        <v>487</v>
      </c>
    </row>
    <row r="63" spans="1:27">
      <c r="A63" s="30">
        <v>59</v>
      </c>
      <c r="B63" s="31" t="s">
        <v>326</v>
      </c>
      <c r="C63" s="31" t="s">
        <v>126</v>
      </c>
      <c r="D63" s="31" t="s">
        <v>21</v>
      </c>
      <c r="E63" s="32">
        <v>45218</v>
      </c>
      <c r="F63" s="31" t="s">
        <v>392</v>
      </c>
      <c r="G63" s="33" t="s">
        <v>337</v>
      </c>
      <c r="H63" s="31">
        <v>34.53</v>
      </c>
      <c r="I63" s="34">
        <v>7488</v>
      </c>
      <c r="J63" s="34" t="s">
        <v>78</v>
      </c>
      <c r="K63" s="31">
        <v>64.739999999999995</v>
      </c>
      <c r="L63" s="34">
        <v>624000</v>
      </c>
      <c r="M63" s="34">
        <v>293159.7</v>
      </c>
      <c r="N63" s="34">
        <v>103365.98702502318</v>
      </c>
      <c r="O63" s="34">
        <v>26668.211306765526</v>
      </c>
      <c r="P63" s="34">
        <v>98885.727525486567</v>
      </c>
      <c r="Q63" s="34">
        <v>4853.614457831326</v>
      </c>
      <c r="R63" s="34">
        <v>0</v>
      </c>
      <c r="S63" s="34">
        <v>149608.6654309546</v>
      </c>
      <c r="T63" s="34">
        <v>0</v>
      </c>
      <c r="U63" s="35">
        <v>0</v>
      </c>
      <c r="V63" s="34">
        <v>1300541.9057460611</v>
      </c>
      <c r="W63" s="34">
        <v>962.87</v>
      </c>
      <c r="X63" s="32">
        <v>45245</v>
      </c>
      <c r="Y63" s="34">
        <v>12289.98</v>
      </c>
      <c r="Z63" s="33">
        <f>Шаблон_Формулы_2[[#This Row],[23]]*Шаблон_Формулы_2[[#This Row],[25]]</f>
        <v>11833653.0426</v>
      </c>
      <c r="AA63" s="30" t="s">
        <v>487</v>
      </c>
    </row>
    <row r="64" spans="1:27">
      <c r="A64" s="30">
        <v>60</v>
      </c>
      <c r="B64" s="31" t="s">
        <v>326</v>
      </c>
      <c r="C64" s="31" t="s">
        <v>126</v>
      </c>
      <c r="D64" s="31" t="s">
        <v>21</v>
      </c>
      <c r="E64" s="32">
        <v>45218</v>
      </c>
      <c r="F64" s="31" t="s">
        <v>393</v>
      </c>
      <c r="G64" s="33" t="s">
        <v>337</v>
      </c>
      <c r="H64" s="31">
        <v>16.190000000000001</v>
      </c>
      <c r="I64" s="34">
        <v>2030.4</v>
      </c>
      <c r="J64" s="34" t="s">
        <v>78</v>
      </c>
      <c r="K64" s="31">
        <v>64.739999999999995</v>
      </c>
      <c r="L64" s="34">
        <v>376000</v>
      </c>
      <c r="M64" s="34">
        <v>137453.1</v>
      </c>
      <c r="N64" s="34">
        <v>48464.967562557926</v>
      </c>
      <c r="O64" s="34">
        <v>12503.861600247143</v>
      </c>
      <c r="P64" s="34">
        <v>46364.318813716403</v>
      </c>
      <c r="Q64" s="34">
        <v>2275.7028112449802</v>
      </c>
      <c r="R64" s="34">
        <v>0</v>
      </c>
      <c r="S64" s="34">
        <v>70146.663577386469</v>
      </c>
      <c r="T64" s="34">
        <v>0</v>
      </c>
      <c r="U64" s="35">
        <v>0</v>
      </c>
      <c r="V64" s="34">
        <v>693208.61436515278</v>
      </c>
      <c r="W64" s="34">
        <v>513.23</v>
      </c>
      <c r="X64" s="32">
        <v>45245</v>
      </c>
      <c r="Y64" s="34">
        <v>12289.98</v>
      </c>
      <c r="Z64" s="33">
        <f>Шаблон_Формулы_2[[#This Row],[23]]*Шаблон_Формулы_2[[#This Row],[25]]</f>
        <v>6307586.4353999998</v>
      </c>
      <c r="AA64" s="30" t="s">
        <v>487</v>
      </c>
    </row>
    <row r="65" spans="1:27">
      <c r="A65" s="30">
        <v>61</v>
      </c>
      <c r="B65" s="31" t="s">
        <v>326</v>
      </c>
      <c r="C65" s="31" t="s">
        <v>126</v>
      </c>
      <c r="D65" s="31" t="s">
        <v>21</v>
      </c>
      <c r="E65" s="32">
        <v>45218</v>
      </c>
      <c r="F65" s="31" t="s">
        <v>394</v>
      </c>
      <c r="G65" s="33" t="s">
        <v>337</v>
      </c>
      <c r="H65" s="31">
        <v>14.02</v>
      </c>
      <c r="I65" s="34">
        <v>9068.7999999999993</v>
      </c>
      <c r="J65" s="34" t="s">
        <v>78</v>
      </c>
      <c r="K65" s="31">
        <v>64.739999999999995</v>
      </c>
      <c r="L65" s="34">
        <v>392000</v>
      </c>
      <c r="M65" s="34">
        <v>119029.8</v>
      </c>
      <c r="N65" s="34">
        <v>41969.045412418905</v>
      </c>
      <c r="O65" s="34">
        <v>10827.927092987335</v>
      </c>
      <c r="P65" s="34">
        <v>40149.953660797037</v>
      </c>
      <c r="Q65" s="34">
        <v>1970.6827309236949</v>
      </c>
      <c r="R65" s="34">
        <v>0</v>
      </c>
      <c r="S65" s="34">
        <v>60744.670991658946</v>
      </c>
      <c r="T65" s="34">
        <v>0</v>
      </c>
      <c r="U65" s="35">
        <v>0</v>
      </c>
      <c r="V65" s="34">
        <v>666692.07988878596</v>
      </c>
      <c r="W65" s="34">
        <v>493.59</v>
      </c>
      <c r="X65" s="32">
        <v>45245</v>
      </c>
      <c r="Y65" s="34">
        <v>12289.98</v>
      </c>
      <c r="Z65" s="33">
        <f>Шаблон_Формулы_2[[#This Row],[23]]*Шаблон_Формулы_2[[#This Row],[25]]</f>
        <v>6066211.2281999998</v>
      </c>
      <c r="AA65" s="30" t="s">
        <v>487</v>
      </c>
    </row>
    <row r="66" spans="1:27">
      <c r="A66" s="30">
        <v>62</v>
      </c>
      <c r="B66" s="31" t="s">
        <v>327</v>
      </c>
      <c r="C66" s="31" t="s">
        <v>126</v>
      </c>
      <c r="D66" s="31" t="s">
        <v>21</v>
      </c>
      <c r="E66" s="32">
        <v>45218</v>
      </c>
      <c r="F66" s="31" t="s">
        <v>395</v>
      </c>
      <c r="G66" s="33" t="s">
        <v>337</v>
      </c>
      <c r="H66" s="31">
        <v>34.53</v>
      </c>
      <c r="I66" s="34">
        <v>7744</v>
      </c>
      <c r="J66" s="34" t="s">
        <v>78</v>
      </c>
      <c r="K66" s="31">
        <v>64.739999999999995</v>
      </c>
      <c r="L66" s="34">
        <v>624000</v>
      </c>
      <c r="M66" s="34">
        <v>293159.7</v>
      </c>
      <c r="N66" s="34">
        <v>103365.98702502318</v>
      </c>
      <c r="O66" s="34">
        <v>26668.211306765526</v>
      </c>
      <c r="P66" s="34">
        <v>98885.727525486567</v>
      </c>
      <c r="Q66" s="34">
        <v>4853.614457831326</v>
      </c>
      <c r="R66" s="34">
        <v>0</v>
      </c>
      <c r="S66" s="34">
        <v>149608.6654309546</v>
      </c>
      <c r="T66" s="34">
        <v>0</v>
      </c>
      <c r="U66" s="35">
        <v>0</v>
      </c>
      <c r="V66" s="34">
        <v>1300541.9057460611</v>
      </c>
      <c r="W66" s="34">
        <v>962.87</v>
      </c>
      <c r="X66" s="32">
        <v>45245</v>
      </c>
      <c r="Y66" s="34">
        <v>12289.98</v>
      </c>
      <c r="Z66" s="33">
        <f>Шаблон_Формулы_2[[#This Row],[23]]*Шаблон_Формулы_2[[#This Row],[25]]</f>
        <v>11833653.0426</v>
      </c>
      <c r="AA66" s="30" t="s">
        <v>487</v>
      </c>
    </row>
    <row r="67" spans="1:27">
      <c r="A67" s="30">
        <v>63</v>
      </c>
      <c r="B67" s="31" t="s">
        <v>327</v>
      </c>
      <c r="C67" s="31" t="s">
        <v>126</v>
      </c>
      <c r="D67" s="31" t="s">
        <v>21</v>
      </c>
      <c r="E67" s="32">
        <v>45218</v>
      </c>
      <c r="F67" s="31" t="s">
        <v>396</v>
      </c>
      <c r="G67" s="33" t="s">
        <v>337</v>
      </c>
      <c r="H67" s="31">
        <v>16.190000000000001</v>
      </c>
      <c r="I67" s="34">
        <v>2030.4</v>
      </c>
      <c r="J67" s="34" t="s">
        <v>78</v>
      </c>
      <c r="K67" s="31">
        <v>64.739999999999995</v>
      </c>
      <c r="L67" s="34">
        <v>376000</v>
      </c>
      <c r="M67" s="34">
        <v>137453.1</v>
      </c>
      <c r="N67" s="34">
        <v>48464.967562557926</v>
      </c>
      <c r="O67" s="34">
        <v>12503.861600247143</v>
      </c>
      <c r="P67" s="34">
        <v>46364.318813716403</v>
      </c>
      <c r="Q67" s="34">
        <v>2275.7028112449802</v>
      </c>
      <c r="R67" s="34">
        <v>0</v>
      </c>
      <c r="S67" s="34">
        <v>70146.663577386469</v>
      </c>
      <c r="T67" s="34">
        <v>0</v>
      </c>
      <c r="U67" s="35">
        <v>0</v>
      </c>
      <c r="V67" s="34">
        <v>693208.61436515278</v>
      </c>
      <c r="W67" s="34">
        <v>513.23</v>
      </c>
      <c r="X67" s="32">
        <v>45245</v>
      </c>
      <c r="Y67" s="34">
        <v>12289.98</v>
      </c>
      <c r="Z67" s="33">
        <f>Шаблон_Формулы_2[[#This Row],[23]]*Шаблон_Формулы_2[[#This Row],[25]]</f>
        <v>6307586.4353999998</v>
      </c>
      <c r="AA67" s="30" t="s">
        <v>487</v>
      </c>
    </row>
    <row r="68" spans="1:27">
      <c r="A68" s="30">
        <v>64</v>
      </c>
      <c r="B68" s="31" t="s">
        <v>327</v>
      </c>
      <c r="C68" s="31" t="s">
        <v>126</v>
      </c>
      <c r="D68" s="31" t="s">
        <v>21</v>
      </c>
      <c r="E68" s="32">
        <v>45218</v>
      </c>
      <c r="F68" s="31" t="s">
        <v>397</v>
      </c>
      <c r="G68" s="33" t="s">
        <v>337</v>
      </c>
      <c r="H68" s="31">
        <v>14.02</v>
      </c>
      <c r="I68" s="34">
        <v>9068.7999999999993</v>
      </c>
      <c r="J68" s="34" t="s">
        <v>78</v>
      </c>
      <c r="K68" s="31">
        <v>64.739999999999995</v>
      </c>
      <c r="L68" s="34">
        <v>392000</v>
      </c>
      <c r="M68" s="34">
        <v>119029.8</v>
      </c>
      <c r="N68" s="34">
        <v>41969.045412418905</v>
      </c>
      <c r="O68" s="34">
        <v>10827.927092987335</v>
      </c>
      <c r="P68" s="34">
        <v>40149.953660797037</v>
      </c>
      <c r="Q68" s="34">
        <v>1970.6827309236949</v>
      </c>
      <c r="R68" s="34">
        <v>0</v>
      </c>
      <c r="S68" s="34">
        <v>60744.670991658946</v>
      </c>
      <c r="T68" s="34">
        <v>0</v>
      </c>
      <c r="U68" s="35">
        <v>0</v>
      </c>
      <c r="V68" s="34">
        <v>666692.07988878596</v>
      </c>
      <c r="W68" s="34">
        <v>493.59</v>
      </c>
      <c r="X68" s="32">
        <v>45245</v>
      </c>
      <c r="Y68" s="34">
        <v>12289.98</v>
      </c>
      <c r="Z68" s="33">
        <f>Шаблон_Формулы_2[[#This Row],[23]]*Шаблон_Формулы_2[[#This Row],[25]]</f>
        <v>6066211.2281999998</v>
      </c>
      <c r="AA68" s="30" t="s">
        <v>487</v>
      </c>
    </row>
    <row r="69" spans="1:27">
      <c r="A69" s="30">
        <v>65</v>
      </c>
      <c r="B69" s="31" t="s">
        <v>328</v>
      </c>
      <c r="C69" s="31" t="s">
        <v>126</v>
      </c>
      <c r="D69" s="31" t="s">
        <v>21</v>
      </c>
      <c r="E69" s="32">
        <v>45218</v>
      </c>
      <c r="F69" s="31" t="s">
        <v>398</v>
      </c>
      <c r="G69" s="33" t="s">
        <v>337</v>
      </c>
      <c r="H69" s="31">
        <v>24.82</v>
      </c>
      <c r="I69" s="34">
        <v>6969</v>
      </c>
      <c r="J69" s="34" t="s">
        <v>78</v>
      </c>
      <c r="K69" s="31">
        <v>64.739999999999995</v>
      </c>
      <c r="L69" s="34">
        <v>392000</v>
      </c>
      <c r="M69" s="34">
        <v>210721.8</v>
      </c>
      <c r="N69" s="34">
        <v>74298.980537534764</v>
      </c>
      <c r="O69" s="34">
        <v>19168.983626814952</v>
      </c>
      <c r="P69" s="34">
        <v>71078.591288229843</v>
      </c>
      <c r="Q69" s="34">
        <v>3488.7550200803216</v>
      </c>
      <c r="R69" s="34">
        <v>0</v>
      </c>
      <c r="S69" s="34">
        <v>107537.99814643188</v>
      </c>
      <c r="T69" s="34">
        <v>0</v>
      </c>
      <c r="U69" s="35">
        <v>0</v>
      </c>
      <c r="V69" s="34">
        <v>878295.1086190918</v>
      </c>
      <c r="W69" s="34">
        <v>650.26</v>
      </c>
      <c r="X69" s="32">
        <v>45245</v>
      </c>
      <c r="Y69" s="34">
        <v>12289.98</v>
      </c>
      <c r="Z69" s="33">
        <f>Шаблон_Формулы_2[[#This Row],[23]]*Шаблон_Формулы_2[[#This Row],[25]]</f>
        <v>7991682.3947999999</v>
      </c>
      <c r="AA69" s="30" t="s">
        <v>487</v>
      </c>
    </row>
    <row r="70" spans="1:27">
      <c r="A70" s="30">
        <v>66</v>
      </c>
      <c r="B70" s="31" t="s">
        <v>328</v>
      </c>
      <c r="C70" s="31" t="s">
        <v>126</v>
      </c>
      <c r="D70" s="31" t="s">
        <v>21</v>
      </c>
      <c r="E70" s="32">
        <v>45218</v>
      </c>
      <c r="F70" s="31" t="s">
        <v>399</v>
      </c>
      <c r="G70" s="33" t="s">
        <v>337</v>
      </c>
      <c r="H70" s="31">
        <v>24.82</v>
      </c>
      <c r="I70" s="34">
        <v>6969</v>
      </c>
      <c r="J70" s="34" t="s">
        <v>78</v>
      </c>
      <c r="K70" s="31">
        <v>64.739999999999995</v>
      </c>
      <c r="L70" s="34">
        <v>392000</v>
      </c>
      <c r="M70" s="34">
        <v>210721.8</v>
      </c>
      <c r="N70" s="34">
        <v>74298.980537534764</v>
      </c>
      <c r="O70" s="34">
        <v>19168.983626814952</v>
      </c>
      <c r="P70" s="34">
        <v>71078.591288229843</v>
      </c>
      <c r="Q70" s="34">
        <v>3488.7550200803216</v>
      </c>
      <c r="R70" s="34">
        <v>0</v>
      </c>
      <c r="S70" s="34">
        <v>107537.99814643188</v>
      </c>
      <c r="T70" s="34">
        <v>0</v>
      </c>
      <c r="U70" s="35">
        <v>0</v>
      </c>
      <c r="V70" s="34">
        <v>878295.1086190918</v>
      </c>
      <c r="W70" s="34">
        <v>650.26</v>
      </c>
      <c r="X70" s="32">
        <v>45245</v>
      </c>
      <c r="Y70" s="34">
        <v>12289.98</v>
      </c>
      <c r="Z70" s="33">
        <f>Шаблон_Формулы_2[[#This Row],[23]]*Шаблон_Формулы_2[[#This Row],[25]]</f>
        <v>7991682.3947999999</v>
      </c>
      <c r="AA70" s="30" t="s">
        <v>487</v>
      </c>
    </row>
    <row r="71" spans="1:27">
      <c r="A71" s="30">
        <v>67</v>
      </c>
      <c r="B71" s="31" t="s">
        <v>328</v>
      </c>
      <c r="C71" s="31" t="s">
        <v>126</v>
      </c>
      <c r="D71" s="31" t="s">
        <v>21</v>
      </c>
      <c r="E71" s="32">
        <v>45218</v>
      </c>
      <c r="F71" s="31" t="s">
        <v>400</v>
      </c>
      <c r="G71" s="33" t="s">
        <v>337</v>
      </c>
      <c r="H71" s="31">
        <v>7.55</v>
      </c>
      <c r="I71" s="34">
        <v>2065</v>
      </c>
      <c r="J71" s="34" t="s">
        <v>78</v>
      </c>
      <c r="K71" s="31">
        <v>64.739999999999995</v>
      </c>
      <c r="L71" s="34">
        <v>332000</v>
      </c>
      <c r="M71" s="34">
        <v>64099.5</v>
      </c>
      <c r="N71" s="34">
        <v>22601.019462465247</v>
      </c>
      <c r="O71" s="34">
        <v>5831.016373185048</v>
      </c>
      <c r="P71" s="34">
        <v>21621.40871177016</v>
      </c>
      <c r="Q71" s="34">
        <v>1061.2449799196788</v>
      </c>
      <c r="R71" s="34">
        <v>0</v>
      </c>
      <c r="S71" s="34">
        <v>32712.001853568119</v>
      </c>
      <c r="T71" s="34">
        <v>0</v>
      </c>
      <c r="U71" s="35">
        <v>0</v>
      </c>
      <c r="V71" s="34">
        <v>479926.19138090825</v>
      </c>
      <c r="W71" s="34">
        <v>355.32</v>
      </c>
      <c r="X71" s="32">
        <v>45245</v>
      </c>
      <c r="Y71" s="34">
        <v>12289.98</v>
      </c>
      <c r="Z71" s="33">
        <f>Шаблон_Формулы_2[[#This Row],[23]]*Шаблон_Формулы_2[[#This Row],[25]]</f>
        <v>4366875.6935999999</v>
      </c>
      <c r="AA71" s="30" t="s">
        <v>487</v>
      </c>
    </row>
    <row r="72" spans="1:27">
      <c r="A72" s="30">
        <v>68</v>
      </c>
      <c r="B72" s="31" t="s">
        <v>328</v>
      </c>
      <c r="C72" s="31" t="s">
        <v>126</v>
      </c>
      <c r="D72" s="31" t="s">
        <v>21</v>
      </c>
      <c r="E72" s="32">
        <v>45218</v>
      </c>
      <c r="F72" s="31" t="s">
        <v>401</v>
      </c>
      <c r="G72" s="33" t="s">
        <v>337</v>
      </c>
      <c r="H72" s="31">
        <v>7.55</v>
      </c>
      <c r="I72" s="34">
        <v>2065</v>
      </c>
      <c r="J72" s="34" t="s">
        <v>78</v>
      </c>
      <c r="K72" s="31">
        <v>64.739999999999995</v>
      </c>
      <c r="L72" s="34">
        <v>332000</v>
      </c>
      <c r="M72" s="34">
        <v>64099.5</v>
      </c>
      <c r="N72" s="34">
        <v>22601.019462465247</v>
      </c>
      <c r="O72" s="34">
        <v>5831.016373185048</v>
      </c>
      <c r="P72" s="34">
        <v>21621.40871177016</v>
      </c>
      <c r="Q72" s="34">
        <v>1061.2449799196788</v>
      </c>
      <c r="R72" s="34">
        <v>0</v>
      </c>
      <c r="S72" s="34">
        <v>32712.001853568119</v>
      </c>
      <c r="T72" s="34">
        <v>0</v>
      </c>
      <c r="U72" s="35">
        <v>0</v>
      </c>
      <c r="V72" s="34">
        <v>479926.19138090825</v>
      </c>
      <c r="W72" s="34">
        <v>355.32</v>
      </c>
      <c r="X72" s="32">
        <v>45245</v>
      </c>
      <c r="Y72" s="34">
        <v>12289.98</v>
      </c>
      <c r="Z72" s="33">
        <f>Шаблон_Формулы_2[[#This Row],[23]]*Шаблон_Формулы_2[[#This Row],[25]]</f>
        <v>4366875.6935999999</v>
      </c>
      <c r="AA72" s="30" t="s">
        <v>487</v>
      </c>
    </row>
    <row r="73" spans="1:27">
      <c r="A73" s="30">
        <v>69</v>
      </c>
      <c r="B73" s="31" t="s">
        <v>329</v>
      </c>
      <c r="C73" s="31" t="s">
        <v>126</v>
      </c>
      <c r="D73" s="31" t="s">
        <v>21</v>
      </c>
      <c r="E73" s="32">
        <v>45218</v>
      </c>
      <c r="F73" s="31" t="s">
        <v>402</v>
      </c>
      <c r="G73" s="33" t="s">
        <v>337</v>
      </c>
      <c r="H73" s="31">
        <v>7.03</v>
      </c>
      <c r="I73" s="34">
        <v>2475.1999999999998</v>
      </c>
      <c r="J73" s="34" t="s">
        <v>78</v>
      </c>
      <c r="K73" s="31">
        <v>59.981000000000002</v>
      </c>
      <c r="L73" s="34">
        <v>291100</v>
      </c>
      <c r="M73" s="34">
        <v>59684.700000000004</v>
      </c>
      <c r="N73" s="34">
        <v>22714.092796052086</v>
      </c>
      <c r="O73" s="34">
        <v>5860.1890598689588</v>
      </c>
      <c r="P73" s="34">
        <v>21729.581033994098</v>
      </c>
      <c r="Q73" s="34">
        <v>1066.5544088961506</v>
      </c>
      <c r="R73" s="34">
        <v>0</v>
      </c>
      <c r="S73" s="34">
        <v>32875.660625864861</v>
      </c>
      <c r="T73" s="34">
        <v>0</v>
      </c>
      <c r="U73" s="35">
        <v>0</v>
      </c>
      <c r="V73" s="34">
        <v>435030.77792467619</v>
      </c>
      <c r="W73" s="34">
        <v>322.08</v>
      </c>
      <c r="X73" s="32">
        <v>45245</v>
      </c>
      <c r="Y73" s="34">
        <v>12289.98</v>
      </c>
      <c r="Z73" s="33">
        <f>Шаблон_Формулы_2[[#This Row],[23]]*Шаблон_Формулы_2[[#This Row],[25]]</f>
        <v>3958356.7583999997</v>
      </c>
      <c r="AA73" s="30" t="s">
        <v>487</v>
      </c>
    </row>
    <row r="74" spans="1:27">
      <c r="A74" s="30">
        <v>70</v>
      </c>
      <c r="B74" s="31" t="s">
        <v>329</v>
      </c>
      <c r="C74" s="31" t="s">
        <v>126</v>
      </c>
      <c r="D74" s="31" t="s">
        <v>21</v>
      </c>
      <c r="E74" s="32">
        <v>45218</v>
      </c>
      <c r="F74" s="31" t="s">
        <v>403</v>
      </c>
      <c r="G74" s="33" t="s">
        <v>337</v>
      </c>
      <c r="H74" s="31">
        <v>2.85</v>
      </c>
      <c r="I74" s="34">
        <v>370</v>
      </c>
      <c r="J74" s="34" t="s">
        <v>78</v>
      </c>
      <c r="K74" s="31">
        <v>59.981000000000002</v>
      </c>
      <c r="L74" s="34">
        <v>232000</v>
      </c>
      <c r="M74" s="34">
        <v>24196.5</v>
      </c>
      <c r="N74" s="34">
        <v>9208.4159983994923</v>
      </c>
      <c r="O74" s="34">
        <v>2375.7523215684964</v>
      </c>
      <c r="P74" s="34">
        <v>8809.2896083759861</v>
      </c>
      <c r="Q74" s="34">
        <v>432.38692252546639</v>
      </c>
      <c r="R74" s="34">
        <v>0</v>
      </c>
      <c r="S74" s="34">
        <v>13327.970523999265</v>
      </c>
      <c r="T74" s="34">
        <v>0</v>
      </c>
      <c r="U74" s="35">
        <v>0</v>
      </c>
      <c r="V74" s="34">
        <v>290350.31537486869</v>
      </c>
      <c r="W74" s="34">
        <v>214.96</v>
      </c>
      <c r="X74" s="32">
        <v>45245</v>
      </c>
      <c r="Y74" s="34">
        <v>12289.98</v>
      </c>
      <c r="Z74" s="33">
        <f>Шаблон_Формулы_2[[#This Row],[23]]*Шаблон_Формулы_2[[#This Row],[25]]</f>
        <v>2641854.1008000001</v>
      </c>
      <c r="AA74" s="30" t="s">
        <v>487</v>
      </c>
    </row>
    <row r="75" spans="1:27">
      <c r="A75" s="30">
        <v>71</v>
      </c>
      <c r="B75" s="31" t="s">
        <v>329</v>
      </c>
      <c r="C75" s="31" t="s">
        <v>126</v>
      </c>
      <c r="D75" s="31" t="s">
        <v>21</v>
      </c>
      <c r="E75" s="32">
        <v>45218</v>
      </c>
      <c r="F75" s="31" t="s">
        <v>404</v>
      </c>
      <c r="G75" s="33" t="s">
        <v>83</v>
      </c>
      <c r="H75" s="31">
        <v>14.515000000000001</v>
      </c>
      <c r="I75" s="34">
        <v>4216</v>
      </c>
      <c r="J75" s="34" t="s">
        <v>78</v>
      </c>
      <c r="K75" s="31">
        <v>59.981000000000002</v>
      </c>
      <c r="L75" s="34">
        <v>491000</v>
      </c>
      <c r="M75" s="34">
        <v>123232.35</v>
      </c>
      <c r="N75" s="34">
        <v>46898.301128690757</v>
      </c>
      <c r="O75" s="34">
        <v>12099.664893883064</v>
      </c>
      <c r="P75" s="34">
        <v>44865.557426518397</v>
      </c>
      <c r="Q75" s="34">
        <v>2202.1390106867175</v>
      </c>
      <c r="R75" s="34">
        <v>0</v>
      </c>
      <c r="S75" s="34">
        <v>67879.120054683983</v>
      </c>
      <c r="T75" s="34">
        <v>0</v>
      </c>
      <c r="U75" s="35">
        <v>0</v>
      </c>
      <c r="V75" s="34">
        <v>788177.13251446281</v>
      </c>
      <c r="W75" s="34">
        <v>583.54</v>
      </c>
      <c r="X75" s="32">
        <v>45245</v>
      </c>
      <c r="Y75" s="34">
        <v>12289.98</v>
      </c>
      <c r="Z75" s="33">
        <f>Шаблон_Формулы_2[[#This Row],[23]]*Шаблон_Формулы_2[[#This Row],[25]]</f>
        <v>7171694.9291999992</v>
      </c>
      <c r="AA75" s="30" t="s">
        <v>487</v>
      </c>
    </row>
    <row r="76" spans="1:27">
      <c r="A76" s="30">
        <v>72</v>
      </c>
      <c r="B76" s="31" t="s">
        <v>329</v>
      </c>
      <c r="C76" s="31" t="s">
        <v>126</v>
      </c>
      <c r="D76" s="31" t="s">
        <v>21</v>
      </c>
      <c r="E76" s="32">
        <v>45218</v>
      </c>
      <c r="F76" s="31" t="s">
        <v>405</v>
      </c>
      <c r="G76" s="33" t="s">
        <v>87</v>
      </c>
      <c r="H76" s="31">
        <v>29.498000000000001</v>
      </c>
      <c r="I76" s="34">
        <v>12723.6</v>
      </c>
      <c r="J76" s="34" t="s">
        <v>88</v>
      </c>
      <c r="K76" s="31">
        <v>59.981000000000002</v>
      </c>
      <c r="L76" s="34">
        <v>0</v>
      </c>
      <c r="M76" s="34">
        <v>0</v>
      </c>
      <c r="N76" s="34">
        <v>0</v>
      </c>
      <c r="O76" s="34">
        <v>0</v>
      </c>
      <c r="P76" s="34">
        <v>0</v>
      </c>
      <c r="Q76" s="34">
        <v>0</v>
      </c>
      <c r="R76" s="34">
        <v>0</v>
      </c>
      <c r="S76" s="34">
        <v>0</v>
      </c>
      <c r="T76" s="34">
        <v>0</v>
      </c>
      <c r="U76" s="35">
        <v>0</v>
      </c>
      <c r="V76" s="34">
        <v>0</v>
      </c>
      <c r="W76" s="34">
        <v>0</v>
      </c>
      <c r="X76" s="32">
        <v>45245</v>
      </c>
      <c r="Y76" s="34">
        <v>12289.98</v>
      </c>
      <c r="Z76" s="33">
        <f>Шаблон_Формулы_2[[#This Row],[23]]*Шаблон_Формулы_2[[#This Row],[25]]</f>
        <v>0</v>
      </c>
      <c r="AA76" s="30" t="s">
        <v>487</v>
      </c>
    </row>
    <row r="77" spans="1:27">
      <c r="A77" s="30">
        <v>73</v>
      </c>
      <c r="B77" s="31" t="s">
        <v>329</v>
      </c>
      <c r="C77" s="31" t="s">
        <v>126</v>
      </c>
      <c r="D77" s="31" t="s">
        <v>21</v>
      </c>
      <c r="E77" s="32">
        <v>45218</v>
      </c>
      <c r="F77" s="31" t="s">
        <v>406</v>
      </c>
      <c r="G77" s="33" t="s">
        <v>80</v>
      </c>
      <c r="H77" s="31">
        <v>2.4350000000000001</v>
      </c>
      <c r="I77" s="34">
        <v>565</v>
      </c>
      <c r="J77" s="34" t="s">
        <v>78</v>
      </c>
      <c r="K77" s="31">
        <v>59.981000000000002</v>
      </c>
      <c r="L77" s="34">
        <v>119000</v>
      </c>
      <c r="M77" s="34">
        <v>20673.150000000001</v>
      </c>
      <c r="N77" s="34">
        <v>7867.5413881062332</v>
      </c>
      <c r="O77" s="34">
        <v>2029.8094396558911</v>
      </c>
      <c r="P77" s="34">
        <v>7526.5334022440438</v>
      </c>
      <c r="Q77" s="34">
        <v>369.42531801737215</v>
      </c>
      <c r="R77" s="34">
        <v>0</v>
      </c>
      <c r="S77" s="34">
        <v>11387.230956469548</v>
      </c>
      <c r="T77" s="34">
        <v>0</v>
      </c>
      <c r="U77" s="35">
        <v>0</v>
      </c>
      <c r="V77" s="34">
        <v>168853.69050449308</v>
      </c>
      <c r="W77" s="34">
        <v>125.01</v>
      </c>
      <c r="X77" s="32">
        <v>45245</v>
      </c>
      <c r="Y77" s="34">
        <v>12289.98</v>
      </c>
      <c r="Z77" s="33">
        <f>Шаблон_Формулы_2[[#This Row],[23]]*Шаблон_Формулы_2[[#This Row],[25]]</f>
        <v>1536370.3998</v>
      </c>
      <c r="AA77" s="30" t="s">
        <v>487</v>
      </c>
    </row>
    <row r="78" spans="1:27">
      <c r="A78" s="30">
        <v>74</v>
      </c>
      <c r="B78" s="31" t="s">
        <v>329</v>
      </c>
      <c r="C78" s="31" t="s">
        <v>126</v>
      </c>
      <c r="D78" s="31" t="s">
        <v>21</v>
      </c>
      <c r="E78" s="32">
        <v>45218</v>
      </c>
      <c r="F78" s="31" t="s">
        <v>407</v>
      </c>
      <c r="G78" s="33" t="s">
        <v>80</v>
      </c>
      <c r="H78" s="31">
        <v>3.653</v>
      </c>
      <c r="I78" s="34">
        <v>959</v>
      </c>
      <c r="J78" s="34" t="s">
        <v>78</v>
      </c>
      <c r="K78" s="31">
        <v>59.981000000000002</v>
      </c>
      <c r="L78" s="34">
        <v>147000</v>
      </c>
      <c r="M78" s="34">
        <v>31013.97</v>
      </c>
      <c r="N78" s="34">
        <v>11802.927593738017</v>
      </c>
      <c r="O78" s="34">
        <v>3045.1309581367432</v>
      </c>
      <c r="P78" s="34">
        <v>11291.345592771044</v>
      </c>
      <c r="Q78" s="34">
        <v>554.21383438088731</v>
      </c>
      <c r="R78" s="34">
        <v>0</v>
      </c>
      <c r="S78" s="34">
        <v>17083.184675147131</v>
      </c>
      <c r="T78" s="34">
        <v>0</v>
      </c>
      <c r="U78" s="35">
        <v>0</v>
      </c>
      <c r="V78" s="34">
        <v>221790.77265417384</v>
      </c>
      <c r="W78" s="34">
        <v>164.21</v>
      </c>
      <c r="X78" s="32">
        <v>45245</v>
      </c>
      <c r="Y78" s="34">
        <v>12289.98</v>
      </c>
      <c r="Z78" s="33">
        <f>Шаблон_Формулы_2[[#This Row],[23]]*Шаблон_Формулы_2[[#This Row],[25]]</f>
        <v>2018137.6158</v>
      </c>
      <c r="AA78" s="30" t="s">
        <v>487</v>
      </c>
    </row>
  </sheetData>
  <mergeCells count="3">
    <mergeCell ref="A1:C1"/>
    <mergeCell ref="D1:G1"/>
    <mergeCell ref="H1:X1"/>
  </mergeCells>
  <phoneticPr fontId="9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42E21-A240-49AB-9A06-31C1C54C1E1D}">
  <sheetPr>
    <tabColor rgb="FF92D050"/>
  </sheetPr>
  <dimension ref="A1:O191"/>
  <sheetViews>
    <sheetView zoomScale="85" zoomScaleNormal="85" workbookViewId="0">
      <selection activeCell="J8" sqref="J8"/>
    </sheetView>
  </sheetViews>
  <sheetFormatPr defaultRowHeight="14.4"/>
  <cols>
    <col min="1" max="1" width="15.6640625" style="3" customWidth="1"/>
    <col min="2" max="2" width="17.6640625" style="3" customWidth="1"/>
    <col min="3" max="3" width="15.77734375" style="3" customWidth="1"/>
    <col min="4" max="4" width="11.33203125" style="3" bestFit="1" customWidth="1"/>
    <col min="5" max="5" width="10.77734375" style="3" bestFit="1" customWidth="1"/>
    <col min="6" max="6" width="14.6640625" style="3" bestFit="1" customWidth="1"/>
    <col min="7" max="7" width="11.6640625" style="3" bestFit="1" customWidth="1"/>
    <col min="8" max="8" width="11.88671875" style="60" bestFit="1" customWidth="1"/>
    <col min="9" max="9" width="15.88671875" style="3" customWidth="1"/>
    <col min="10" max="11" width="10.88671875" style="3" bestFit="1" customWidth="1"/>
    <col min="12" max="12" width="9.21875" style="3" bestFit="1" customWidth="1"/>
    <col min="13" max="13" width="11.44140625" style="3" bestFit="1" customWidth="1"/>
    <col min="14" max="14" width="9.88671875" style="3" bestFit="1" customWidth="1"/>
    <col min="15" max="15" width="10.6640625" style="3" bestFit="1" customWidth="1"/>
    <col min="16" max="16384" width="8.88671875" style="3"/>
  </cols>
  <sheetData>
    <row r="1" spans="1:15">
      <c r="A1" s="77" t="s">
        <v>408</v>
      </c>
      <c r="B1" s="77"/>
      <c r="C1" s="77"/>
      <c r="D1" s="77"/>
      <c r="E1" s="77"/>
      <c r="F1" s="77"/>
      <c r="G1" s="77"/>
      <c r="H1" s="77"/>
      <c r="I1" s="77"/>
    </row>
    <row r="2" spans="1:15">
      <c r="A2" s="77" t="s">
        <v>409</v>
      </c>
      <c r="B2" s="77"/>
      <c r="C2" s="77"/>
      <c r="D2" s="77"/>
      <c r="E2" s="77"/>
      <c r="F2" s="77"/>
      <c r="G2" s="77"/>
      <c r="H2" s="77"/>
      <c r="I2" s="77"/>
    </row>
    <row r="3" spans="1:15" ht="44.25" customHeight="1" thickBot="1">
      <c r="A3" s="78" t="s">
        <v>410</v>
      </c>
      <c r="B3" s="78"/>
      <c r="C3" s="78"/>
      <c r="D3" s="78"/>
      <c r="E3" s="78"/>
      <c r="F3" s="78"/>
      <c r="G3" s="78"/>
      <c r="H3" s="78"/>
      <c r="I3" s="78"/>
    </row>
    <row r="4" spans="1:15" ht="24.75" customHeight="1">
      <c r="A4" s="79" t="s">
        <v>411</v>
      </c>
      <c r="B4" s="81" t="s">
        <v>412</v>
      </c>
      <c r="C4" s="81" t="s">
        <v>411</v>
      </c>
      <c r="D4" s="83" t="s">
        <v>413</v>
      </c>
      <c r="E4" s="83" t="s">
        <v>414</v>
      </c>
      <c r="F4" s="73" t="s">
        <v>415</v>
      </c>
      <c r="G4" s="73" t="s">
        <v>416</v>
      </c>
      <c r="H4" s="73" t="s">
        <v>417</v>
      </c>
      <c r="I4" s="75" t="s">
        <v>418</v>
      </c>
    </row>
    <row r="5" spans="1:15" ht="24.75" customHeight="1" thickBot="1">
      <c r="A5" s="80"/>
      <c r="B5" s="82"/>
      <c r="C5" s="82"/>
      <c r="D5" s="84"/>
      <c r="E5" s="84"/>
      <c r="F5" s="74"/>
      <c r="G5" s="74"/>
      <c r="H5" s="74"/>
      <c r="I5" s="76"/>
      <c r="J5" s="29" t="s">
        <v>419</v>
      </c>
    </row>
    <row r="6" spans="1:15" ht="20.399999999999999">
      <c r="A6" s="36" t="s">
        <v>420</v>
      </c>
      <c r="B6" s="37" t="s">
        <v>301</v>
      </c>
      <c r="C6" s="36" t="s">
        <v>420</v>
      </c>
      <c r="D6" s="37" t="s">
        <v>299</v>
      </c>
      <c r="E6" s="38" t="s">
        <v>421</v>
      </c>
      <c r="F6" s="38" t="s">
        <v>422</v>
      </c>
      <c r="G6" s="38" t="s">
        <v>13</v>
      </c>
      <c r="H6" s="39">
        <v>288000</v>
      </c>
      <c r="I6" s="38" t="s">
        <v>423</v>
      </c>
      <c r="J6" s="40">
        <v>288000</v>
      </c>
      <c r="O6" s="41">
        <f t="shared" ref="O6:O69" si="0">J6-H6</f>
        <v>0</v>
      </c>
    </row>
    <row r="7" spans="1:15" ht="20.399999999999999">
      <c r="A7" s="36" t="s">
        <v>420</v>
      </c>
      <c r="B7" s="37" t="s">
        <v>301</v>
      </c>
      <c r="C7" s="36" t="s">
        <v>420</v>
      </c>
      <c r="D7" s="37" t="s">
        <v>299</v>
      </c>
      <c r="E7" s="38" t="s">
        <v>421</v>
      </c>
      <c r="F7" s="38" t="s">
        <v>424</v>
      </c>
      <c r="G7" s="38" t="s">
        <v>13</v>
      </c>
      <c r="H7" s="39">
        <v>408000</v>
      </c>
      <c r="I7" s="38" t="s">
        <v>423</v>
      </c>
      <c r="J7" s="40">
        <v>408000</v>
      </c>
      <c r="O7" s="41">
        <f t="shared" si="0"/>
        <v>0</v>
      </c>
    </row>
    <row r="8" spans="1:15" ht="20.399999999999999">
      <c r="A8" s="36" t="s">
        <v>420</v>
      </c>
      <c r="B8" s="37" t="s">
        <v>301</v>
      </c>
      <c r="C8" s="36" t="s">
        <v>420</v>
      </c>
      <c r="D8" s="37" t="s">
        <v>299</v>
      </c>
      <c r="E8" s="38" t="s">
        <v>421</v>
      </c>
      <c r="F8" s="38" t="s">
        <v>425</v>
      </c>
      <c r="G8" s="38" t="s">
        <v>13</v>
      </c>
      <c r="H8" s="39">
        <v>485000</v>
      </c>
      <c r="I8" s="38" t="s">
        <v>423</v>
      </c>
      <c r="J8" s="40">
        <v>485000</v>
      </c>
      <c r="O8" s="41">
        <f t="shared" si="0"/>
        <v>0</v>
      </c>
    </row>
    <row r="9" spans="1:15" ht="20.399999999999999">
      <c r="A9" s="36" t="s">
        <v>420</v>
      </c>
      <c r="B9" s="37" t="s">
        <v>301</v>
      </c>
      <c r="C9" s="36" t="s">
        <v>420</v>
      </c>
      <c r="D9" s="37" t="s">
        <v>299</v>
      </c>
      <c r="E9" s="38" t="s">
        <v>421</v>
      </c>
      <c r="F9" s="38" t="s">
        <v>426</v>
      </c>
      <c r="G9" s="38" t="s">
        <v>13</v>
      </c>
      <c r="H9" s="39">
        <v>532000</v>
      </c>
      <c r="I9" s="38" t="s">
        <v>423</v>
      </c>
      <c r="J9" s="40">
        <v>532000</v>
      </c>
      <c r="O9" s="41">
        <f t="shared" si="0"/>
        <v>0</v>
      </c>
    </row>
    <row r="10" spans="1:15" ht="20.399999999999999">
      <c r="A10" s="36" t="s">
        <v>420</v>
      </c>
      <c r="B10" s="37" t="s">
        <v>301</v>
      </c>
      <c r="C10" s="36" t="s">
        <v>420</v>
      </c>
      <c r="D10" s="37" t="s">
        <v>299</v>
      </c>
      <c r="E10" s="38" t="s">
        <v>421</v>
      </c>
      <c r="F10" s="38" t="s">
        <v>427</v>
      </c>
      <c r="G10" s="38" t="s">
        <v>13</v>
      </c>
      <c r="H10" s="39">
        <v>616000</v>
      </c>
      <c r="I10" s="38" t="s">
        <v>423</v>
      </c>
      <c r="J10" s="40">
        <v>616000</v>
      </c>
      <c r="O10" s="41">
        <f t="shared" si="0"/>
        <v>0</v>
      </c>
    </row>
    <row r="11" spans="1:15" ht="20.399999999999999">
      <c r="A11" s="36" t="s">
        <v>420</v>
      </c>
      <c r="B11" s="37" t="s">
        <v>299</v>
      </c>
      <c r="C11" s="36" t="s">
        <v>420</v>
      </c>
      <c r="D11" s="37" t="s">
        <v>299</v>
      </c>
      <c r="E11" s="38" t="s">
        <v>421</v>
      </c>
      <c r="F11" s="38" t="s">
        <v>422</v>
      </c>
      <c r="G11" s="38" t="s">
        <v>13</v>
      </c>
      <c r="H11" s="39">
        <v>128000</v>
      </c>
      <c r="I11" s="38" t="s">
        <v>423</v>
      </c>
      <c r="J11" s="40">
        <v>128000</v>
      </c>
      <c r="O11" s="41">
        <f t="shared" si="0"/>
        <v>0</v>
      </c>
    </row>
    <row r="12" spans="1:15" ht="20.399999999999999">
      <c r="A12" s="36" t="s">
        <v>420</v>
      </c>
      <c r="B12" s="37" t="s">
        <v>299</v>
      </c>
      <c r="C12" s="36" t="s">
        <v>420</v>
      </c>
      <c r="D12" s="37" t="s">
        <v>299</v>
      </c>
      <c r="E12" s="38" t="s">
        <v>421</v>
      </c>
      <c r="F12" s="38" t="s">
        <v>424</v>
      </c>
      <c r="G12" s="38" t="s">
        <v>13</v>
      </c>
      <c r="H12" s="39">
        <v>145000</v>
      </c>
      <c r="I12" s="38" t="s">
        <v>423</v>
      </c>
      <c r="J12" s="40">
        <v>145000</v>
      </c>
      <c r="O12" s="41">
        <f t="shared" si="0"/>
        <v>0</v>
      </c>
    </row>
    <row r="13" spans="1:15" ht="20.399999999999999">
      <c r="A13" s="36" t="s">
        <v>428</v>
      </c>
      <c r="B13" s="38" t="s">
        <v>299</v>
      </c>
      <c r="C13" s="36" t="s">
        <v>428</v>
      </c>
      <c r="D13" s="38" t="s">
        <v>299</v>
      </c>
      <c r="E13" s="38" t="s">
        <v>429</v>
      </c>
      <c r="F13" s="38" t="s">
        <v>425</v>
      </c>
      <c r="G13" s="38" t="s">
        <v>13</v>
      </c>
      <c r="H13" s="39">
        <v>238000</v>
      </c>
      <c r="I13" s="38" t="s">
        <v>430</v>
      </c>
      <c r="J13" s="40">
        <v>238000</v>
      </c>
      <c r="O13" s="41">
        <f t="shared" si="0"/>
        <v>0</v>
      </c>
    </row>
    <row r="14" spans="1:15" ht="20.399999999999999">
      <c r="A14" s="36" t="s">
        <v>428</v>
      </c>
      <c r="B14" s="38" t="s">
        <v>299</v>
      </c>
      <c r="C14" s="36" t="s">
        <v>428</v>
      </c>
      <c r="D14" s="38" t="s">
        <v>299</v>
      </c>
      <c r="E14" s="38" t="s">
        <v>429</v>
      </c>
      <c r="F14" s="38" t="s">
        <v>426</v>
      </c>
      <c r="G14" s="38" t="s">
        <v>13</v>
      </c>
      <c r="H14" s="39">
        <v>246000</v>
      </c>
      <c r="I14" s="38" t="s">
        <v>430</v>
      </c>
      <c r="J14" s="40">
        <v>246000</v>
      </c>
      <c r="O14" s="41">
        <f t="shared" si="0"/>
        <v>0</v>
      </c>
    </row>
    <row r="15" spans="1:15" ht="20.399999999999999">
      <c r="A15" s="36" t="s">
        <v>428</v>
      </c>
      <c r="B15" s="38" t="s">
        <v>299</v>
      </c>
      <c r="C15" s="36" t="s">
        <v>428</v>
      </c>
      <c r="D15" s="38" t="s">
        <v>299</v>
      </c>
      <c r="E15" s="38" t="s">
        <v>429</v>
      </c>
      <c r="F15" s="38" t="s">
        <v>427</v>
      </c>
      <c r="G15" s="38" t="s">
        <v>13</v>
      </c>
      <c r="H15" s="39">
        <v>291000</v>
      </c>
      <c r="I15" s="38" t="s">
        <v>430</v>
      </c>
      <c r="J15" s="40">
        <v>291000</v>
      </c>
      <c r="O15" s="41">
        <f t="shared" si="0"/>
        <v>0</v>
      </c>
    </row>
    <row r="16" spans="1:15" ht="20.399999999999999">
      <c r="A16" s="36" t="s">
        <v>420</v>
      </c>
      <c r="B16" s="37" t="s">
        <v>431</v>
      </c>
      <c r="C16" s="36" t="s">
        <v>420</v>
      </c>
      <c r="D16" s="37" t="s">
        <v>299</v>
      </c>
      <c r="E16" s="38" t="s">
        <v>421</v>
      </c>
      <c r="F16" s="38" t="s">
        <v>422</v>
      </c>
      <c r="G16" s="38" t="s">
        <v>13</v>
      </c>
      <c r="H16" s="39">
        <v>141500</v>
      </c>
      <c r="I16" s="38" t="s">
        <v>423</v>
      </c>
      <c r="J16" s="40">
        <v>141500</v>
      </c>
      <c r="O16" s="41">
        <f t="shared" si="0"/>
        <v>0</v>
      </c>
    </row>
    <row r="17" spans="1:15" ht="20.399999999999999">
      <c r="A17" s="36" t="s">
        <v>420</v>
      </c>
      <c r="B17" s="37" t="s">
        <v>431</v>
      </c>
      <c r="C17" s="36" t="s">
        <v>420</v>
      </c>
      <c r="D17" s="37" t="s">
        <v>299</v>
      </c>
      <c r="E17" s="38" t="s">
        <v>421</v>
      </c>
      <c r="F17" s="38" t="s">
        <v>424</v>
      </c>
      <c r="G17" s="38" t="s">
        <v>13</v>
      </c>
      <c r="H17" s="39">
        <v>154500</v>
      </c>
      <c r="I17" s="38" t="s">
        <v>423</v>
      </c>
      <c r="J17" s="40">
        <v>154500</v>
      </c>
      <c r="O17" s="41">
        <f t="shared" si="0"/>
        <v>0</v>
      </c>
    </row>
    <row r="18" spans="1:15" ht="20.399999999999999">
      <c r="A18" s="36" t="s">
        <v>420</v>
      </c>
      <c r="B18" s="37" t="s">
        <v>431</v>
      </c>
      <c r="C18" s="36" t="s">
        <v>420</v>
      </c>
      <c r="D18" s="37" t="s">
        <v>299</v>
      </c>
      <c r="E18" s="38" t="s">
        <v>421</v>
      </c>
      <c r="F18" s="38" t="s">
        <v>425</v>
      </c>
      <c r="G18" s="38" t="s">
        <v>13</v>
      </c>
      <c r="H18" s="39">
        <v>216500</v>
      </c>
      <c r="I18" s="38" t="s">
        <v>423</v>
      </c>
      <c r="J18" s="40">
        <v>216500</v>
      </c>
      <c r="O18" s="41">
        <f t="shared" si="0"/>
        <v>0</v>
      </c>
    </row>
    <row r="19" spans="1:15" ht="20.399999999999999">
      <c r="A19" s="36" t="s">
        <v>420</v>
      </c>
      <c r="B19" s="37" t="s">
        <v>431</v>
      </c>
      <c r="C19" s="36" t="s">
        <v>420</v>
      </c>
      <c r="D19" s="37" t="s">
        <v>299</v>
      </c>
      <c r="E19" s="38" t="s">
        <v>421</v>
      </c>
      <c r="F19" s="38" t="s">
        <v>426</v>
      </c>
      <c r="G19" s="38" t="s">
        <v>13</v>
      </c>
      <c r="H19" s="39">
        <v>271500</v>
      </c>
      <c r="I19" s="38" t="s">
        <v>423</v>
      </c>
      <c r="J19" s="40">
        <v>271500</v>
      </c>
      <c r="O19" s="41">
        <f t="shared" si="0"/>
        <v>0</v>
      </c>
    </row>
    <row r="20" spans="1:15" ht="20.399999999999999">
      <c r="A20" s="36" t="s">
        <v>420</v>
      </c>
      <c r="B20" s="37" t="s">
        <v>431</v>
      </c>
      <c r="C20" s="36" t="s">
        <v>420</v>
      </c>
      <c r="D20" s="37" t="s">
        <v>299</v>
      </c>
      <c r="E20" s="38" t="s">
        <v>421</v>
      </c>
      <c r="F20" s="38" t="s">
        <v>427</v>
      </c>
      <c r="G20" s="38" t="s">
        <v>13</v>
      </c>
      <c r="H20" s="39">
        <v>319500</v>
      </c>
      <c r="I20" s="38" t="s">
        <v>423</v>
      </c>
      <c r="J20" s="40">
        <v>319500</v>
      </c>
      <c r="O20" s="41">
        <f t="shared" si="0"/>
        <v>0</v>
      </c>
    </row>
    <row r="21" spans="1:15" ht="20.399999999999999">
      <c r="A21" s="36" t="s">
        <v>420</v>
      </c>
      <c r="B21" s="37" t="s">
        <v>302</v>
      </c>
      <c r="C21" s="36" t="s">
        <v>420</v>
      </c>
      <c r="D21" s="37" t="s">
        <v>299</v>
      </c>
      <c r="E21" s="38" t="s">
        <v>421</v>
      </c>
      <c r="F21" s="38" t="s">
        <v>422</v>
      </c>
      <c r="G21" s="38" t="s">
        <v>13</v>
      </c>
      <c r="H21" s="39">
        <v>362000</v>
      </c>
      <c r="I21" s="38" t="s">
        <v>423</v>
      </c>
      <c r="J21" s="40">
        <v>362000</v>
      </c>
      <c r="O21" s="41">
        <f t="shared" si="0"/>
        <v>0</v>
      </c>
    </row>
    <row r="22" spans="1:15" ht="20.399999999999999">
      <c r="A22" s="36" t="s">
        <v>428</v>
      </c>
      <c r="B22" s="38" t="s">
        <v>302</v>
      </c>
      <c r="C22" s="36" t="s">
        <v>428</v>
      </c>
      <c r="D22" s="38" t="s">
        <v>299</v>
      </c>
      <c r="E22" s="38" t="s">
        <v>429</v>
      </c>
      <c r="F22" s="38" t="s">
        <v>424</v>
      </c>
      <c r="G22" s="38" t="s">
        <v>13</v>
      </c>
      <c r="H22" s="39">
        <v>520000</v>
      </c>
      <c r="I22" s="38" t="s">
        <v>430</v>
      </c>
      <c r="J22" s="40">
        <v>520000</v>
      </c>
      <c r="O22" s="41">
        <f t="shared" si="0"/>
        <v>0</v>
      </c>
    </row>
    <row r="23" spans="1:15" ht="20.399999999999999">
      <c r="A23" s="36" t="s">
        <v>428</v>
      </c>
      <c r="B23" s="38" t="s">
        <v>302</v>
      </c>
      <c r="C23" s="36" t="s">
        <v>428</v>
      </c>
      <c r="D23" s="38" t="s">
        <v>299</v>
      </c>
      <c r="E23" s="38" t="s">
        <v>429</v>
      </c>
      <c r="F23" s="38" t="s">
        <v>425</v>
      </c>
      <c r="G23" s="38" t="s">
        <v>13</v>
      </c>
      <c r="H23" s="42">
        <v>593000</v>
      </c>
      <c r="I23" s="38" t="s">
        <v>430</v>
      </c>
      <c r="J23" s="40">
        <v>593000</v>
      </c>
      <c r="O23" s="41">
        <f t="shared" si="0"/>
        <v>0</v>
      </c>
    </row>
    <row r="24" spans="1:15" ht="20.399999999999999">
      <c r="A24" s="36" t="s">
        <v>428</v>
      </c>
      <c r="B24" s="38" t="s">
        <v>302</v>
      </c>
      <c r="C24" s="36" t="s">
        <v>428</v>
      </c>
      <c r="D24" s="38" t="s">
        <v>299</v>
      </c>
      <c r="E24" s="38" t="s">
        <v>429</v>
      </c>
      <c r="F24" s="38" t="s">
        <v>426</v>
      </c>
      <c r="G24" s="38" t="s">
        <v>13</v>
      </c>
      <c r="H24" s="42">
        <v>640000</v>
      </c>
      <c r="I24" s="38" t="s">
        <v>430</v>
      </c>
      <c r="J24" s="40">
        <v>640000</v>
      </c>
      <c r="O24" s="41">
        <f t="shared" si="0"/>
        <v>0</v>
      </c>
    </row>
    <row r="25" spans="1:15" ht="20.399999999999999">
      <c r="A25" s="36" t="s">
        <v>420</v>
      </c>
      <c r="B25" s="37" t="s">
        <v>302</v>
      </c>
      <c r="C25" s="36" t="s">
        <v>420</v>
      </c>
      <c r="D25" s="37" t="s">
        <v>299</v>
      </c>
      <c r="E25" s="38" t="s">
        <v>421</v>
      </c>
      <c r="F25" s="38" t="s">
        <v>427</v>
      </c>
      <c r="G25" s="38" t="s">
        <v>13</v>
      </c>
      <c r="H25" s="42">
        <v>693000</v>
      </c>
      <c r="I25" s="38" t="s">
        <v>423</v>
      </c>
      <c r="J25" s="40">
        <v>693000</v>
      </c>
      <c r="O25" s="41">
        <f t="shared" si="0"/>
        <v>0</v>
      </c>
    </row>
    <row r="26" spans="1:15" ht="20.399999999999999">
      <c r="A26" s="36" t="s">
        <v>420</v>
      </c>
      <c r="B26" s="43" t="s">
        <v>303</v>
      </c>
      <c r="C26" s="36" t="s">
        <v>420</v>
      </c>
      <c r="D26" s="37" t="s">
        <v>299</v>
      </c>
      <c r="E26" s="38" t="s">
        <v>421</v>
      </c>
      <c r="F26" s="38" t="s">
        <v>422</v>
      </c>
      <c r="G26" s="38" t="s">
        <v>13</v>
      </c>
      <c r="H26" s="42">
        <v>232000</v>
      </c>
      <c r="I26" s="38" t="s">
        <v>423</v>
      </c>
      <c r="J26" s="40">
        <v>232000</v>
      </c>
      <c r="O26" s="41">
        <f t="shared" si="0"/>
        <v>0</v>
      </c>
    </row>
    <row r="27" spans="1:15" ht="20.399999999999999">
      <c r="A27" s="36" t="s">
        <v>428</v>
      </c>
      <c r="B27" s="38" t="s">
        <v>303</v>
      </c>
      <c r="C27" s="36" t="s">
        <v>428</v>
      </c>
      <c r="D27" s="38" t="s">
        <v>299</v>
      </c>
      <c r="E27" s="38" t="s">
        <v>429</v>
      </c>
      <c r="F27" s="38" t="s">
        <v>424</v>
      </c>
      <c r="G27" s="38" t="s">
        <v>13</v>
      </c>
      <c r="H27" s="42">
        <v>291100</v>
      </c>
      <c r="I27" s="38" t="s">
        <v>430</v>
      </c>
      <c r="J27" s="40">
        <v>291100</v>
      </c>
      <c r="O27" s="41">
        <f t="shared" si="0"/>
        <v>0</v>
      </c>
    </row>
    <row r="28" spans="1:15" ht="20.399999999999999">
      <c r="A28" s="36" t="s">
        <v>428</v>
      </c>
      <c r="B28" s="38" t="s">
        <v>303</v>
      </c>
      <c r="C28" s="36" t="s">
        <v>428</v>
      </c>
      <c r="D28" s="38" t="s">
        <v>299</v>
      </c>
      <c r="E28" s="38" t="s">
        <v>429</v>
      </c>
      <c r="F28" s="38" t="s">
        <v>425</v>
      </c>
      <c r="G28" s="38" t="s">
        <v>13</v>
      </c>
      <c r="H28" s="42">
        <v>332000</v>
      </c>
      <c r="I28" s="38" t="s">
        <v>430</v>
      </c>
      <c r="J28" s="40">
        <v>332000</v>
      </c>
      <c r="O28" s="41">
        <f t="shared" si="0"/>
        <v>0</v>
      </c>
    </row>
    <row r="29" spans="1:15" ht="20.399999999999999">
      <c r="A29" s="36" t="s">
        <v>428</v>
      </c>
      <c r="B29" s="38" t="s">
        <v>303</v>
      </c>
      <c r="C29" s="36" t="s">
        <v>428</v>
      </c>
      <c r="D29" s="38" t="s">
        <v>299</v>
      </c>
      <c r="E29" s="38" t="s">
        <v>429</v>
      </c>
      <c r="F29" s="38" t="s">
        <v>426</v>
      </c>
      <c r="G29" s="38" t="s">
        <v>13</v>
      </c>
      <c r="H29" s="42">
        <v>376000</v>
      </c>
      <c r="I29" s="38" t="s">
        <v>430</v>
      </c>
      <c r="J29" s="40">
        <v>376000</v>
      </c>
      <c r="O29" s="41">
        <f t="shared" si="0"/>
        <v>0</v>
      </c>
    </row>
    <row r="30" spans="1:15" ht="20.399999999999999">
      <c r="A30" s="36" t="s">
        <v>428</v>
      </c>
      <c r="B30" s="38" t="s">
        <v>303</v>
      </c>
      <c r="C30" s="36" t="s">
        <v>428</v>
      </c>
      <c r="D30" s="38" t="s">
        <v>299</v>
      </c>
      <c r="E30" s="38" t="s">
        <v>429</v>
      </c>
      <c r="F30" s="38" t="s">
        <v>427</v>
      </c>
      <c r="G30" s="38" t="s">
        <v>13</v>
      </c>
      <c r="H30" s="42">
        <v>392000</v>
      </c>
      <c r="I30" s="38" t="s">
        <v>430</v>
      </c>
      <c r="J30" s="40">
        <v>392000</v>
      </c>
      <c r="O30" s="41">
        <f t="shared" si="0"/>
        <v>0</v>
      </c>
    </row>
    <row r="31" spans="1:15" ht="20.399999999999999">
      <c r="A31" s="36" t="s">
        <v>420</v>
      </c>
      <c r="B31" s="37" t="s">
        <v>432</v>
      </c>
      <c r="C31" s="36" t="s">
        <v>420</v>
      </c>
      <c r="D31" s="37" t="s">
        <v>299</v>
      </c>
      <c r="E31" s="38" t="s">
        <v>421</v>
      </c>
      <c r="F31" s="38" t="s">
        <v>422</v>
      </c>
      <c r="G31" s="38" t="s">
        <v>13</v>
      </c>
      <c r="H31" s="42">
        <v>311500</v>
      </c>
      <c r="I31" s="38" t="s">
        <v>423</v>
      </c>
      <c r="J31" s="40">
        <v>311500</v>
      </c>
      <c r="O31" s="41">
        <f t="shared" si="0"/>
        <v>0</v>
      </c>
    </row>
    <row r="32" spans="1:15" ht="20.399999999999999">
      <c r="A32" s="36" t="s">
        <v>420</v>
      </c>
      <c r="B32" s="37" t="s">
        <v>432</v>
      </c>
      <c r="C32" s="36" t="s">
        <v>420</v>
      </c>
      <c r="D32" s="37" t="s">
        <v>299</v>
      </c>
      <c r="E32" s="38" t="s">
        <v>421</v>
      </c>
      <c r="F32" s="38" t="s">
        <v>424</v>
      </c>
      <c r="G32" s="38" t="s">
        <v>13</v>
      </c>
      <c r="H32" s="42">
        <v>385000</v>
      </c>
      <c r="I32" s="38" t="s">
        <v>423</v>
      </c>
      <c r="J32" s="40">
        <v>385000</v>
      </c>
      <c r="O32" s="41">
        <f t="shared" si="0"/>
        <v>0</v>
      </c>
    </row>
    <row r="33" spans="1:15" ht="20.399999999999999">
      <c r="A33" s="36" t="s">
        <v>420</v>
      </c>
      <c r="B33" s="37" t="s">
        <v>432</v>
      </c>
      <c r="C33" s="36" t="s">
        <v>420</v>
      </c>
      <c r="D33" s="37" t="s">
        <v>299</v>
      </c>
      <c r="E33" s="38" t="s">
        <v>421</v>
      </c>
      <c r="F33" s="38" t="s">
        <v>425</v>
      </c>
      <c r="G33" s="38" t="s">
        <v>13</v>
      </c>
      <c r="H33" s="42">
        <v>435000</v>
      </c>
      <c r="I33" s="38" t="s">
        <v>423</v>
      </c>
      <c r="J33" s="40">
        <v>435000</v>
      </c>
      <c r="O33" s="41">
        <f t="shared" si="0"/>
        <v>0</v>
      </c>
    </row>
    <row r="34" spans="1:15" ht="20.399999999999999">
      <c r="A34" s="36" t="s">
        <v>420</v>
      </c>
      <c r="B34" s="37" t="s">
        <v>432</v>
      </c>
      <c r="C34" s="36" t="s">
        <v>420</v>
      </c>
      <c r="D34" s="37" t="s">
        <v>299</v>
      </c>
      <c r="E34" s="38" t="s">
        <v>421</v>
      </c>
      <c r="F34" s="38" t="s">
        <v>426</v>
      </c>
      <c r="G34" s="38" t="s">
        <v>13</v>
      </c>
      <c r="H34" s="42">
        <v>508000</v>
      </c>
      <c r="I34" s="38" t="s">
        <v>423</v>
      </c>
      <c r="J34" s="40">
        <v>508000</v>
      </c>
      <c r="O34" s="41">
        <f t="shared" si="0"/>
        <v>0</v>
      </c>
    </row>
    <row r="35" spans="1:15" ht="20.399999999999999">
      <c r="A35" s="36" t="s">
        <v>420</v>
      </c>
      <c r="B35" s="37" t="s">
        <v>432</v>
      </c>
      <c r="C35" s="36" t="s">
        <v>420</v>
      </c>
      <c r="D35" s="37" t="s">
        <v>299</v>
      </c>
      <c r="E35" s="38" t="s">
        <v>421</v>
      </c>
      <c r="F35" s="38" t="s">
        <v>427</v>
      </c>
      <c r="G35" s="38" t="s">
        <v>13</v>
      </c>
      <c r="H35" s="42">
        <v>551000</v>
      </c>
      <c r="I35" s="38" t="s">
        <v>423</v>
      </c>
      <c r="J35" s="40">
        <v>551000</v>
      </c>
      <c r="O35" s="41">
        <f t="shared" si="0"/>
        <v>0</v>
      </c>
    </row>
    <row r="36" spans="1:15" ht="20.399999999999999">
      <c r="A36" s="36" t="s">
        <v>420</v>
      </c>
      <c r="B36" s="43" t="s">
        <v>433</v>
      </c>
      <c r="C36" s="36" t="s">
        <v>420</v>
      </c>
      <c r="D36" s="37" t="s">
        <v>299</v>
      </c>
      <c r="E36" s="38" t="s">
        <v>421</v>
      </c>
      <c r="F36" s="38" t="s">
        <v>422</v>
      </c>
      <c r="G36" s="38" t="s">
        <v>13</v>
      </c>
      <c r="H36" s="42">
        <v>412000</v>
      </c>
      <c r="I36" s="38" t="s">
        <v>423</v>
      </c>
      <c r="J36" s="40">
        <v>412000</v>
      </c>
      <c r="O36" s="41">
        <f t="shared" si="0"/>
        <v>0</v>
      </c>
    </row>
    <row r="37" spans="1:15" ht="20.399999999999999">
      <c r="A37" s="36" t="s">
        <v>420</v>
      </c>
      <c r="B37" s="43" t="s">
        <v>433</v>
      </c>
      <c r="C37" s="36" t="s">
        <v>420</v>
      </c>
      <c r="D37" s="37" t="s">
        <v>299</v>
      </c>
      <c r="E37" s="38" t="s">
        <v>421</v>
      </c>
      <c r="F37" s="38" t="s">
        <v>424</v>
      </c>
      <c r="G37" s="38" t="s">
        <v>13</v>
      </c>
      <c r="H37" s="42">
        <v>478000</v>
      </c>
      <c r="I37" s="38" t="s">
        <v>423</v>
      </c>
      <c r="J37" s="40">
        <v>478000</v>
      </c>
      <c r="O37" s="41">
        <f t="shared" si="0"/>
        <v>0</v>
      </c>
    </row>
    <row r="38" spans="1:15" ht="20.399999999999999">
      <c r="A38" s="36" t="s">
        <v>428</v>
      </c>
      <c r="B38" s="38" t="s">
        <v>433</v>
      </c>
      <c r="C38" s="36" t="s">
        <v>428</v>
      </c>
      <c r="D38" s="38" t="s">
        <v>299</v>
      </c>
      <c r="E38" s="38" t="s">
        <v>429</v>
      </c>
      <c r="F38" s="38" t="s">
        <v>425</v>
      </c>
      <c r="G38" s="38" t="s">
        <v>13</v>
      </c>
      <c r="H38" s="42">
        <v>632500</v>
      </c>
      <c r="I38" s="38" t="s">
        <v>430</v>
      </c>
      <c r="J38" s="40">
        <v>632500</v>
      </c>
      <c r="O38" s="41">
        <f t="shared" si="0"/>
        <v>0</v>
      </c>
    </row>
    <row r="39" spans="1:15" ht="20.399999999999999">
      <c r="A39" s="36" t="s">
        <v>428</v>
      </c>
      <c r="B39" s="38" t="s">
        <v>433</v>
      </c>
      <c r="C39" s="36" t="s">
        <v>428</v>
      </c>
      <c r="D39" s="38" t="s">
        <v>299</v>
      </c>
      <c r="E39" s="38" t="s">
        <v>429</v>
      </c>
      <c r="F39" s="38" t="s">
        <v>426</v>
      </c>
      <c r="G39" s="38" t="s">
        <v>13</v>
      </c>
      <c r="H39" s="42">
        <v>698500</v>
      </c>
      <c r="I39" s="38" t="s">
        <v>430</v>
      </c>
      <c r="J39" s="40">
        <v>698500</v>
      </c>
      <c r="O39" s="41">
        <f t="shared" si="0"/>
        <v>0</v>
      </c>
    </row>
    <row r="40" spans="1:15" ht="20.399999999999999">
      <c r="A40" s="36" t="s">
        <v>428</v>
      </c>
      <c r="B40" s="38" t="s">
        <v>433</v>
      </c>
      <c r="C40" s="36" t="s">
        <v>428</v>
      </c>
      <c r="D40" s="38" t="s">
        <v>299</v>
      </c>
      <c r="E40" s="38" t="s">
        <v>429</v>
      </c>
      <c r="F40" s="38" t="s">
        <v>427</v>
      </c>
      <c r="G40" s="38" t="s">
        <v>13</v>
      </c>
      <c r="H40" s="42">
        <v>752000</v>
      </c>
      <c r="I40" s="38" t="s">
        <v>430</v>
      </c>
      <c r="J40" s="40">
        <v>752000</v>
      </c>
      <c r="O40" s="41">
        <f t="shared" si="0"/>
        <v>0</v>
      </c>
    </row>
    <row r="41" spans="1:15" ht="20.399999999999999">
      <c r="A41" s="36" t="s">
        <v>420</v>
      </c>
      <c r="B41" s="43" t="s">
        <v>434</v>
      </c>
      <c r="C41" s="36" t="s">
        <v>420</v>
      </c>
      <c r="D41" s="37" t="s">
        <v>299</v>
      </c>
      <c r="E41" s="38" t="s">
        <v>421</v>
      </c>
      <c r="F41" s="38" t="s">
        <v>422</v>
      </c>
      <c r="G41" s="38" t="s">
        <v>13</v>
      </c>
      <c r="H41" s="42">
        <v>265000</v>
      </c>
      <c r="I41" s="38" t="s">
        <v>423</v>
      </c>
      <c r="J41" s="40">
        <v>265000</v>
      </c>
      <c r="O41" s="41">
        <f t="shared" si="0"/>
        <v>0</v>
      </c>
    </row>
    <row r="42" spans="1:15" ht="20.399999999999999">
      <c r="A42" s="36" t="s">
        <v>420</v>
      </c>
      <c r="B42" s="43" t="s">
        <v>434</v>
      </c>
      <c r="C42" s="36" t="s">
        <v>420</v>
      </c>
      <c r="D42" s="37" t="s">
        <v>299</v>
      </c>
      <c r="E42" s="38" t="s">
        <v>421</v>
      </c>
      <c r="F42" s="38" t="s">
        <v>424</v>
      </c>
      <c r="G42" s="38" t="s">
        <v>13</v>
      </c>
      <c r="H42" s="42">
        <v>353000</v>
      </c>
      <c r="I42" s="38" t="s">
        <v>423</v>
      </c>
      <c r="J42" s="40">
        <v>353000</v>
      </c>
      <c r="O42" s="41">
        <f t="shared" si="0"/>
        <v>0</v>
      </c>
    </row>
    <row r="43" spans="1:15" ht="20.399999999999999">
      <c r="A43" s="36" t="s">
        <v>428</v>
      </c>
      <c r="B43" s="43" t="s">
        <v>434</v>
      </c>
      <c r="C43" s="36" t="s">
        <v>428</v>
      </c>
      <c r="D43" s="38" t="s">
        <v>299</v>
      </c>
      <c r="E43" s="38" t="s">
        <v>429</v>
      </c>
      <c r="F43" s="38" t="s">
        <v>425</v>
      </c>
      <c r="G43" s="38" t="s">
        <v>13</v>
      </c>
      <c r="H43" s="42">
        <v>418000</v>
      </c>
      <c r="I43" s="38" t="s">
        <v>430</v>
      </c>
      <c r="J43" s="40">
        <v>418000</v>
      </c>
      <c r="O43" s="41">
        <f t="shared" si="0"/>
        <v>0</v>
      </c>
    </row>
    <row r="44" spans="1:15" ht="20.399999999999999">
      <c r="A44" s="36" t="s">
        <v>428</v>
      </c>
      <c r="B44" s="43" t="s">
        <v>434</v>
      </c>
      <c r="C44" s="36" t="s">
        <v>428</v>
      </c>
      <c r="D44" s="38" t="s">
        <v>299</v>
      </c>
      <c r="E44" s="38" t="s">
        <v>429</v>
      </c>
      <c r="F44" s="38" t="s">
        <v>426</v>
      </c>
      <c r="G44" s="38" t="s">
        <v>13</v>
      </c>
      <c r="H44" s="42">
        <v>487000</v>
      </c>
      <c r="I44" s="38" t="s">
        <v>430</v>
      </c>
      <c r="J44" s="40">
        <v>487000</v>
      </c>
      <c r="O44" s="41">
        <f t="shared" si="0"/>
        <v>0</v>
      </c>
    </row>
    <row r="45" spans="1:15" ht="20.399999999999999">
      <c r="A45" s="36" t="s">
        <v>420</v>
      </c>
      <c r="B45" s="43" t="s">
        <v>434</v>
      </c>
      <c r="C45" s="36" t="s">
        <v>420</v>
      </c>
      <c r="D45" s="37" t="s">
        <v>299</v>
      </c>
      <c r="E45" s="38" t="s">
        <v>421</v>
      </c>
      <c r="F45" s="38" t="s">
        <v>427</v>
      </c>
      <c r="G45" s="38" t="s">
        <v>13</v>
      </c>
      <c r="H45" s="42">
        <v>534000</v>
      </c>
      <c r="I45" s="38" t="s">
        <v>423</v>
      </c>
      <c r="J45" s="40">
        <v>534000</v>
      </c>
      <c r="O45" s="41">
        <f t="shared" si="0"/>
        <v>0</v>
      </c>
    </row>
    <row r="46" spans="1:15" ht="20.399999999999999">
      <c r="A46" s="36" t="s">
        <v>420</v>
      </c>
      <c r="B46" s="37" t="s">
        <v>298</v>
      </c>
      <c r="C46" s="36" t="s">
        <v>420</v>
      </c>
      <c r="D46" s="37" t="s">
        <v>299</v>
      </c>
      <c r="E46" s="38" t="s">
        <v>421</v>
      </c>
      <c r="F46" s="38" t="s">
        <v>422</v>
      </c>
      <c r="G46" s="38" t="s">
        <v>13</v>
      </c>
      <c r="H46" s="42">
        <v>288000</v>
      </c>
      <c r="I46" s="38" t="s">
        <v>423</v>
      </c>
      <c r="J46" s="40">
        <v>288000</v>
      </c>
      <c r="O46" s="41">
        <f t="shared" si="0"/>
        <v>0</v>
      </c>
    </row>
    <row r="47" spans="1:15" ht="20.399999999999999">
      <c r="A47" s="36" t="s">
        <v>420</v>
      </c>
      <c r="B47" s="37" t="s">
        <v>298</v>
      </c>
      <c r="C47" s="36" t="s">
        <v>420</v>
      </c>
      <c r="D47" s="37" t="s">
        <v>299</v>
      </c>
      <c r="E47" s="38" t="s">
        <v>421</v>
      </c>
      <c r="F47" s="38" t="s">
        <v>424</v>
      </c>
      <c r="G47" s="38" t="s">
        <v>13</v>
      </c>
      <c r="H47" s="42">
        <v>391000</v>
      </c>
      <c r="I47" s="38" t="s">
        <v>423</v>
      </c>
      <c r="J47" s="40">
        <v>391000</v>
      </c>
      <c r="O47" s="41">
        <f t="shared" si="0"/>
        <v>0</v>
      </c>
    </row>
    <row r="48" spans="1:15" ht="20.399999999999999">
      <c r="A48" s="36" t="s">
        <v>420</v>
      </c>
      <c r="B48" s="37" t="s">
        <v>298</v>
      </c>
      <c r="C48" s="36" t="s">
        <v>420</v>
      </c>
      <c r="D48" s="37" t="s">
        <v>299</v>
      </c>
      <c r="E48" s="38" t="s">
        <v>421</v>
      </c>
      <c r="F48" s="38" t="s">
        <v>425</v>
      </c>
      <c r="G48" s="38" t="s">
        <v>13</v>
      </c>
      <c r="H48" s="42">
        <v>448000</v>
      </c>
      <c r="I48" s="38" t="s">
        <v>423</v>
      </c>
      <c r="J48" s="40">
        <v>448000</v>
      </c>
      <c r="O48" s="41">
        <f t="shared" si="0"/>
        <v>0</v>
      </c>
    </row>
    <row r="49" spans="1:15" ht="20.399999999999999">
      <c r="A49" s="36" t="s">
        <v>420</v>
      </c>
      <c r="B49" s="37" t="s">
        <v>298</v>
      </c>
      <c r="C49" s="36" t="s">
        <v>420</v>
      </c>
      <c r="D49" s="37" t="s">
        <v>299</v>
      </c>
      <c r="E49" s="38" t="s">
        <v>421</v>
      </c>
      <c r="F49" s="38" t="s">
        <v>426</v>
      </c>
      <c r="G49" s="38" t="s">
        <v>13</v>
      </c>
      <c r="H49" s="42">
        <v>522000</v>
      </c>
      <c r="I49" s="38" t="s">
        <v>423</v>
      </c>
      <c r="J49" s="40">
        <v>522000</v>
      </c>
      <c r="O49" s="41">
        <f t="shared" si="0"/>
        <v>0</v>
      </c>
    </row>
    <row r="50" spans="1:15" ht="20.399999999999999">
      <c r="A50" s="36" t="s">
        <v>420</v>
      </c>
      <c r="B50" s="37" t="s">
        <v>298</v>
      </c>
      <c r="C50" s="36" t="s">
        <v>420</v>
      </c>
      <c r="D50" s="37" t="s">
        <v>299</v>
      </c>
      <c r="E50" s="38" t="s">
        <v>421</v>
      </c>
      <c r="F50" s="38" t="s">
        <v>427</v>
      </c>
      <c r="G50" s="38" t="s">
        <v>13</v>
      </c>
      <c r="H50" s="42">
        <v>581000</v>
      </c>
      <c r="I50" s="38" t="s">
        <v>423</v>
      </c>
      <c r="J50" s="40">
        <v>581000</v>
      </c>
      <c r="O50" s="41">
        <f t="shared" si="0"/>
        <v>0</v>
      </c>
    </row>
    <row r="51" spans="1:15" ht="20.399999999999999">
      <c r="A51" s="36" t="s">
        <v>420</v>
      </c>
      <c r="B51" s="37" t="s">
        <v>300</v>
      </c>
      <c r="C51" s="36" t="s">
        <v>420</v>
      </c>
      <c r="D51" s="37" t="s">
        <v>299</v>
      </c>
      <c r="E51" s="38" t="s">
        <v>421</v>
      </c>
      <c r="F51" s="38" t="s">
        <v>422</v>
      </c>
      <c r="G51" s="38" t="s">
        <v>13</v>
      </c>
      <c r="H51" s="42">
        <v>275000</v>
      </c>
      <c r="I51" s="38" t="s">
        <v>423</v>
      </c>
      <c r="J51" s="40">
        <v>275000</v>
      </c>
      <c r="O51" s="41">
        <f t="shared" si="0"/>
        <v>0</v>
      </c>
    </row>
    <row r="52" spans="1:15" ht="20.399999999999999">
      <c r="A52" s="36" t="s">
        <v>420</v>
      </c>
      <c r="B52" s="37" t="s">
        <v>300</v>
      </c>
      <c r="C52" s="36" t="s">
        <v>420</v>
      </c>
      <c r="D52" s="37" t="s">
        <v>299</v>
      </c>
      <c r="E52" s="38" t="s">
        <v>421</v>
      </c>
      <c r="F52" s="38" t="s">
        <v>424</v>
      </c>
      <c r="G52" s="38" t="s">
        <v>13</v>
      </c>
      <c r="H52" s="42">
        <v>371000</v>
      </c>
      <c r="I52" s="38" t="s">
        <v>423</v>
      </c>
      <c r="J52" s="40">
        <v>371000</v>
      </c>
      <c r="O52" s="41">
        <f t="shared" si="0"/>
        <v>0</v>
      </c>
    </row>
    <row r="53" spans="1:15" ht="20.399999999999999">
      <c r="A53" s="36" t="s">
        <v>420</v>
      </c>
      <c r="B53" s="37" t="s">
        <v>300</v>
      </c>
      <c r="C53" s="36" t="s">
        <v>420</v>
      </c>
      <c r="D53" s="37" t="s">
        <v>299</v>
      </c>
      <c r="E53" s="38" t="s">
        <v>421</v>
      </c>
      <c r="F53" s="38" t="s">
        <v>425</v>
      </c>
      <c r="G53" s="38" t="s">
        <v>13</v>
      </c>
      <c r="H53" s="42">
        <v>443000</v>
      </c>
      <c r="I53" s="38" t="s">
        <v>423</v>
      </c>
      <c r="J53" s="40">
        <v>443000</v>
      </c>
      <c r="O53" s="41">
        <f t="shared" si="0"/>
        <v>0</v>
      </c>
    </row>
    <row r="54" spans="1:15" ht="20.399999999999999">
      <c r="A54" s="36" t="s">
        <v>420</v>
      </c>
      <c r="B54" s="37" t="s">
        <v>300</v>
      </c>
      <c r="C54" s="36" t="s">
        <v>420</v>
      </c>
      <c r="D54" s="37" t="s">
        <v>299</v>
      </c>
      <c r="E54" s="38" t="s">
        <v>421</v>
      </c>
      <c r="F54" s="38" t="s">
        <v>426</v>
      </c>
      <c r="G54" s="38" t="s">
        <v>13</v>
      </c>
      <c r="H54" s="42">
        <v>489000</v>
      </c>
      <c r="I54" s="38" t="s">
        <v>423</v>
      </c>
      <c r="J54" s="40">
        <v>489000</v>
      </c>
      <c r="O54" s="41">
        <f t="shared" si="0"/>
        <v>0</v>
      </c>
    </row>
    <row r="55" spans="1:15" ht="20.399999999999999">
      <c r="A55" s="36" t="s">
        <v>420</v>
      </c>
      <c r="B55" s="37" t="s">
        <v>300</v>
      </c>
      <c r="C55" s="36" t="s">
        <v>420</v>
      </c>
      <c r="D55" s="37" t="s">
        <v>299</v>
      </c>
      <c r="E55" s="38" t="s">
        <v>421</v>
      </c>
      <c r="F55" s="38" t="s">
        <v>427</v>
      </c>
      <c r="G55" s="38" t="s">
        <v>13</v>
      </c>
      <c r="H55" s="42">
        <v>549000</v>
      </c>
      <c r="I55" s="38" t="s">
        <v>423</v>
      </c>
      <c r="J55" s="40">
        <v>549000</v>
      </c>
      <c r="O55" s="41">
        <f t="shared" si="0"/>
        <v>0</v>
      </c>
    </row>
    <row r="56" spans="1:15" ht="20.399999999999999">
      <c r="A56" s="36" t="s">
        <v>420</v>
      </c>
      <c r="B56" s="37" t="s">
        <v>435</v>
      </c>
      <c r="C56" s="36" t="s">
        <v>420</v>
      </c>
      <c r="D56" s="37" t="s">
        <v>299</v>
      </c>
      <c r="E56" s="38" t="s">
        <v>421</v>
      </c>
      <c r="F56" s="38" t="s">
        <v>422</v>
      </c>
      <c r="G56" s="38" t="s">
        <v>13</v>
      </c>
      <c r="H56" s="42">
        <v>291000</v>
      </c>
      <c r="I56" s="38" t="s">
        <v>423</v>
      </c>
      <c r="J56" s="40">
        <v>291000</v>
      </c>
      <c r="O56" s="41">
        <f t="shared" si="0"/>
        <v>0</v>
      </c>
    </row>
    <row r="57" spans="1:15" ht="20.399999999999999">
      <c r="A57" s="36" t="s">
        <v>420</v>
      </c>
      <c r="B57" s="37" t="s">
        <v>435</v>
      </c>
      <c r="C57" s="36" t="s">
        <v>420</v>
      </c>
      <c r="D57" s="37" t="s">
        <v>299</v>
      </c>
      <c r="E57" s="38" t="s">
        <v>421</v>
      </c>
      <c r="F57" s="38" t="s">
        <v>424</v>
      </c>
      <c r="G57" s="38" t="s">
        <v>13</v>
      </c>
      <c r="H57" s="42">
        <v>422000</v>
      </c>
      <c r="I57" s="38" t="s">
        <v>423</v>
      </c>
      <c r="J57" s="40">
        <v>422000</v>
      </c>
      <c r="O57" s="41">
        <f t="shared" si="0"/>
        <v>0</v>
      </c>
    </row>
    <row r="58" spans="1:15" ht="20.399999999999999">
      <c r="A58" s="36" t="s">
        <v>420</v>
      </c>
      <c r="B58" s="37" t="s">
        <v>435</v>
      </c>
      <c r="C58" s="36" t="s">
        <v>420</v>
      </c>
      <c r="D58" s="37" t="s">
        <v>299</v>
      </c>
      <c r="E58" s="38" t="s">
        <v>421</v>
      </c>
      <c r="F58" s="38" t="s">
        <v>425</v>
      </c>
      <c r="G58" s="38" t="s">
        <v>13</v>
      </c>
      <c r="H58" s="42">
        <v>477000</v>
      </c>
      <c r="I58" s="38" t="s">
        <v>423</v>
      </c>
      <c r="J58" s="40">
        <v>477000</v>
      </c>
      <c r="O58" s="41">
        <f t="shared" si="0"/>
        <v>0</v>
      </c>
    </row>
    <row r="59" spans="1:15" ht="20.399999999999999">
      <c r="A59" s="36" t="s">
        <v>420</v>
      </c>
      <c r="B59" s="37" t="s">
        <v>435</v>
      </c>
      <c r="C59" s="36" t="s">
        <v>420</v>
      </c>
      <c r="D59" s="37" t="s">
        <v>299</v>
      </c>
      <c r="E59" s="38" t="s">
        <v>421</v>
      </c>
      <c r="F59" s="38" t="s">
        <v>426</v>
      </c>
      <c r="G59" s="38" t="s">
        <v>13</v>
      </c>
      <c r="H59" s="42">
        <v>562000</v>
      </c>
      <c r="I59" s="38" t="s">
        <v>423</v>
      </c>
      <c r="J59" s="40">
        <v>562000</v>
      </c>
      <c r="O59" s="41">
        <f t="shared" si="0"/>
        <v>0</v>
      </c>
    </row>
    <row r="60" spans="1:15" ht="20.399999999999999">
      <c r="A60" s="36" t="s">
        <v>420</v>
      </c>
      <c r="B60" s="37" t="s">
        <v>435</v>
      </c>
      <c r="C60" s="36" t="s">
        <v>420</v>
      </c>
      <c r="D60" s="37" t="s">
        <v>299</v>
      </c>
      <c r="E60" s="38" t="s">
        <v>421</v>
      </c>
      <c r="F60" s="38" t="s">
        <v>427</v>
      </c>
      <c r="G60" s="38" t="s">
        <v>13</v>
      </c>
      <c r="H60" s="42">
        <v>597000</v>
      </c>
      <c r="I60" s="38" t="s">
        <v>423</v>
      </c>
      <c r="J60" s="40">
        <v>597000</v>
      </c>
      <c r="O60" s="41">
        <f t="shared" si="0"/>
        <v>0</v>
      </c>
    </row>
    <row r="61" spans="1:15" ht="20.399999999999999">
      <c r="A61" s="36" t="s">
        <v>420</v>
      </c>
      <c r="B61" s="44" t="s">
        <v>436</v>
      </c>
      <c r="C61" s="36" t="s">
        <v>420</v>
      </c>
      <c r="D61" s="37" t="s">
        <v>299</v>
      </c>
      <c r="E61" s="38" t="s">
        <v>421</v>
      </c>
      <c r="F61" s="38" t="s">
        <v>422</v>
      </c>
      <c r="G61" s="38" t="s">
        <v>13</v>
      </c>
      <c r="H61" s="42">
        <v>288000</v>
      </c>
      <c r="I61" s="38" t="s">
        <v>423</v>
      </c>
      <c r="J61" s="40">
        <v>288000</v>
      </c>
      <c r="O61" s="41">
        <f t="shared" si="0"/>
        <v>0</v>
      </c>
    </row>
    <row r="62" spans="1:15" ht="20.399999999999999">
      <c r="A62" s="36" t="s">
        <v>420</v>
      </c>
      <c r="B62" s="44" t="s">
        <v>436</v>
      </c>
      <c r="C62" s="36" t="s">
        <v>420</v>
      </c>
      <c r="D62" s="37" t="s">
        <v>299</v>
      </c>
      <c r="E62" s="38" t="s">
        <v>421</v>
      </c>
      <c r="F62" s="38" t="s">
        <v>424</v>
      </c>
      <c r="G62" s="38" t="s">
        <v>13</v>
      </c>
      <c r="H62" s="42">
        <v>392000</v>
      </c>
      <c r="I62" s="38" t="s">
        <v>423</v>
      </c>
      <c r="J62" s="40">
        <v>392000</v>
      </c>
      <c r="O62" s="41">
        <f t="shared" si="0"/>
        <v>0</v>
      </c>
    </row>
    <row r="63" spans="1:15" ht="20.399999999999999">
      <c r="A63" s="36" t="s">
        <v>420</v>
      </c>
      <c r="B63" s="44" t="s">
        <v>436</v>
      </c>
      <c r="C63" s="36" t="s">
        <v>420</v>
      </c>
      <c r="D63" s="37" t="s">
        <v>299</v>
      </c>
      <c r="E63" s="38" t="s">
        <v>421</v>
      </c>
      <c r="F63" s="38" t="s">
        <v>425</v>
      </c>
      <c r="G63" s="38" t="s">
        <v>13</v>
      </c>
      <c r="H63" s="42">
        <v>463000</v>
      </c>
      <c r="I63" s="38" t="s">
        <v>423</v>
      </c>
      <c r="J63" s="40">
        <v>463000</v>
      </c>
      <c r="O63" s="41">
        <f t="shared" si="0"/>
        <v>0</v>
      </c>
    </row>
    <row r="64" spans="1:15" ht="20.399999999999999">
      <c r="A64" s="36" t="s">
        <v>420</v>
      </c>
      <c r="B64" s="44" t="s">
        <v>436</v>
      </c>
      <c r="C64" s="36" t="s">
        <v>420</v>
      </c>
      <c r="D64" s="37" t="s">
        <v>299</v>
      </c>
      <c r="E64" s="38" t="s">
        <v>421</v>
      </c>
      <c r="F64" s="38" t="s">
        <v>426</v>
      </c>
      <c r="G64" s="38" t="s">
        <v>13</v>
      </c>
      <c r="H64" s="42">
        <v>532000</v>
      </c>
      <c r="I64" s="38" t="s">
        <v>423</v>
      </c>
      <c r="J64" s="40">
        <v>532000</v>
      </c>
      <c r="O64" s="41">
        <f t="shared" si="0"/>
        <v>0</v>
      </c>
    </row>
    <row r="65" spans="1:15" ht="20.399999999999999">
      <c r="A65" s="36" t="s">
        <v>420</v>
      </c>
      <c r="B65" s="44" t="s">
        <v>436</v>
      </c>
      <c r="C65" s="36" t="s">
        <v>420</v>
      </c>
      <c r="D65" s="37" t="s">
        <v>299</v>
      </c>
      <c r="E65" s="38" t="s">
        <v>421</v>
      </c>
      <c r="F65" s="38" t="s">
        <v>427</v>
      </c>
      <c r="G65" s="38" t="s">
        <v>13</v>
      </c>
      <c r="H65" s="42">
        <v>603000</v>
      </c>
      <c r="I65" s="38" t="s">
        <v>423</v>
      </c>
      <c r="J65" s="40">
        <v>603000</v>
      </c>
      <c r="O65" s="41">
        <f t="shared" si="0"/>
        <v>0</v>
      </c>
    </row>
    <row r="66" spans="1:15" ht="20.399999999999999">
      <c r="A66" s="36" t="s">
        <v>420</v>
      </c>
      <c r="B66" s="38" t="s">
        <v>437</v>
      </c>
      <c r="C66" s="36" t="s">
        <v>420</v>
      </c>
      <c r="D66" s="37" t="s">
        <v>299</v>
      </c>
      <c r="E66" s="38" t="s">
        <v>421</v>
      </c>
      <c r="F66" s="38" t="s">
        <v>422</v>
      </c>
      <c r="G66" s="38" t="s">
        <v>13</v>
      </c>
      <c r="H66" s="42">
        <v>183000</v>
      </c>
      <c r="I66" s="38" t="s">
        <v>423</v>
      </c>
      <c r="J66" s="40">
        <v>183000</v>
      </c>
      <c r="O66" s="41">
        <f t="shared" si="0"/>
        <v>0</v>
      </c>
    </row>
    <row r="67" spans="1:15" ht="22.5" customHeight="1">
      <c r="A67" s="36" t="s">
        <v>438</v>
      </c>
      <c r="B67" s="38" t="s">
        <v>437</v>
      </c>
      <c r="C67" s="36" t="s">
        <v>438</v>
      </c>
      <c r="D67" s="38" t="s">
        <v>299</v>
      </c>
      <c r="E67" s="38" t="s">
        <v>429</v>
      </c>
      <c r="F67" s="38" t="s">
        <v>424</v>
      </c>
      <c r="G67" s="38" t="s">
        <v>13</v>
      </c>
      <c r="H67" s="42">
        <v>221000</v>
      </c>
      <c r="I67" s="38" t="s">
        <v>439</v>
      </c>
      <c r="J67" s="40">
        <v>221000</v>
      </c>
      <c r="O67" s="41">
        <f t="shared" si="0"/>
        <v>0</v>
      </c>
    </row>
    <row r="68" spans="1:15" ht="22.5" customHeight="1">
      <c r="A68" s="36" t="s">
        <v>438</v>
      </c>
      <c r="B68" s="38" t="s">
        <v>437</v>
      </c>
      <c r="C68" s="36" t="s">
        <v>438</v>
      </c>
      <c r="D68" s="38" t="s">
        <v>299</v>
      </c>
      <c r="E68" s="38" t="s">
        <v>429</v>
      </c>
      <c r="F68" s="38" t="s">
        <v>425</v>
      </c>
      <c r="G68" s="38" t="s">
        <v>13</v>
      </c>
      <c r="H68" s="42">
        <v>291000</v>
      </c>
      <c r="I68" s="38" t="s">
        <v>439</v>
      </c>
      <c r="J68" s="40">
        <v>291000</v>
      </c>
      <c r="O68" s="41">
        <f t="shared" si="0"/>
        <v>0</v>
      </c>
    </row>
    <row r="69" spans="1:15" ht="22.5" customHeight="1">
      <c r="A69" s="36" t="s">
        <v>438</v>
      </c>
      <c r="B69" s="38" t="s">
        <v>437</v>
      </c>
      <c r="C69" s="36" t="s">
        <v>438</v>
      </c>
      <c r="D69" s="38" t="s">
        <v>299</v>
      </c>
      <c r="E69" s="38" t="s">
        <v>429</v>
      </c>
      <c r="F69" s="38" t="s">
        <v>426</v>
      </c>
      <c r="G69" s="38" t="s">
        <v>13</v>
      </c>
      <c r="H69" s="42">
        <v>315000</v>
      </c>
      <c r="I69" s="38" t="s">
        <v>439</v>
      </c>
      <c r="J69" s="40">
        <v>315000</v>
      </c>
      <c r="O69" s="41">
        <f t="shared" si="0"/>
        <v>0</v>
      </c>
    </row>
    <row r="70" spans="1:15" ht="22.5" customHeight="1">
      <c r="A70" s="36" t="s">
        <v>438</v>
      </c>
      <c r="B70" s="38" t="s">
        <v>437</v>
      </c>
      <c r="C70" s="36" t="s">
        <v>438</v>
      </c>
      <c r="D70" s="38" t="s">
        <v>299</v>
      </c>
      <c r="E70" s="38" t="s">
        <v>429</v>
      </c>
      <c r="F70" s="38" t="s">
        <v>427</v>
      </c>
      <c r="G70" s="38" t="s">
        <v>13</v>
      </c>
      <c r="H70" s="42">
        <v>381000</v>
      </c>
      <c r="I70" s="38" t="s">
        <v>439</v>
      </c>
      <c r="J70" s="40">
        <v>381000</v>
      </c>
      <c r="O70" s="41">
        <f t="shared" ref="O70:O95" si="1">J70-H70</f>
        <v>0</v>
      </c>
    </row>
    <row r="71" spans="1:15" ht="20.399999999999999">
      <c r="A71" s="36" t="s">
        <v>420</v>
      </c>
      <c r="B71" s="38" t="s">
        <v>440</v>
      </c>
      <c r="C71" s="36" t="s">
        <v>420</v>
      </c>
      <c r="D71" s="37" t="s">
        <v>299</v>
      </c>
      <c r="E71" s="38" t="s">
        <v>421</v>
      </c>
      <c r="F71" s="38" t="s">
        <v>422</v>
      </c>
      <c r="G71" s="38" t="s">
        <v>13</v>
      </c>
      <c r="H71" s="42">
        <v>289000</v>
      </c>
      <c r="I71" s="38" t="s">
        <v>423</v>
      </c>
      <c r="J71" s="40">
        <v>289000</v>
      </c>
      <c r="O71" s="41">
        <f t="shared" si="1"/>
        <v>0</v>
      </c>
    </row>
    <row r="72" spans="1:15" ht="20.399999999999999">
      <c r="A72" s="36" t="s">
        <v>420</v>
      </c>
      <c r="B72" s="38" t="s">
        <v>441</v>
      </c>
      <c r="C72" s="36" t="s">
        <v>420</v>
      </c>
      <c r="D72" s="37" t="s">
        <v>299</v>
      </c>
      <c r="E72" s="38" t="s">
        <v>421</v>
      </c>
      <c r="F72" s="38" t="s">
        <v>424</v>
      </c>
      <c r="G72" s="38" t="s">
        <v>13</v>
      </c>
      <c r="H72" s="42">
        <v>392000</v>
      </c>
      <c r="I72" s="38" t="s">
        <v>423</v>
      </c>
      <c r="J72" s="40">
        <v>392000</v>
      </c>
      <c r="O72" s="41">
        <f t="shared" si="1"/>
        <v>0</v>
      </c>
    </row>
    <row r="73" spans="1:15" ht="20.399999999999999">
      <c r="A73" s="36" t="s">
        <v>428</v>
      </c>
      <c r="B73" s="38" t="s">
        <v>441</v>
      </c>
      <c r="C73" s="36" t="s">
        <v>428</v>
      </c>
      <c r="D73" s="38" t="s">
        <v>299</v>
      </c>
      <c r="E73" s="38" t="s">
        <v>429</v>
      </c>
      <c r="F73" s="38" t="s">
        <v>425</v>
      </c>
      <c r="G73" s="38" t="s">
        <v>13</v>
      </c>
      <c r="H73" s="42">
        <v>465000</v>
      </c>
      <c r="I73" s="38" t="s">
        <v>430</v>
      </c>
      <c r="J73" s="40">
        <v>465000</v>
      </c>
      <c r="O73" s="41">
        <f t="shared" si="1"/>
        <v>0</v>
      </c>
    </row>
    <row r="74" spans="1:15" ht="20.399999999999999">
      <c r="A74" s="36" t="s">
        <v>428</v>
      </c>
      <c r="B74" s="38" t="s">
        <v>441</v>
      </c>
      <c r="C74" s="36" t="s">
        <v>428</v>
      </c>
      <c r="D74" s="38" t="s">
        <v>299</v>
      </c>
      <c r="E74" s="38" t="s">
        <v>429</v>
      </c>
      <c r="F74" s="38" t="s">
        <v>426</v>
      </c>
      <c r="G74" s="38" t="s">
        <v>13</v>
      </c>
      <c r="H74" s="42">
        <v>535000</v>
      </c>
      <c r="I74" s="38" t="s">
        <v>430</v>
      </c>
      <c r="J74" s="40">
        <v>535000</v>
      </c>
      <c r="O74" s="41">
        <f t="shared" si="1"/>
        <v>0</v>
      </c>
    </row>
    <row r="75" spans="1:15" ht="20.399999999999999">
      <c r="A75" s="36" t="s">
        <v>420</v>
      </c>
      <c r="B75" s="38" t="s">
        <v>441</v>
      </c>
      <c r="C75" s="36" t="s">
        <v>420</v>
      </c>
      <c r="D75" s="37" t="s">
        <v>299</v>
      </c>
      <c r="E75" s="38" t="s">
        <v>421</v>
      </c>
      <c r="F75" s="38" t="s">
        <v>427</v>
      </c>
      <c r="G75" s="38" t="s">
        <v>13</v>
      </c>
      <c r="H75" s="42">
        <v>602000</v>
      </c>
      <c r="I75" s="38" t="s">
        <v>423</v>
      </c>
      <c r="J75" s="40">
        <v>602000</v>
      </c>
      <c r="O75" s="41">
        <f t="shared" si="1"/>
        <v>0</v>
      </c>
    </row>
    <row r="76" spans="1:15" ht="20.399999999999999">
      <c r="A76" s="36" t="s">
        <v>420</v>
      </c>
      <c r="B76" s="37" t="s">
        <v>442</v>
      </c>
      <c r="C76" s="36" t="s">
        <v>420</v>
      </c>
      <c r="D76" s="37" t="s">
        <v>299</v>
      </c>
      <c r="E76" s="38" t="s">
        <v>421</v>
      </c>
      <c r="F76" s="38" t="s">
        <v>422</v>
      </c>
      <c r="G76" s="38" t="s">
        <v>13</v>
      </c>
      <c r="H76" s="42">
        <v>198000</v>
      </c>
      <c r="I76" s="38" t="s">
        <v>423</v>
      </c>
      <c r="J76" s="40">
        <v>198000</v>
      </c>
      <c r="O76" s="41">
        <f t="shared" si="1"/>
        <v>0</v>
      </c>
    </row>
    <row r="77" spans="1:15" ht="20.399999999999999">
      <c r="A77" s="36" t="s">
        <v>420</v>
      </c>
      <c r="B77" s="37" t="s">
        <v>442</v>
      </c>
      <c r="C77" s="36" t="s">
        <v>420</v>
      </c>
      <c r="D77" s="37" t="s">
        <v>299</v>
      </c>
      <c r="E77" s="38" t="s">
        <v>421</v>
      </c>
      <c r="F77" s="38" t="s">
        <v>424</v>
      </c>
      <c r="G77" s="38" t="s">
        <v>13</v>
      </c>
      <c r="H77" s="42">
        <v>235000</v>
      </c>
      <c r="I77" s="38" t="s">
        <v>423</v>
      </c>
      <c r="J77" s="40">
        <v>235000</v>
      </c>
      <c r="O77" s="41">
        <f t="shared" si="1"/>
        <v>0</v>
      </c>
    </row>
    <row r="78" spans="1:15" ht="20.399999999999999">
      <c r="A78" s="36" t="s">
        <v>420</v>
      </c>
      <c r="B78" s="37" t="s">
        <v>442</v>
      </c>
      <c r="C78" s="36" t="s">
        <v>420</v>
      </c>
      <c r="D78" s="37" t="s">
        <v>299</v>
      </c>
      <c r="E78" s="38" t="s">
        <v>421</v>
      </c>
      <c r="F78" s="38" t="s">
        <v>425</v>
      </c>
      <c r="G78" s="38" t="s">
        <v>13</v>
      </c>
      <c r="H78" s="42">
        <v>285000</v>
      </c>
      <c r="I78" s="38" t="s">
        <v>423</v>
      </c>
      <c r="J78" s="40">
        <v>285000</v>
      </c>
      <c r="O78" s="41">
        <f t="shared" si="1"/>
        <v>0</v>
      </c>
    </row>
    <row r="79" spans="1:15" ht="20.399999999999999">
      <c r="A79" s="36" t="s">
        <v>420</v>
      </c>
      <c r="B79" s="37" t="s">
        <v>442</v>
      </c>
      <c r="C79" s="36" t="s">
        <v>420</v>
      </c>
      <c r="D79" s="37" t="s">
        <v>299</v>
      </c>
      <c r="E79" s="38" t="s">
        <v>421</v>
      </c>
      <c r="F79" s="38" t="s">
        <v>426</v>
      </c>
      <c r="G79" s="38" t="s">
        <v>13</v>
      </c>
      <c r="H79" s="42">
        <v>338000</v>
      </c>
      <c r="I79" s="38" t="s">
        <v>423</v>
      </c>
      <c r="J79" s="40">
        <v>338000</v>
      </c>
      <c r="O79" s="41">
        <f t="shared" si="1"/>
        <v>0</v>
      </c>
    </row>
    <row r="80" spans="1:15" ht="20.399999999999999">
      <c r="A80" s="36" t="s">
        <v>420</v>
      </c>
      <c r="B80" s="37" t="s">
        <v>442</v>
      </c>
      <c r="C80" s="36" t="s">
        <v>420</v>
      </c>
      <c r="D80" s="37" t="s">
        <v>299</v>
      </c>
      <c r="E80" s="38" t="s">
        <v>421</v>
      </c>
      <c r="F80" s="38" t="s">
        <v>427</v>
      </c>
      <c r="G80" s="38" t="s">
        <v>13</v>
      </c>
      <c r="H80" s="42">
        <v>380000</v>
      </c>
      <c r="I80" s="38" t="s">
        <v>423</v>
      </c>
      <c r="J80" s="40">
        <v>380000</v>
      </c>
      <c r="O80" s="41">
        <f t="shared" si="1"/>
        <v>0</v>
      </c>
    </row>
    <row r="81" spans="1:15" ht="20.399999999999999">
      <c r="A81" s="36" t="s">
        <v>420</v>
      </c>
      <c r="B81" s="37" t="s">
        <v>443</v>
      </c>
      <c r="C81" s="36" t="s">
        <v>420</v>
      </c>
      <c r="D81" s="37" t="s">
        <v>299</v>
      </c>
      <c r="E81" s="38" t="s">
        <v>421</v>
      </c>
      <c r="F81" s="38" t="s">
        <v>422</v>
      </c>
      <c r="G81" s="38" t="s">
        <v>13</v>
      </c>
      <c r="H81" s="42">
        <v>282000</v>
      </c>
      <c r="I81" s="38" t="s">
        <v>423</v>
      </c>
      <c r="J81" s="40">
        <v>282000</v>
      </c>
      <c r="O81" s="41">
        <f t="shared" si="1"/>
        <v>0</v>
      </c>
    </row>
    <row r="82" spans="1:15" ht="20.399999999999999">
      <c r="A82" s="36" t="s">
        <v>420</v>
      </c>
      <c r="B82" s="37" t="s">
        <v>444</v>
      </c>
      <c r="C82" s="36" t="s">
        <v>420</v>
      </c>
      <c r="D82" s="37" t="s">
        <v>299</v>
      </c>
      <c r="E82" s="38" t="s">
        <v>421</v>
      </c>
      <c r="F82" s="38" t="s">
        <v>424</v>
      </c>
      <c r="G82" s="38" t="s">
        <v>13</v>
      </c>
      <c r="H82" s="42">
        <v>421000</v>
      </c>
      <c r="I82" s="38" t="s">
        <v>423</v>
      </c>
      <c r="J82" s="40">
        <v>421000</v>
      </c>
      <c r="O82" s="41">
        <f t="shared" si="1"/>
        <v>0</v>
      </c>
    </row>
    <row r="83" spans="1:15" ht="20.399999999999999">
      <c r="A83" s="36" t="s">
        <v>428</v>
      </c>
      <c r="B83" s="38" t="s">
        <v>443</v>
      </c>
      <c r="C83" s="36" t="s">
        <v>428</v>
      </c>
      <c r="D83" s="38" t="s">
        <v>299</v>
      </c>
      <c r="E83" s="38" t="s">
        <v>429</v>
      </c>
      <c r="F83" s="38" t="s">
        <v>425</v>
      </c>
      <c r="G83" s="38" t="s">
        <v>13</v>
      </c>
      <c r="H83" s="42">
        <v>465000</v>
      </c>
      <c r="I83" s="38" t="s">
        <v>430</v>
      </c>
      <c r="J83" s="40">
        <v>465000</v>
      </c>
      <c r="O83" s="41">
        <f t="shared" si="1"/>
        <v>0</v>
      </c>
    </row>
    <row r="84" spans="1:15" ht="20.399999999999999">
      <c r="A84" s="36" t="s">
        <v>428</v>
      </c>
      <c r="B84" s="38" t="s">
        <v>443</v>
      </c>
      <c r="C84" s="36" t="s">
        <v>428</v>
      </c>
      <c r="D84" s="38" t="s">
        <v>299</v>
      </c>
      <c r="E84" s="38" t="s">
        <v>429</v>
      </c>
      <c r="F84" s="38" t="s">
        <v>426</v>
      </c>
      <c r="G84" s="38" t="s">
        <v>13</v>
      </c>
      <c r="H84" s="42">
        <v>555000</v>
      </c>
      <c r="I84" s="38" t="s">
        <v>430</v>
      </c>
      <c r="J84" s="40">
        <v>555000</v>
      </c>
      <c r="O84" s="41">
        <f t="shared" si="1"/>
        <v>0</v>
      </c>
    </row>
    <row r="85" spans="1:15" ht="20.399999999999999">
      <c r="A85" s="36" t="s">
        <v>428</v>
      </c>
      <c r="B85" s="38" t="s">
        <v>443</v>
      </c>
      <c r="C85" s="36" t="s">
        <v>428</v>
      </c>
      <c r="D85" s="38" t="s">
        <v>299</v>
      </c>
      <c r="E85" s="38" t="s">
        <v>429</v>
      </c>
      <c r="F85" s="38" t="s">
        <v>427</v>
      </c>
      <c r="G85" s="38" t="s">
        <v>13</v>
      </c>
      <c r="H85" s="42">
        <v>594000</v>
      </c>
      <c r="I85" s="38" t="s">
        <v>430</v>
      </c>
      <c r="J85" s="40">
        <v>594000</v>
      </c>
      <c r="O85" s="41">
        <f t="shared" si="1"/>
        <v>0</v>
      </c>
    </row>
    <row r="86" spans="1:15" ht="22.5" customHeight="1">
      <c r="A86" s="36" t="s">
        <v>420</v>
      </c>
      <c r="B86" s="37" t="s">
        <v>445</v>
      </c>
      <c r="C86" s="36" t="s">
        <v>420</v>
      </c>
      <c r="D86" s="37" t="s">
        <v>299</v>
      </c>
      <c r="E86" s="38" t="s">
        <v>421</v>
      </c>
      <c r="F86" s="38" t="s">
        <v>422</v>
      </c>
      <c r="G86" s="38" t="s">
        <v>13</v>
      </c>
      <c r="H86" s="42">
        <v>196500</v>
      </c>
      <c r="I86" s="38" t="s">
        <v>423</v>
      </c>
      <c r="J86" s="40">
        <v>196500</v>
      </c>
      <c r="O86" s="41">
        <f t="shared" si="1"/>
        <v>0</v>
      </c>
    </row>
    <row r="87" spans="1:15" ht="22.5" customHeight="1">
      <c r="A87" s="36" t="s">
        <v>420</v>
      </c>
      <c r="B87" s="37" t="s">
        <v>445</v>
      </c>
      <c r="C87" s="36" t="s">
        <v>420</v>
      </c>
      <c r="D87" s="37" t="s">
        <v>299</v>
      </c>
      <c r="E87" s="38" t="s">
        <v>421</v>
      </c>
      <c r="F87" s="38" t="s">
        <v>424</v>
      </c>
      <c r="G87" s="38" t="s">
        <v>13</v>
      </c>
      <c r="H87" s="42">
        <v>241000</v>
      </c>
      <c r="I87" s="38" t="s">
        <v>423</v>
      </c>
      <c r="J87" s="40">
        <v>241000</v>
      </c>
      <c r="O87" s="41">
        <f t="shared" si="1"/>
        <v>0</v>
      </c>
    </row>
    <row r="88" spans="1:15" ht="22.5" customHeight="1">
      <c r="A88" s="36" t="s">
        <v>420</v>
      </c>
      <c r="B88" s="37" t="s">
        <v>445</v>
      </c>
      <c r="C88" s="36" t="s">
        <v>420</v>
      </c>
      <c r="D88" s="37" t="s">
        <v>299</v>
      </c>
      <c r="E88" s="38" t="s">
        <v>421</v>
      </c>
      <c r="F88" s="38" t="s">
        <v>425</v>
      </c>
      <c r="G88" s="38" t="s">
        <v>13</v>
      </c>
      <c r="H88" s="42">
        <v>289000</v>
      </c>
      <c r="I88" s="38" t="s">
        <v>423</v>
      </c>
      <c r="J88" s="40">
        <v>289000</v>
      </c>
      <c r="O88" s="41">
        <f t="shared" si="1"/>
        <v>0</v>
      </c>
    </row>
    <row r="89" spans="1:15" ht="22.5" customHeight="1">
      <c r="A89" s="36" t="s">
        <v>420</v>
      </c>
      <c r="B89" s="37" t="s">
        <v>445</v>
      </c>
      <c r="C89" s="36" t="s">
        <v>420</v>
      </c>
      <c r="D89" s="37" t="s">
        <v>299</v>
      </c>
      <c r="E89" s="38" t="s">
        <v>421</v>
      </c>
      <c r="F89" s="38" t="s">
        <v>426</v>
      </c>
      <c r="G89" s="38" t="s">
        <v>13</v>
      </c>
      <c r="H89" s="42">
        <v>331000</v>
      </c>
      <c r="I89" s="38" t="s">
        <v>423</v>
      </c>
      <c r="J89" s="40">
        <v>331000</v>
      </c>
      <c r="O89" s="41">
        <f t="shared" si="1"/>
        <v>0</v>
      </c>
    </row>
    <row r="90" spans="1:15" ht="22.5" customHeight="1">
      <c r="A90" s="36" t="s">
        <v>420</v>
      </c>
      <c r="B90" s="37" t="s">
        <v>445</v>
      </c>
      <c r="C90" s="36" t="s">
        <v>420</v>
      </c>
      <c r="D90" s="37" t="s">
        <v>299</v>
      </c>
      <c r="E90" s="38" t="s">
        <v>421</v>
      </c>
      <c r="F90" s="38" t="s">
        <v>427</v>
      </c>
      <c r="G90" s="38" t="s">
        <v>13</v>
      </c>
      <c r="H90" s="42">
        <v>370000</v>
      </c>
      <c r="I90" s="38" t="s">
        <v>423</v>
      </c>
      <c r="J90" s="40">
        <v>370000</v>
      </c>
      <c r="O90" s="41">
        <f t="shared" si="1"/>
        <v>0</v>
      </c>
    </row>
    <row r="91" spans="1:15" ht="20.399999999999999">
      <c r="A91" s="36" t="s">
        <v>420</v>
      </c>
      <c r="B91" s="37" t="s">
        <v>446</v>
      </c>
      <c r="C91" s="36" t="s">
        <v>420</v>
      </c>
      <c r="D91" s="37" t="s">
        <v>299</v>
      </c>
      <c r="E91" s="38" t="s">
        <v>421</v>
      </c>
      <c r="F91" s="38" t="s">
        <v>422</v>
      </c>
      <c r="G91" s="38" t="s">
        <v>13</v>
      </c>
      <c r="H91" s="42">
        <v>119000</v>
      </c>
      <c r="I91" s="38" t="s">
        <v>423</v>
      </c>
      <c r="J91" s="40">
        <v>119000</v>
      </c>
      <c r="O91" s="41">
        <f t="shared" si="1"/>
        <v>0</v>
      </c>
    </row>
    <row r="92" spans="1:15" ht="20.399999999999999">
      <c r="A92" s="36" t="s">
        <v>420</v>
      </c>
      <c r="B92" s="37" t="s">
        <v>447</v>
      </c>
      <c r="C92" s="36" t="s">
        <v>420</v>
      </c>
      <c r="D92" s="37" t="s">
        <v>299</v>
      </c>
      <c r="E92" s="38" t="s">
        <v>421</v>
      </c>
      <c r="F92" s="38" t="s">
        <v>424</v>
      </c>
      <c r="G92" s="38" t="s">
        <v>13</v>
      </c>
      <c r="H92" s="42">
        <v>147000</v>
      </c>
      <c r="I92" s="38" t="s">
        <v>423</v>
      </c>
      <c r="J92" s="40">
        <v>147000</v>
      </c>
      <c r="O92" s="41">
        <f t="shared" si="1"/>
        <v>0</v>
      </c>
    </row>
    <row r="93" spans="1:15" ht="20.399999999999999">
      <c r="A93" s="36" t="s">
        <v>420</v>
      </c>
      <c r="B93" s="37" t="s">
        <v>447</v>
      </c>
      <c r="C93" s="36" t="s">
        <v>420</v>
      </c>
      <c r="D93" s="37" t="s">
        <v>299</v>
      </c>
      <c r="E93" s="38" t="s">
        <v>421</v>
      </c>
      <c r="F93" s="38" t="s">
        <v>425</v>
      </c>
      <c r="G93" s="38" t="s">
        <v>13</v>
      </c>
      <c r="H93" s="42">
        <v>232000</v>
      </c>
      <c r="I93" s="38" t="s">
        <v>423</v>
      </c>
      <c r="J93" s="40">
        <v>232000</v>
      </c>
      <c r="O93" s="41">
        <f t="shared" si="1"/>
        <v>0</v>
      </c>
    </row>
    <row r="94" spans="1:15" ht="20.399999999999999">
      <c r="A94" s="36" t="s">
        <v>420</v>
      </c>
      <c r="B94" s="37" t="s">
        <v>447</v>
      </c>
      <c r="C94" s="36" t="s">
        <v>420</v>
      </c>
      <c r="D94" s="37" t="s">
        <v>299</v>
      </c>
      <c r="E94" s="38" t="s">
        <v>421</v>
      </c>
      <c r="F94" s="38" t="s">
        <v>426</v>
      </c>
      <c r="G94" s="38" t="s">
        <v>13</v>
      </c>
      <c r="H94" s="42">
        <v>265000</v>
      </c>
      <c r="I94" s="38" t="s">
        <v>423</v>
      </c>
      <c r="J94" s="40">
        <v>265000</v>
      </c>
      <c r="O94" s="41">
        <f t="shared" si="1"/>
        <v>0</v>
      </c>
    </row>
    <row r="95" spans="1:15" ht="20.399999999999999">
      <c r="A95" s="36" t="s">
        <v>420</v>
      </c>
      <c r="B95" s="37" t="s">
        <v>447</v>
      </c>
      <c r="C95" s="36" t="s">
        <v>420</v>
      </c>
      <c r="D95" s="37" t="s">
        <v>299</v>
      </c>
      <c r="E95" s="38" t="s">
        <v>421</v>
      </c>
      <c r="F95" s="38" t="s">
        <v>427</v>
      </c>
      <c r="G95" s="38" t="s">
        <v>13</v>
      </c>
      <c r="H95" s="42">
        <v>318000</v>
      </c>
      <c r="I95" s="38" t="s">
        <v>423</v>
      </c>
      <c r="J95" s="45">
        <v>318000</v>
      </c>
      <c r="O95" s="41">
        <f t="shared" si="1"/>
        <v>0</v>
      </c>
    </row>
    <row r="96" spans="1:15" ht="20.399999999999999">
      <c r="A96" s="36" t="s">
        <v>420</v>
      </c>
      <c r="B96" s="37" t="s">
        <v>301</v>
      </c>
      <c r="C96" s="36" t="s">
        <v>420</v>
      </c>
      <c r="D96" s="37" t="s">
        <v>299</v>
      </c>
      <c r="E96" s="38" t="s">
        <v>421</v>
      </c>
      <c r="F96" s="38" t="s">
        <v>448</v>
      </c>
      <c r="G96" s="38" t="s">
        <v>13</v>
      </c>
      <c r="H96" s="42">
        <v>1024000</v>
      </c>
      <c r="I96" s="38" t="s">
        <v>423</v>
      </c>
      <c r="J96" s="40">
        <v>408000</v>
      </c>
      <c r="K96" s="40">
        <v>616000</v>
      </c>
      <c r="M96" s="46">
        <f t="shared" ref="M96:M157" si="2">J96+K96</f>
        <v>1024000</v>
      </c>
      <c r="O96" s="41">
        <f>M96-H96</f>
        <v>0</v>
      </c>
    </row>
    <row r="97" spans="1:15" ht="20.399999999999999">
      <c r="A97" s="36" t="s">
        <v>420</v>
      </c>
      <c r="B97" s="44" t="s">
        <v>436</v>
      </c>
      <c r="C97" s="36" t="s">
        <v>420</v>
      </c>
      <c r="D97" s="37" t="s">
        <v>299</v>
      </c>
      <c r="E97" s="38" t="s">
        <v>421</v>
      </c>
      <c r="F97" s="38" t="s">
        <v>448</v>
      </c>
      <c r="G97" s="38" t="s">
        <v>13</v>
      </c>
      <c r="H97" s="42">
        <v>995000</v>
      </c>
      <c r="I97" s="38" t="s">
        <v>423</v>
      </c>
      <c r="J97" s="40">
        <v>392000</v>
      </c>
      <c r="K97" s="40">
        <v>603000</v>
      </c>
      <c r="M97" s="46">
        <f t="shared" si="2"/>
        <v>995000</v>
      </c>
      <c r="O97" s="41">
        <f t="shared" ref="O97:O160" si="3">M97-H97</f>
        <v>0</v>
      </c>
    </row>
    <row r="98" spans="1:15" ht="20.399999999999999">
      <c r="A98" s="36" t="s">
        <v>428</v>
      </c>
      <c r="B98" s="38" t="s">
        <v>303</v>
      </c>
      <c r="C98" s="36" t="s">
        <v>428</v>
      </c>
      <c r="D98" s="38" t="s">
        <v>299</v>
      </c>
      <c r="E98" s="38" t="s">
        <v>429</v>
      </c>
      <c r="F98" s="38" t="s">
        <v>449</v>
      </c>
      <c r="G98" s="38" t="s">
        <v>13</v>
      </c>
      <c r="H98" s="42">
        <v>784000</v>
      </c>
      <c r="I98" s="38" t="s">
        <v>430</v>
      </c>
      <c r="J98" s="40">
        <v>392000</v>
      </c>
      <c r="K98" s="40">
        <v>392000</v>
      </c>
      <c r="M98" s="46">
        <f t="shared" si="2"/>
        <v>784000</v>
      </c>
      <c r="O98" s="41">
        <f t="shared" si="3"/>
        <v>0</v>
      </c>
    </row>
    <row r="99" spans="1:15" ht="20.399999999999999">
      <c r="A99" s="36" t="s">
        <v>420</v>
      </c>
      <c r="B99" s="43" t="s">
        <v>434</v>
      </c>
      <c r="C99" s="36" t="s">
        <v>420</v>
      </c>
      <c r="D99" s="37" t="s">
        <v>299</v>
      </c>
      <c r="E99" s="38" t="s">
        <v>421</v>
      </c>
      <c r="F99" s="38" t="s">
        <v>450</v>
      </c>
      <c r="G99" s="38" t="s">
        <v>13</v>
      </c>
      <c r="H99" s="42">
        <v>952000</v>
      </c>
      <c r="I99" s="38" t="s">
        <v>423</v>
      </c>
      <c r="J99" s="40">
        <v>534000</v>
      </c>
      <c r="K99" s="40">
        <v>418000</v>
      </c>
      <c r="M99" s="46">
        <f t="shared" si="2"/>
        <v>952000</v>
      </c>
      <c r="O99" s="41">
        <f t="shared" si="3"/>
        <v>0</v>
      </c>
    </row>
    <row r="100" spans="1:15" ht="20.399999999999999">
      <c r="A100" s="36" t="s">
        <v>420</v>
      </c>
      <c r="B100" s="44" t="s">
        <v>436</v>
      </c>
      <c r="C100" s="36" t="s">
        <v>420</v>
      </c>
      <c r="D100" s="37" t="s">
        <v>299</v>
      </c>
      <c r="E100" s="38" t="s">
        <v>421</v>
      </c>
      <c r="F100" s="38" t="s">
        <v>451</v>
      </c>
      <c r="G100" s="38" t="s">
        <v>13</v>
      </c>
      <c r="H100" s="42">
        <v>1135000</v>
      </c>
      <c r="I100" s="38" t="s">
        <v>423</v>
      </c>
      <c r="J100" s="40">
        <v>603000</v>
      </c>
      <c r="K100" s="40">
        <v>532000</v>
      </c>
      <c r="M100" s="46">
        <f t="shared" si="2"/>
        <v>1135000</v>
      </c>
      <c r="O100" s="41">
        <f t="shared" si="3"/>
        <v>0</v>
      </c>
    </row>
    <row r="101" spans="1:15" ht="20.399999999999999">
      <c r="A101" s="36" t="s">
        <v>420</v>
      </c>
      <c r="B101" s="43" t="s">
        <v>434</v>
      </c>
      <c r="C101" s="36" t="s">
        <v>420</v>
      </c>
      <c r="D101" s="37" t="s">
        <v>299</v>
      </c>
      <c r="E101" s="38" t="s">
        <v>421</v>
      </c>
      <c r="F101" s="38" t="s">
        <v>448</v>
      </c>
      <c r="G101" s="38" t="s">
        <v>13</v>
      </c>
      <c r="H101" s="42">
        <v>887000</v>
      </c>
      <c r="I101" s="38" t="s">
        <v>423</v>
      </c>
      <c r="J101" s="40">
        <v>353000</v>
      </c>
      <c r="K101" s="40">
        <v>534000</v>
      </c>
      <c r="M101" s="46">
        <f t="shared" si="2"/>
        <v>887000</v>
      </c>
      <c r="O101" s="41">
        <f t="shared" si="3"/>
        <v>0</v>
      </c>
    </row>
    <row r="102" spans="1:15" ht="20.399999999999999">
      <c r="A102" s="36" t="s">
        <v>428</v>
      </c>
      <c r="B102" s="38" t="s">
        <v>299</v>
      </c>
      <c r="C102" s="36" t="s">
        <v>428</v>
      </c>
      <c r="D102" s="38" t="s">
        <v>299</v>
      </c>
      <c r="E102" s="38" t="s">
        <v>429</v>
      </c>
      <c r="F102" s="38" t="s">
        <v>448</v>
      </c>
      <c r="G102" s="38" t="s">
        <v>13</v>
      </c>
      <c r="H102" s="42">
        <v>436000</v>
      </c>
      <c r="I102" s="38" t="s">
        <v>430</v>
      </c>
      <c r="J102" s="40">
        <v>145000</v>
      </c>
      <c r="K102" s="40">
        <v>291000</v>
      </c>
      <c r="M102" s="46">
        <f t="shared" si="2"/>
        <v>436000</v>
      </c>
      <c r="O102" s="41">
        <f t="shared" si="3"/>
        <v>0</v>
      </c>
    </row>
    <row r="103" spans="1:15" ht="20.399999999999999">
      <c r="A103" s="36" t="s">
        <v>428</v>
      </c>
      <c r="B103" s="38" t="s">
        <v>299</v>
      </c>
      <c r="C103" s="36" t="s">
        <v>428</v>
      </c>
      <c r="D103" s="38" t="s">
        <v>299</v>
      </c>
      <c r="E103" s="38" t="s">
        <v>429</v>
      </c>
      <c r="F103" s="38" t="s">
        <v>451</v>
      </c>
      <c r="G103" s="38" t="s">
        <v>13</v>
      </c>
      <c r="H103" s="42">
        <v>537000</v>
      </c>
      <c r="I103" s="38" t="s">
        <v>430</v>
      </c>
      <c r="J103" s="40">
        <v>246000</v>
      </c>
      <c r="K103" s="40">
        <v>291000</v>
      </c>
      <c r="M103" s="46">
        <f t="shared" si="2"/>
        <v>537000</v>
      </c>
      <c r="O103" s="41">
        <f t="shared" si="3"/>
        <v>0</v>
      </c>
    </row>
    <row r="104" spans="1:15" ht="20.399999999999999">
      <c r="A104" s="36" t="s">
        <v>420</v>
      </c>
      <c r="B104" s="37" t="s">
        <v>300</v>
      </c>
      <c r="C104" s="36" t="s">
        <v>420</v>
      </c>
      <c r="D104" s="37" t="s">
        <v>299</v>
      </c>
      <c r="E104" s="38" t="s">
        <v>421</v>
      </c>
      <c r="F104" s="38" t="s">
        <v>450</v>
      </c>
      <c r="G104" s="38" t="s">
        <v>13</v>
      </c>
      <c r="H104" s="42">
        <v>992000</v>
      </c>
      <c r="I104" s="38" t="s">
        <v>423</v>
      </c>
      <c r="J104" s="40">
        <v>443000</v>
      </c>
      <c r="K104" s="40">
        <v>549000</v>
      </c>
      <c r="M104" s="46">
        <f t="shared" si="2"/>
        <v>992000</v>
      </c>
      <c r="O104" s="41">
        <f t="shared" si="3"/>
        <v>0</v>
      </c>
    </row>
    <row r="105" spans="1:15" ht="20.399999999999999">
      <c r="A105" s="36" t="s">
        <v>420</v>
      </c>
      <c r="B105" s="37" t="s">
        <v>432</v>
      </c>
      <c r="C105" s="36" t="s">
        <v>420</v>
      </c>
      <c r="D105" s="37" t="s">
        <v>299</v>
      </c>
      <c r="E105" s="38" t="s">
        <v>421</v>
      </c>
      <c r="F105" s="38" t="s">
        <v>450</v>
      </c>
      <c r="G105" s="38" t="s">
        <v>13</v>
      </c>
      <c r="H105" s="42">
        <v>986000</v>
      </c>
      <c r="I105" s="38" t="s">
        <v>423</v>
      </c>
      <c r="J105" s="40">
        <v>435000</v>
      </c>
      <c r="K105" s="40">
        <v>551000</v>
      </c>
      <c r="M105" s="46">
        <f t="shared" si="2"/>
        <v>986000</v>
      </c>
      <c r="O105" s="41">
        <f t="shared" si="3"/>
        <v>0</v>
      </c>
    </row>
    <row r="106" spans="1:15" ht="20.399999999999999">
      <c r="A106" s="36" t="s">
        <v>420</v>
      </c>
      <c r="B106" s="37" t="s">
        <v>432</v>
      </c>
      <c r="C106" s="36" t="s">
        <v>420</v>
      </c>
      <c r="D106" s="37" t="s">
        <v>299</v>
      </c>
      <c r="E106" s="38" t="s">
        <v>421</v>
      </c>
      <c r="F106" s="38" t="s">
        <v>448</v>
      </c>
      <c r="G106" s="38" t="s">
        <v>13</v>
      </c>
      <c r="H106" s="42">
        <v>936000</v>
      </c>
      <c r="I106" s="38" t="s">
        <v>423</v>
      </c>
      <c r="J106" s="40">
        <v>385000</v>
      </c>
      <c r="K106" s="40">
        <v>551000</v>
      </c>
      <c r="M106" s="46">
        <f t="shared" si="2"/>
        <v>936000</v>
      </c>
      <c r="O106" s="41">
        <f t="shared" si="3"/>
        <v>0</v>
      </c>
    </row>
    <row r="107" spans="1:15" ht="20.399999999999999">
      <c r="A107" s="36" t="s">
        <v>420</v>
      </c>
      <c r="B107" s="37" t="s">
        <v>302</v>
      </c>
      <c r="C107" s="36" t="s">
        <v>420</v>
      </c>
      <c r="D107" s="37" t="s">
        <v>299</v>
      </c>
      <c r="E107" s="38" t="s">
        <v>421</v>
      </c>
      <c r="F107" s="38" t="s">
        <v>448</v>
      </c>
      <c r="G107" s="38" t="s">
        <v>13</v>
      </c>
      <c r="H107" s="42">
        <v>1213000</v>
      </c>
      <c r="I107" s="38" t="s">
        <v>423</v>
      </c>
      <c r="J107" s="40">
        <v>520000</v>
      </c>
      <c r="K107" s="40">
        <v>693000</v>
      </c>
      <c r="M107" s="46">
        <f t="shared" si="2"/>
        <v>1213000</v>
      </c>
      <c r="O107" s="41">
        <f t="shared" si="3"/>
        <v>0</v>
      </c>
    </row>
    <row r="108" spans="1:15" ht="20.399999999999999">
      <c r="A108" s="36" t="s">
        <v>420</v>
      </c>
      <c r="B108" s="37" t="s">
        <v>299</v>
      </c>
      <c r="C108" s="36" t="s">
        <v>420</v>
      </c>
      <c r="D108" s="37" t="s">
        <v>299</v>
      </c>
      <c r="E108" s="38" t="s">
        <v>421</v>
      </c>
      <c r="F108" s="38" t="s">
        <v>452</v>
      </c>
      <c r="G108" s="38" t="s">
        <v>13</v>
      </c>
      <c r="H108" s="42">
        <v>419000</v>
      </c>
      <c r="I108" s="38" t="s">
        <v>423</v>
      </c>
      <c r="J108" s="40">
        <v>128000</v>
      </c>
      <c r="K108" s="40">
        <v>291000</v>
      </c>
      <c r="M108" s="46">
        <f t="shared" si="2"/>
        <v>419000</v>
      </c>
      <c r="O108" s="41">
        <f t="shared" si="3"/>
        <v>0</v>
      </c>
    </row>
    <row r="109" spans="1:15" ht="20.399999999999999">
      <c r="A109" s="36" t="s">
        <v>420</v>
      </c>
      <c r="B109" s="37" t="s">
        <v>301</v>
      </c>
      <c r="C109" s="36" t="s">
        <v>420</v>
      </c>
      <c r="D109" s="37" t="s">
        <v>299</v>
      </c>
      <c r="E109" s="38" t="s">
        <v>421</v>
      </c>
      <c r="F109" s="38" t="s">
        <v>452</v>
      </c>
      <c r="G109" s="38" t="s">
        <v>13</v>
      </c>
      <c r="H109" s="42">
        <v>904000</v>
      </c>
      <c r="I109" s="38" t="s">
        <v>423</v>
      </c>
      <c r="J109" s="40">
        <v>288000</v>
      </c>
      <c r="K109" s="40">
        <v>616000</v>
      </c>
      <c r="M109" s="46">
        <f t="shared" si="2"/>
        <v>904000</v>
      </c>
      <c r="O109" s="41">
        <f t="shared" si="3"/>
        <v>0</v>
      </c>
    </row>
    <row r="110" spans="1:15" ht="20.399999999999999">
      <c r="A110" s="36" t="s">
        <v>420</v>
      </c>
      <c r="B110" s="37" t="s">
        <v>453</v>
      </c>
      <c r="C110" s="36" t="s">
        <v>420</v>
      </c>
      <c r="D110" s="37" t="s">
        <v>299</v>
      </c>
      <c r="E110" s="38" t="s">
        <v>421</v>
      </c>
      <c r="F110" s="38" t="s">
        <v>451</v>
      </c>
      <c r="G110" s="38" t="s">
        <v>13</v>
      </c>
      <c r="H110" s="42">
        <v>1021000</v>
      </c>
      <c r="I110" s="38" t="s">
        <v>423</v>
      </c>
      <c r="J110" s="40">
        <v>487000</v>
      </c>
      <c r="K110" s="40">
        <v>534000</v>
      </c>
      <c r="M110" s="46">
        <f t="shared" si="2"/>
        <v>1021000</v>
      </c>
      <c r="O110" s="41">
        <f t="shared" si="3"/>
        <v>0</v>
      </c>
    </row>
    <row r="111" spans="1:15" ht="20.399999999999999">
      <c r="A111" s="36" t="s">
        <v>420</v>
      </c>
      <c r="B111" s="37" t="s">
        <v>454</v>
      </c>
      <c r="C111" s="36" t="s">
        <v>420</v>
      </c>
      <c r="D111" s="37" t="s">
        <v>299</v>
      </c>
      <c r="E111" s="38" t="s">
        <v>421</v>
      </c>
      <c r="F111" s="38" t="s">
        <v>450</v>
      </c>
      <c r="G111" s="38" t="s">
        <v>13</v>
      </c>
      <c r="H111" s="42">
        <v>659000</v>
      </c>
      <c r="I111" s="38" t="s">
        <v>423</v>
      </c>
      <c r="J111" s="40">
        <v>289000</v>
      </c>
      <c r="K111" s="40">
        <v>370000</v>
      </c>
      <c r="M111" s="46">
        <f t="shared" si="2"/>
        <v>659000</v>
      </c>
      <c r="O111" s="41">
        <f t="shared" si="3"/>
        <v>0</v>
      </c>
    </row>
    <row r="112" spans="1:15" ht="20.399999999999999">
      <c r="A112" s="36" t="s">
        <v>420</v>
      </c>
      <c r="B112" s="37" t="s">
        <v>433</v>
      </c>
      <c r="C112" s="36" t="s">
        <v>420</v>
      </c>
      <c r="D112" s="37" t="s">
        <v>299</v>
      </c>
      <c r="E112" s="38" t="s">
        <v>421</v>
      </c>
      <c r="F112" s="38" t="s">
        <v>452</v>
      </c>
      <c r="G112" s="38" t="s">
        <v>13</v>
      </c>
      <c r="H112" s="42">
        <v>1164000</v>
      </c>
      <c r="I112" s="38" t="s">
        <v>423</v>
      </c>
      <c r="J112" s="40">
        <v>412000</v>
      </c>
      <c r="K112" s="40">
        <v>752000</v>
      </c>
      <c r="M112" s="46">
        <f t="shared" si="2"/>
        <v>1164000</v>
      </c>
      <c r="O112" s="41">
        <f t="shared" si="3"/>
        <v>0</v>
      </c>
    </row>
    <row r="113" spans="1:15" ht="20.399999999999999">
      <c r="A113" s="36" t="s">
        <v>420</v>
      </c>
      <c r="B113" s="37" t="s">
        <v>431</v>
      </c>
      <c r="C113" s="36" t="s">
        <v>420</v>
      </c>
      <c r="D113" s="37" t="s">
        <v>299</v>
      </c>
      <c r="E113" s="38" t="s">
        <v>421</v>
      </c>
      <c r="F113" s="38" t="s">
        <v>450</v>
      </c>
      <c r="G113" s="38" t="s">
        <v>13</v>
      </c>
      <c r="H113" s="42">
        <v>536000</v>
      </c>
      <c r="I113" s="38" t="s">
        <v>423</v>
      </c>
      <c r="J113" s="40">
        <v>216500</v>
      </c>
      <c r="K113" s="40">
        <v>319500</v>
      </c>
      <c r="M113" s="46">
        <f t="shared" si="2"/>
        <v>536000</v>
      </c>
      <c r="O113" s="41">
        <f t="shared" si="3"/>
        <v>0</v>
      </c>
    </row>
    <row r="114" spans="1:15" ht="20.399999999999999">
      <c r="A114" s="36" t="s">
        <v>420</v>
      </c>
      <c r="B114" s="37" t="s">
        <v>302</v>
      </c>
      <c r="C114" s="36" t="s">
        <v>420</v>
      </c>
      <c r="D114" s="37" t="s">
        <v>299</v>
      </c>
      <c r="E114" s="38" t="s">
        <v>421</v>
      </c>
      <c r="F114" s="38" t="s">
        <v>450</v>
      </c>
      <c r="G114" s="38" t="s">
        <v>13</v>
      </c>
      <c r="H114" s="42">
        <v>1286000</v>
      </c>
      <c r="I114" s="38" t="s">
        <v>423</v>
      </c>
      <c r="J114" s="40">
        <v>593000</v>
      </c>
      <c r="K114" s="40">
        <v>693000</v>
      </c>
      <c r="M114" s="46">
        <f t="shared" si="2"/>
        <v>1286000</v>
      </c>
      <c r="O114" s="41">
        <f t="shared" si="3"/>
        <v>0</v>
      </c>
    </row>
    <row r="115" spans="1:15" ht="20.399999999999999">
      <c r="A115" s="36" t="s">
        <v>420</v>
      </c>
      <c r="B115" s="37" t="s">
        <v>299</v>
      </c>
      <c r="C115" s="36" t="s">
        <v>420</v>
      </c>
      <c r="D115" s="37" t="s">
        <v>299</v>
      </c>
      <c r="E115" s="38" t="s">
        <v>421</v>
      </c>
      <c r="F115" s="38" t="s">
        <v>450</v>
      </c>
      <c r="G115" s="38" t="s">
        <v>13</v>
      </c>
      <c r="H115" s="42">
        <v>529000</v>
      </c>
      <c r="I115" s="38" t="s">
        <v>423</v>
      </c>
      <c r="J115" s="40">
        <v>238000</v>
      </c>
      <c r="K115" s="40">
        <v>291000</v>
      </c>
      <c r="M115" s="46">
        <f t="shared" si="2"/>
        <v>529000</v>
      </c>
      <c r="O115" s="41">
        <f t="shared" si="3"/>
        <v>0</v>
      </c>
    </row>
    <row r="116" spans="1:15" ht="20.399999999999999">
      <c r="A116" s="36" t="s">
        <v>420</v>
      </c>
      <c r="B116" s="37" t="s">
        <v>432</v>
      </c>
      <c r="C116" s="36" t="s">
        <v>420</v>
      </c>
      <c r="D116" s="37" t="s">
        <v>299</v>
      </c>
      <c r="E116" s="38" t="s">
        <v>421</v>
      </c>
      <c r="F116" s="38" t="s">
        <v>452</v>
      </c>
      <c r="G116" s="38" t="s">
        <v>13</v>
      </c>
      <c r="H116" s="42">
        <v>862500</v>
      </c>
      <c r="I116" s="38" t="s">
        <v>423</v>
      </c>
      <c r="J116" s="40">
        <v>311500</v>
      </c>
      <c r="K116" s="40">
        <v>551000</v>
      </c>
      <c r="M116" s="46">
        <f t="shared" si="2"/>
        <v>862500</v>
      </c>
      <c r="O116" s="41">
        <f t="shared" si="3"/>
        <v>0</v>
      </c>
    </row>
    <row r="117" spans="1:15" ht="20.399999999999999">
      <c r="A117" s="36" t="s">
        <v>420</v>
      </c>
      <c r="B117" s="37" t="s">
        <v>431</v>
      </c>
      <c r="C117" s="36" t="s">
        <v>420</v>
      </c>
      <c r="D117" s="37" t="s">
        <v>299</v>
      </c>
      <c r="E117" s="38" t="s">
        <v>421</v>
      </c>
      <c r="F117" s="38" t="s">
        <v>451</v>
      </c>
      <c r="G117" s="38" t="s">
        <v>13</v>
      </c>
      <c r="H117" s="42">
        <v>591000</v>
      </c>
      <c r="I117" s="38" t="s">
        <v>423</v>
      </c>
      <c r="J117" s="40">
        <v>271500</v>
      </c>
      <c r="K117" s="40">
        <v>319500</v>
      </c>
      <c r="M117" s="46">
        <f t="shared" si="2"/>
        <v>591000</v>
      </c>
      <c r="O117" s="41">
        <f t="shared" si="3"/>
        <v>0</v>
      </c>
    </row>
    <row r="118" spans="1:15" ht="20.399999999999999">
      <c r="A118" s="36" t="s">
        <v>420</v>
      </c>
      <c r="B118" s="37" t="s">
        <v>433</v>
      </c>
      <c r="C118" s="36" t="s">
        <v>420</v>
      </c>
      <c r="D118" s="37" t="s">
        <v>299</v>
      </c>
      <c r="E118" s="38" t="s">
        <v>421</v>
      </c>
      <c r="F118" s="38" t="s">
        <v>448</v>
      </c>
      <c r="G118" s="38" t="s">
        <v>13</v>
      </c>
      <c r="H118" s="42">
        <v>1230000</v>
      </c>
      <c r="I118" s="38" t="s">
        <v>423</v>
      </c>
      <c r="J118" s="40">
        <v>752000</v>
      </c>
      <c r="K118" s="40">
        <v>478000</v>
      </c>
      <c r="M118" s="46">
        <f t="shared" si="2"/>
        <v>1230000</v>
      </c>
      <c r="O118" s="41">
        <f t="shared" si="3"/>
        <v>0</v>
      </c>
    </row>
    <row r="119" spans="1:15" ht="28.5" customHeight="1">
      <c r="A119" s="36" t="s">
        <v>420</v>
      </c>
      <c r="B119" s="37" t="s">
        <v>301</v>
      </c>
      <c r="C119" s="36" t="s">
        <v>420</v>
      </c>
      <c r="D119" s="37" t="s">
        <v>299</v>
      </c>
      <c r="E119" s="38" t="s">
        <v>421</v>
      </c>
      <c r="F119" s="38" t="s">
        <v>450</v>
      </c>
      <c r="G119" s="38" t="s">
        <v>13</v>
      </c>
      <c r="H119" s="42">
        <v>1101000</v>
      </c>
      <c r="I119" s="38" t="s">
        <v>423</v>
      </c>
      <c r="J119" s="40">
        <v>616000</v>
      </c>
      <c r="K119" s="40">
        <v>485000</v>
      </c>
      <c r="M119" s="46">
        <f t="shared" si="2"/>
        <v>1101000</v>
      </c>
      <c r="O119" s="41">
        <f t="shared" si="3"/>
        <v>0</v>
      </c>
    </row>
    <row r="120" spans="1:15" ht="20.399999999999999">
      <c r="A120" s="36" t="s">
        <v>420</v>
      </c>
      <c r="B120" s="37" t="s">
        <v>303</v>
      </c>
      <c r="C120" s="36" t="s">
        <v>420</v>
      </c>
      <c r="D120" s="37" t="s">
        <v>299</v>
      </c>
      <c r="E120" s="38" t="s">
        <v>421</v>
      </c>
      <c r="F120" s="38" t="s">
        <v>450</v>
      </c>
      <c r="G120" s="38" t="s">
        <v>13</v>
      </c>
      <c r="H120" s="42">
        <v>724000</v>
      </c>
      <c r="I120" s="38" t="s">
        <v>423</v>
      </c>
      <c r="J120" s="40">
        <v>392000</v>
      </c>
      <c r="K120" s="40">
        <v>332000</v>
      </c>
      <c r="M120" s="46">
        <f t="shared" si="2"/>
        <v>724000</v>
      </c>
      <c r="O120" s="41">
        <f t="shared" si="3"/>
        <v>0</v>
      </c>
    </row>
    <row r="121" spans="1:15" ht="20.399999999999999">
      <c r="A121" s="36" t="s">
        <v>420</v>
      </c>
      <c r="B121" s="37" t="s">
        <v>432</v>
      </c>
      <c r="C121" s="36" t="s">
        <v>420</v>
      </c>
      <c r="D121" s="37" t="s">
        <v>299</v>
      </c>
      <c r="E121" s="38" t="s">
        <v>421</v>
      </c>
      <c r="F121" s="38" t="s">
        <v>451</v>
      </c>
      <c r="G121" s="38" t="s">
        <v>13</v>
      </c>
      <c r="H121" s="42">
        <v>1059000</v>
      </c>
      <c r="I121" s="38" t="s">
        <v>423</v>
      </c>
      <c r="J121" s="40">
        <v>551000</v>
      </c>
      <c r="K121" s="40">
        <v>508000</v>
      </c>
      <c r="M121" s="46">
        <f t="shared" si="2"/>
        <v>1059000</v>
      </c>
      <c r="O121" s="41">
        <f t="shared" si="3"/>
        <v>0</v>
      </c>
    </row>
    <row r="122" spans="1:15" ht="20.399999999999999">
      <c r="A122" s="36" t="s">
        <v>420</v>
      </c>
      <c r="B122" s="37" t="s">
        <v>298</v>
      </c>
      <c r="C122" s="36" t="s">
        <v>420</v>
      </c>
      <c r="D122" s="37" t="s">
        <v>299</v>
      </c>
      <c r="E122" s="38" t="s">
        <v>421</v>
      </c>
      <c r="F122" s="38" t="s">
        <v>448</v>
      </c>
      <c r="G122" s="38" t="s">
        <v>13</v>
      </c>
      <c r="H122" s="42">
        <v>972000</v>
      </c>
      <c r="I122" s="38" t="s">
        <v>423</v>
      </c>
      <c r="J122" s="40">
        <v>581000</v>
      </c>
      <c r="K122" s="40">
        <v>391000</v>
      </c>
      <c r="M122" s="46">
        <f t="shared" si="2"/>
        <v>972000</v>
      </c>
      <c r="O122" s="41">
        <f t="shared" si="3"/>
        <v>0</v>
      </c>
    </row>
    <row r="123" spans="1:15" ht="20.399999999999999">
      <c r="A123" s="36" t="s">
        <v>420</v>
      </c>
      <c r="B123" s="37" t="s">
        <v>453</v>
      </c>
      <c r="C123" s="36" t="s">
        <v>420</v>
      </c>
      <c r="D123" s="37" t="s">
        <v>299</v>
      </c>
      <c r="E123" s="38" t="s">
        <v>421</v>
      </c>
      <c r="F123" s="38" t="s">
        <v>452</v>
      </c>
      <c r="G123" s="38" t="s">
        <v>13</v>
      </c>
      <c r="H123" s="42">
        <v>799000</v>
      </c>
      <c r="I123" s="38" t="s">
        <v>423</v>
      </c>
      <c r="J123" s="40">
        <v>534000</v>
      </c>
      <c r="K123" s="40">
        <v>265000</v>
      </c>
      <c r="M123" s="46">
        <f t="shared" si="2"/>
        <v>799000</v>
      </c>
      <c r="O123" s="41">
        <f t="shared" si="3"/>
        <v>0</v>
      </c>
    </row>
    <row r="124" spans="1:15" ht="20.399999999999999">
      <c r="A124" s="36" t="s">
        <v>420</v>
      </c>
      <c r="B124" s="37" t="s">
        <v>303</v>
      </c>
      <c r="C124" s="36" t="s">
        <v>420</v>
      </c>
      <c r="D124" s="37" t="s">
        <v>299</v>
      </c>
      <c r="E124" s="38" t="s">
        <v>421</v>
      </c>
      <c r="F124" s="38" t="s">
        <v>448</v>
      </c>
      <c r="G124" s="38" t="s">
        <v>13</v>
      </c>
      <c r="H124" s="42">
        <v>683100</v>
      </c>
      <c r="I124" s="38" t="s">
        <v>423</v>
      </c>
      <c r="J124" s="40">
        <v>392000</v>
      </c>
      <c r="K124" s="40">
        <v>291100</v>
      </c>
      <c r="M124" s="46">
        <f t="shared" si="2"/>
        <v>683100</v>
      </c>
      <c r="O124" s="41">
        <f t="shared" si="3"/>
        <v>0</v>
      </c>
    </row>
    <row r="125" spans="1:15" ht="20.399999999999999">
      <c r="A125" s="36" t="s">
        <v>420</v>
      </c>
      <c r="B125" s="37" t="s">
        <v>431</v>
      </c>
      <c r="C125" s="36" t="s">
        <v>420</v>
      </c>
      <c r="D125" s="37" t="s">
        <v>299</v>
      </c>
      <c r="E125" s="38" t="s">
        <v>421</v>
      </c>
      <c r="F125" s="38" t="s">
        <v>455</v>
      </c>
      <c r="G125" s="38" t="s">
        <v>13</v>
      </c>
      <c r="H125" s="42">
        <v>461000</v>
      </c>
      <c r="I125" s="38" t="s">
        <v>423</v>
      </c>
      <c r="J125" s="40">
        <v>141500</v>
      </c>
      <c r="K125" s="40">
        <v>319500</v>
      </c>
      <c r="M125" s="46">
        <f t="shared" si="2"/>
        <v>461000</v>
      </c>
      <c r="O125" s="41">
        <f t="shared" si="3"/>
        <v>0</v>
      </c>
    </row>
    <row r="126" spans="1:15" ht="20.399999999999999">
      <c r="A126" s="36" t="s">
        <v>420</v>
      </c>
      <c r="B126" s="37" t="s">
        <v>301</v>
      </c>
      <c r="C126" s="36" t="s">
        <v>420</v>
      </c>
      <c r="D126" s="37" t="s">
        <v>299</v>
      </c>
      <c r="E126" s="38" t="s">
        <v>421</v>
      </c>
      <c r="F126" s="38" t="s">
        <v>451</v>
      </c>
      <c r="G126" s="38" t="s">
        <v>13</v>
      </c>
      <c r="H126" s="42">
        <v>1148000</v>
      </c>
      <c r="I126" s="38" t="s">
        <v>423</v>
      </c>
      <c r="J126" s="40">
        <v>616000</v>
      </c>
      <c r="K126" s="40">
        <v>532000</v>
      </c>
      <c r="L126" s="40"/>
      <c r="M126" s="46">
        <f t="shared" si="2"/>
        <v>1148000</v>
      </c>
      <c r="O126" s="41">
        <f t="shared" si="3"/>
        <v>0</v>
      </c>
    </row>
    <row r="127" spans="1:15" ht="20.399999999999999">
      <c r="A127" s="36" t="s">
        <v>420</v>
      </c>
      <c r="B127" s="37" t="s">
        <v>298</v>
      </c>
      <c r="C127" s="36" t="s">
        <v>420</v>
      </c>
      <c r="D127" s="37" t="s">
        <v>299</v>
      </c>
      <c r="E127" s="38" t="s">
        <v>421</v>
      </c>
      <c r="F127" s="38" t="s">
        <v>450</v>
      </c>
      <c r="G127" s="38" t="s">
        <v>13</v>
      </c>
      <c r="H127" s="42">
        <v>1029000</v>
      </c>
      <c r="I127" s="38" t="s">
        <v>423</v>
      </c>
      <c r="J127" s="40">
        <v>581000</v>
      </c>
      <c r="K127" s="40">
        <v>448000</v>
      </c>
      <c r="M127" s="46">
        <f t="shared" si="2"/>
        <v>1029000</v>
      </c>
      <c r="O127" s="41">
        <f t="shared" si="3"/>
        <v>0</v>
      </c>
    </row>
    <row r="128" spans="1:15" ht="20.399999999999999">
      <c r="A128" s="36" t="s">
        <v>420</v>
      </c>
      <c r="B128" s="37" t="s">
        <v>433</v>
      </c>
      <c r="C128" s="36" t="s">
        <v>420</v>
      </c>
      <c r="D128" s="37" t="s">
        <v>299</v>
      </c>
      <c r="E128" s="38" t="s">
        <v>421</v>
      </c>
      <c r="F128" s="38" t="s">
        <v>451</v>
      </c>
      <c r="G128" s="38" t="s">
        <v>13</v>
      </c>
      <c r="H128" s="42">
        <v>1450500</v>
      </c>
      <c r="I128" s="38" t="s">
        <v>423</v>
      </c>
      <c r="J128" s="40">
        <v>752000</v>
      </c>
      <c r="K128" s="40">
        <v>698500</v>
      </c>
      <c r="M128" s="46">
        <f t="shared" si="2"/>
        <v>1450500</v>
      </c>
      <c r="O128" s="41">
        <f t="shared" si="3"/>
        <v>0</v>
      </c>
    </row>
    <row r="129" spans="1:15" ht="20.399999999999999">
      <c r="A129" s="36" t="s">
        <v>420</v>
      </c>
      <c r="B129" s="37" t="s">
        <v>433</v>
      </c>
      <c r="C129" s="36" t="s">
        <v>420</v>
      </c>
      <c r="D129" s="37" t="s">
        <v>299</v>
      </c>
      <c r="E129" s="38" t="s">
        <v>421</v>
      </c>
      <c r="F129" s="38" t="s">
        <v>449</v>
      </c>
      <c r="G129" s="38" t="s">
        <v>13</v>
      </c>
      <c r="H129" s="42">
        <v>1504000</v>
      </c>
      <c r="I129" s="38" t="s">
        <v>423</v>
      </c>
      <c r="J129" s="40">
        <v>752000</v>
      </c>
      <c r="K129" s="40">
        <v>752000</v>
      </c>
      <c r="M129" s="46">
        <f t="shared" si="2"/>
        <v>1504000</v>
      </c>
      <c r="O129" s="41">
        <f t="shared" si="3"/>
        <v>0</v>
      </c>
    </row>
    <row r="130" spans="1:15" ht="20.399999999999999">
      <c r="A130" s="36" t="s">
        <v>420</v>
      </c>
      <c r="B130" s="37" t="s">
        <v>433</v>
      </c>
      <c r="C130" s="36" t="s">
        <v>420</v>
      </c>
      <c r="D130" s="37" t="s">
        <v>299</v>
      </c>
      <c r="E130" s="38" t="s">
        <v>421</v>
      </c>
      <c r="F130" s="38" t="s">
        <v>450</v>
      </c>
      <c r="G130" s="38" t="s">
        <v>13</v>
      </c>
      <c r="H130" s="42">
        <v>1384500</v>
      </c>
      <c r="I130" s="38" t="s">
        <v>423</v>
      </c>
      <c r="J130" s="40">
        <v>752000</v>
      </c>
      <c r="K130" s="40">
        <v>632500</v>
      </c>
      <c r="M130" s="46">
        <f t="shared" si="2"/>
        <v>1384500</v>
      </c>
      <c r="O130" s="41">
        <f t="shared" si="3"/>
        <v>0</v>
      </c>
    </row>
    <row r="131" spans="1:15" ht="20.399999999999999">
      <c r="A131" s="36" t="s">
        <v>420</v>
      </c>
      <c r="B131" s="37" t="s">
        <v>302</v>
      </c>
      <c r="C131" s="36" t="s">
        <v>420</v>
      </c>
      <c r="D131" s="37" t="s">
        <v>299</v>
      </c>
      <c r="E131" s="38" t="s">
        <v>421</v>
      </c>
      <c r="F131" s="38" t="s">
        <v>451</v>
      </c>
      <c r="G131" s="38" t="s">
        <v>13</v>
      </c>
      <c r="H131" s="42">
        <v>1333000</v>
      </c>
      <c r="I131" s="38" t="s">
        <v>423</v>
      </c>
      <c r="J131" s="40">
        <v>693000</v>
      </c>
      <c r="K131" s="40">
        <v>640000</v>
      </c>
      <c r="M131" s="46">
        <f t="shared" si="2"/>
        <v>1333000</v>
      </c>
      <c r="O131" s="41">
        <f t="shared" si="3"/>
        <v>0</v>
      </c>
    </row>
    <row r="132" spans="1:15" ht="20.399999999999999">
      <c r="A132" s="36" t="s">
        <v>420</v>
      </c>
      <c r="B132" s="37" t="s">
        <v>298</v>
      </c>
      <c r="C132" s="36" t="s">
        <v>420</v>
      </c>
      <c r="D132" s="37" t="s">
        <v>299</v>
      </c>
      <c r="E132" s="38" t="s">
        <v>421</v>
      </c>
      <c r="F132" s="38" t="s">
        <v>452</v>
      </c>
      <c r="G132" s="38" t="s">
        <v>13</v>
      </c>
      <c r="H132" s="42">
        <v>869000</v>
      </c>
      <c r="I132" s="38" t="s">
        <v>423</v>
      </c>
      <c r="J132" s="40">
        <v>581000</v>
      </c>
      <c r="K132" s="40">
        <v>288000</v>
      </c>
      <c r="M132" s="46">
        <f t="shared" si="2"/>
        <v>869000</v>
      </c>
      <c r="O132" s="41">
        <f t="shared" si="3"/>
        <v>0</v>
      </c>
    </row>
    <row r="133" spans="1:15" ht="20.399999999999999">
      <c r="A133" s="36" t="s">
        <v>420</v>
      </c>
      <c r="B133" s="37" t="s">
        <v>432</v>
      </c>
      <c r="C133" s="36" t="s">
        <v>420</v>
      </c>
      <c r="D133" s="37" t="s">
        <v>299</v>
      </c>
      <c r="E133" s="38" t="s">
        <v>421</v>
      </c>
      <c r="F133" s="38" t="s">
        <v>449</v>
      </c>
      <c r="G133" s="38" t="s">
        <v>13</v>
      </c>
      <c r="H133" s="42">
        <v>1102000</v>
      </c>
      <c r="I133" s="38" t="s">
        <v>423</v>
      </c>
      <c r="J133" s="40">
        <v>551000</v>
      </c>
      <c r="K133" s="40">
        <v>551000</v>
      </c>
      <c r="M133" s="46">
        <f t="shared" si="2"/>
        <v>1102000</v>
      </c>
      <c r="O133" s="41">
        <f t="shared" si="3"/>
        <v>0</v>
      </c>
    </row>
    <row r="134" spans="1:15" ht="20.399999999999999">
      <c r="A134" s="36" t="s">
        <v>420</v>
      </c>
      <c r="B134" s="37" t="s">
        <v>302</v>
      </c>
      <c r="C134" s="36" t="s">
        <v>420</v>
      </c>
      <c r="D134" s="37" t="s">
        <v>299</v>
      </c>
      <c r="E134" s="38" t="s">
        <v>421</v>
      </c>
      <c r="F134" s="38" t="s">
        <v>452</v>
      </c>
      <c r="G134" s="38" t="s">
        <v>13</v>
      </c>
      <c r="H134" s="42">
        <v>1055000</v>
      </c>
      <c r="I134" s="38" t="s">
        <v>423</v>
      </c>
      <c r="J134" s="40">
        <v>693000</v>
      </c>
      <c r="K134" s="40">
        <v>362000</v>
      </c>
      <c r="M134" s="46">
        <f t="shared" si="2"/>
        <v>1055000</v>
      </c>
      <c r="O134" s="41">
        <f t="shared" si="3"/>
        <v>0</v>
      </c>
    </row>
    <row r="135" spans="1:15" ht="20.399999999999999">
      <c r="A135" s="36" t="s">
        <v>420</v>
      </c>
      <c r="B135" s="37" t="s">
        <v>453</v>
      </c>
      <c r="C135" s="36" t="s">
        <v>420</v>
      </c>
      <c r="D135" s="37" t="s">
        <v>299</v>
      </c>
      <c r="E135" s="38" t="s">
        <v>421</v>
      </c>
      <c r="F135" s="38" t="s">
        <v>449</v>
      </c>
      <c r="G135" s="38" t="s">
        <v>13</v>
      </c>
      <c r="H135" s="42">
        <v>1068000</v>
      </c>
      <c r="I135" s="38" t="s">
        <v>423</v>
      </c>
      <c r="J135" s="40">
        <v>534000</v>
      </c>
      <c r="K135" s="40">
        <v>534000</v>
      </c>
      <c r="M135" s="46">
        <f t="shared" si="2"/>
        <v>1068000</v>
      </c>
      <c r="O135" s="41">
        <f t="shared" si="3"/>
        <v>0</v>
      </c>
    </row>
    <row r="136" spans="1:15" ht="20.399999999999999">
      <c r="A136" s="36" t="s">
        <v>420</v>
      </c>
      <c r="B136" s="37" t="s">
        <v>300</v>
      </c>
      <c r="C136" s="36" t="s">
        <v>420</v>
      </c>
      <c r="D136" s="37" t="s">
        <v>299</v>
      </c>
      <c r="E136" s="38" t="s">
        <v>421</v>
      </c>
      <c r="F136" s="38" t="s">
        <v>448</v>
      </c>
      <c r="G136" s="38" t="s">
        <v>13</v>
      </c>
      <c r="H136" s="42">
        <v>920000</v>
      </c>
      <c r="I136" s="38" t="s">
        <v>423</v>
      </c>
      <c r="J136" s="40">
        <v>549000</v>
      </c>
      <c r="K136" s="40">
        <v>371000</v>
      </c>
      <c r="M136" s="46">
        <f t="shared" si="2"/>
        <v>920000</v>
      </c>
      <c r="O136" s="41">
        <f t="shared" si="3"/>
        <v>0</v>
      </c>
    </row>
    <row r="137" spans="1:15" ht="20.399999999999999">
      <c r="A137" s="36" t="s">
        <v>420</v>
      </c>
      <c r="B137" s="37" t="s">
        <v>456</v>
      </c>
      <c r="C137" s="36" t="s">
        <v>420</v>
      </c>
      <c r="D137" s="37" t="s">
        <v>299</v>
      </c>
      <c r="E137" s="38" t="s">
        <v>421</v>
      </c>
      <c r="F137" s="38" t="s">
        <v>450</v>
      </c>
      <c r="G137" s="38" t="s">
        <v>13</v>
      </c>
      <c r="H137" s="42">
        <v>1074000</v>
      </c>
      <c r="I137" s="38" t="s">
        <v>423</v>
      </c>
      <c r="J137" s="40">
        <v>597000</v>
      </c>
      <c r="K137" s="40">
        <v>477000</v>
      </c>
      <c r="M137" s="46">
        <f t="shared" si="2"/>
        <v>1074000</v>
      </c>
      <c r="N137" s="40"/>
      <c r="O137" s="41">
        <f t="shared" si="3"/>
        <v>0</v>
      </c>
    </row>
    <row r="138" spans="1:15" ht="20.399999999999999">
      <c r="A138" s="36" t="s">
        <v>420</v>
      </c>
      <c r="B138" s="37" t="s">
        <v>457</v>
      </c>
      <c r="C138" s="36" t="s">
        <v>420</v>
      </c>
      <c r="D138" s="37" t="s">
        <v>299</v>
      </c>
      <c r="E138" s="38" t="s">
        <v>421</v>
      </c>
      <c r="F138" s="38" t="s">
        <v>452</v>
      </c>
      <c r="G138" s="38" t="s">
        <v>13</v>
      </c>
      <c r="H138" s="42">
        <v>578000</v>
      </c>
      <c r="I138" s="38" t="s">
        <v>423</v>
      </c>
      <c r="J138" s="40">
        <v>380000</v>
      </c>
      <c r="K138" s="40">
        <v>198000</v>
      </c>
      <c r="M138" s="46">
        <f t="shared" si="2"/>
        <v>578000</v>
      </c>
      <c r="N138" s="40"/>
      <c r="O138" s="41">
        <f t="shared" si="3"/>
        <v>0</v>
      </c>
    </row>
    <row r="139" spans="1:15" ht="20.399999999999999">
      <c r="A139" s="36" t="s">
        <v>420</v>
      </c>
      <c r="B139" s="37" t="s">
        <v>441</v>
      </c>
      <c r="C139" s="36" t="s">
        <v>420</v>
      </c>
      <c r="D139" s="37" t="s">
        <v>299</v>
      </c>
      <c r="E139" s="38" t="s">
        <v>421</v>
      </c>
      <c r="F139" s="38" t="s">
        <v>448</v>
      </c>
      <c r="G139" s="38" t="s">
        <v>13</v>
      </c>
      <c r="H139" s="42">
        <v>994000</v>
      </c>
      <c r="I139" s="38" t="s">
        <v>423</v>
      </c>
      <c r="J139" s="40">
        <v>602000</v>
      </c>
      <c r="K139" s="40">
        <v>392000</v>
      </c>
      <c r="M139" s="46">
        <f t="shared" si="2"/>
        <v>994000</v>
      </c>
      <c r="O139" s="41">
        <f t="shared" si="3"/>
        <v>0</v>
      </c>
    </row>
    <row r="140" spans="1:15" ht="20.399999999999999">
      <c r="A140" s="36" t="s">
        <v>420</v>
      </c>
      <c r="B140" s="37" t="s">
        <v>303</v>
      </c>
      <c r="C140" s="36" t="s">
        <v>420</v>
      </c>
      <c r="D140" s="37" t="s">
        <v>299</v>
      </c>
      <c r="E140" s="38" t="s">
        <v>421</v>
      </c>
      <c r="F140" s="38" t="s">
        <v>451</v>
      </c>
      <c r="G140" s="38" t="s">
        <v>13</v>
      </c>
      <c r="H140" s="42">
        <v>768000</v>
      </c>
      <c r="I140" s="38" t="s">
        <v>423</v>
      </c>
      <c r="J140" s="40">
        <v>392000</v>
      </c>
      <c r="K140" s="40">
        <v>376000</v>
      </c>
      <c r="M140" s="46">
        <f t="shared" si="2"/>
        <v>768000</v>
      </c>
      <c r="O140" s="41">
        <f t="shared" si="3"/>
        <v>0</v>
      </c>
    </row>
    <row r="141" spans="1:15" ht="20.399999999999999">
      <c r="A141" s="36" t="s">
        <v>420</v>
      </c>
      <c r="B141" s="37" t="s">
        <v>447</v>
      </c>
      <c r="C141" s="36" t="s">
        <v>420</v>
      </c>
      <c r="D141" s="37" t="s">
        <v>299</v>
      </c>
      <c r="E141" s="38" t="s">
        <v>421</v>
      </c>
      <c r="F141" s="38" t="s">
        <v>448</v>
      </c>
      <c r="G141" s="38" t="s">
        <v>13</v>
      </c>
      <c r="H141" s="42">
        <v>465000</v>
      </c>
      <c r="I141" s="38" t="s">
        <v>423</v>
      </c>
      <c r="J141" s="40">
        <v>318000</v>
      </c>
      <c r="K141" s="40">
        <v>147000</v>
      </c>
      <c r="M141" s="46">
        <f t="shared" si="2"/>
        <v>465000</v>
      </c>
      <c r="O141" s="41">
        <f t="shared" si="3"/>
        <v>0</v>
      </c>
    </row>
    <row r="142" spans="1:15" ht="20.399999999999999">
      <c r="A142" s="36" t="s">
        <v>420</v>
      </c>
      <c r="B142" s="37" t="s">
        <v>433</v>
      </c>
      <c r="C142" s="36" t="s">
        <v>420</v>
      </c>
      <c r="D142" s="37" t="s">
        <v>299</v>
      </c>
      <c r="E142" s="38" t="s">
        <v>421</v>
      </c>
      <c r="F142" s="38" t="s">
        <v>458</v>
      </c>
      <c r="G142" s="38" t="s">
        <v>13</v>
      </c>
      <c r="H142" s="42">
        <v>1916000</v>
      </c>
      <c r="I142" s="38" t="s">
        <v>423</v>
      </c>
      <c r="J142" s="40">
        <v>752000</v>
      </c>
      <c r="K142" s="40">
        <v>752000</v>
      </c>
      <c r="L142" s="47">
        <v>412000</v>
      </c>
      <c r="M142" s="46">
        <f>J142+K142+L142</f>
        <v>1916000</v>
      </c>
      <c r="O142" s="41">
        <f t="shared" si="3"/>
        <v>0</v>
      </c>
    </row>
    <row r="143" spans="1:15" ht="20.399999999999999">
      <c r="A143" s="36" t="s">
        <v>420</v>
      </c>
      <c r="B143" s="37" t="s">
        <v>441</v>
      </c>
      <c r="C143" s="36" t="s">
        <v>420</v>
      </c>
      <c r="D143" s="37" t="s">
        <v>299</v>
      </c>
      <c r="E143" s="38" t="s">
        <v>421</v>
      </c>
      <c r="F143" s="38" t="s">
        <v>452</v>
      </c>
      <c r="G143" s="38" t="s">
        <v>13</v>
      </c>
      <c r="H143" s="42">
        <v>891000</v>
      </c>
      <c r="I143" s="38" t="s">
        <v>423</v>
      </c>
      <c r="J143" s="40">
        <v>602000</v>
      </c>
      <c r="K143" s="40">
        <v>289000</v>
      </c>
      <c r="M143" s="46">
        <f t="shared" si="2"/>
        <v>891000</v>
      </c>
      <c r="O143" s="41">
        <f t="shared" si="3"/>
        <v>0</v>
      </c>
    </row>
    <row r="144" spans="1:15" ht="20.399999999999999">
      <c r="A144" s="36" t="s">
        <v>420</v>
      </c>
      <c r="B144" s="37" t="s">
        <v>300</v>
      </c>
      <c r="C144" s="36" t="s">
        <v>420</v>
      </c>
      <c r="D144" s="37" t="s">
        <v>299</v>
      </c>
      <c r="E144" s="38" t="s">
        <v>421</v>
      </c>
      <c r="F144" s="38" t="s">
        <v>451</v>
      </c>
      <c r="G144" s="38" t="s">
        <v>13</v>
      </c>
      <c r="H144" s="42">
        <v>1038000</v>
      </c>
      <c r="I144" s="38" t="s">
        <v>423</v>
      </c>
      <c r="J144" s="40">
        <v>549000</v>
      </c>
      <c r="K144" s="40">
        <v>489000</v>
      </c>
      <c r="M144" s="46">
        <f t="shared" si="2"/>
        <v>1038000</v>
      </c>
      <c r="O144" s="41">
        <f t="shared" si="3"/>
        <v>0</v>
      </c>
    </row>
    <row r="145" spans="1:15" ht="20.399999999999999">
      <c r="A145" s="36" t="s">
        <v>420</v>
      </c>
      <c r="B145" s="37" t="s">
        <v>301</v>
      </c>
      <c r="C145" s="36" t="s">
        <v>420</v>
      </c>
      <c r="D145" s="37" t="s">
        <v>299</v>
      </c>
      <c r="E145" s="38" t="s">
        <v>421</v>
      </c>
      <c r="F145" s="38" t="s">
        <v>449</v>
      </c>
      <c r="G145" s="38" t="s">
        <v>13</v>
      </c>
      <c r="H145" s="42">
        <v>1232000</v>
      </c>
      <c r="I145" s="38" t="s">
        <v>423</v>
      </c>
      <c r="J145" s="40">
        <v>616000</v>
      </c>
      <c r="K145" s="40">
        <v>616000</v>
      </c>
      <c r="M145" s="46">
        <f t="shared" si="2"/>
        <v>1232000</v>
      </c>
      <c r="O145" s="41">
        <f t="shared" si="3"/>
        <v>0</v>
      </c>
    </row>
    <row r="146" spans="1:15" ht="20.399999999999999">
      <c r="A146" s="36" t="s">
        <v>420</v>
      </c>
      <c r="B146" s="37" t="s">
        <v>457</v>
      </c>
      <c r="C146" s="36" t="s">
        <v>420</v>
      </c>
      <c r="D146" s="37" t="s">
        <v>299</v>
      </c>
      <c r="E146" s="38" t="s">
        <v>421</v>
      </c>
      <c r="F146" s="38" t="s">
        <v>451</v>
      </c>
      <c r="G146" s="38" t="s">
        <v>13</v>
      </c>
      <c r="H146" s="42">
        <v>718000</v>
      </c>
      <c r="I146" s="38" t="s">
        <v>423</v>
      </c>
      <c r="J146" s="40">
        <v>380000</v>
      </c>
      <c r="K146" s="40">
        <v>338000</v>
      </c>
      <c r="M146" s="46">
        <f t="shared" si="2"/>
        <v>718000</v>
      </c>
      <c r="O146" s="41">
        <f t="shared" si="3"/>
        <v>0</v>
      </c>
    </row>
    <row r="147" spans="1:15" ht="20.399999999999999">
      <c r="A147" s="36" t="s">
        <v>420</v>
      </c>
      <c r="B147" s="37" t="s">
        <v>456</v>
      </c>
      <c r="C147" s="36" t="s">
        <v>420</v>
      </c>
      <c r="D147" s="37" t="s">
        <v>299</v>
      </c>
      <c r="E147" s="38" t="s">
        <v>421</v>
      </c>
      <c r="F147" s="38" t="s">
        <v>452</v>
      </c>
      <c r="G147" s="38" t="s">
        <v>13</v>
      </c>
      <c r="H147" s="42">
        <v>888000</v>
      </c>
      <c r="I147" s="38" t="s">
        <v>423</v>
      </c>
      <c r="J147" s="40">
        <v>597000</v>
      </c>
      <c r="K147" s="40">
        <v>291000</v>
      </c>
      <c r="M147" s="46">
        <f t="shared" si="2"/>
        <v>888000</v>
      </c>
      <c r="O147" s="41">
        <f t="shared" si="3"/>
        <v>0</v>
      </c>
    </row>
    <row r="148" spans="1:15" ht="20.399999999999999">
      <c r="A148" s="36" t="s">
        <v>420</v>
      </c>
      <c r="B148" s="37" t="s">
        <v>300</v>
      </c>
      <c r="C148" s="36" t="s">
        <v>420</v>
      </c>
      <c r="D148" s="37" t="s">
        <v>299</v>
      </c>
      <c r="E148" s="38" t="s">
        <v>421</v>
      </c>
      <c r="F148" s="38" t="s">
        <v>452</v>
      </c>
      <c r="G148" s="38" t="s">
        <v>13</v>
      </c>
      <c r="H148" s="42">
        <v>824000</v>
      </c>
      <c r="I148" s="38" t="s">
        <v>423</v>
      </c>
      <c r="J148" s="40">
        <v>549000</v>
      </c>
      <c r="K148" s="40">
        <v>275000</v>
      </c>
      <c r="M148" s="46">
        <f t="shared" si="2"/>
        <v>824000</v>
      </c>
      <c r="O148" s="41">
        <f t="shared" si="3"/>
        <v>0</v>
      </c>
    </row>
    <row r="149" spans="1:15" ht="20.399999999999999">
      <c r="A149" s="36" t="s">
        <v>420</v>
      </c>
      <c r="B149" s="37" t="s">
        <v>447</v>
      </c>
      <c r="C149" s="36" t="s">
        <v>420</v>
      </c>
      <c r="D149" s="37" t="s">
        <v>299</v>
      </c>
      <c r="E149" s="38" t="s">
        <v>421</v>
      </c>
      <c r="F149" s="38" t="s">
        <v>450</v>
      </c>
      <c r="G149" s="38" t="s">
        <v>13</v>
      </c>
      <c r="H149" s="42">
        <v>550000</v>
      </c>
      <c r="I149" s="38" t="s">
        <v>423</v>
      </c>
      <c r="J149" s="40">
        <v>318000</v>
      </c>
      <c r="K149" s="40">
        <v>232000</v>
      </c>
      <c r="M149" s="46">
        <f t="shared" si="2"/>
        <v>550000</v>
      </c>
      <c r="O149" s="41">
        <f t="shared" si="3"/>
        <v>0</v>
      </c>
    </row>
    <row r="150" spans="1:15" ht="20.399999999999999">
      <c r="A150" s="36" t="s">
        <v>420</v>
      </c>
      <c r="B150" s="37" t="s">
        <v>456</v>
      </c>
      <c r="C150" s="36" t="s">
        <v>420</v>
      </c>
      <c r="D150" s="37" t="s">
        <v>299</v>
      </c>
      <c r="E150" s="38" t="s">
        <v>421</v>
      </c>
      <c r="F150" s="38" t="s">
        <v>448</v>
      </c>
      <c r="G150" s="38" t="s">
        <v>13</v>
      </c>
      <c r="H150" s="42">
        <v>1019000</v>
      </c>
      <c r="I150" s="38" t="s">
        <v>423</v>
      </c>
      <c r="J150" s="40">
        <v>597000</v>
      </c>
      <c r="K150" s="40">
        <v>422000</v>
      </c>
      <c r="M150" s="46">
        <f t="shared" si="2"/>
        <v>1019000</v>
      </c>
      <c r="O150" s="41">
        <f t="shared" si="3"/>
        <v>0</v>
      </c>
    </row>
    <row r="151" spans="1:15" ht="20.399999999999999">
      <c r="A151" s="36" t="s">
        <v>420</v>
      </c>
      <c r="B151" s="37" t="s">
        <v>301</v>
      </c>
      <c r="C151" s="36" t="s">
        <v>420</v>
      </c>
      <c r="D151" s="37" t="s">
        <v>299</v>
      </c>
      <c r="E151" s="38" t="s">
        <v>421</v>
      </c>
      <c r="F151" s="38" t="s">
        <v>458</v>
      </c>
      <c r="G151" s="38" t="s">
        <v>13</v>
      </c>
      <c r="H151" s="42">
        <v>1520000</v>
      </c>
      <c r="I151" s="38" t="s">
        <v>423</v>
      </c>
      <c r="J151" s="40">
        <v>616000</v>
      </c>
      <c r="K151" s="40">
        <v>616000</v>
      </c>
      <c r="L151" s="3">
        <v>288000</v>
      </c>
      <c r="M151" s="46">
        <f>J151+K151+L151</f>
        <v>1520000</v>
      </c>
      <c r="O151" s="41">
        <f t="shared" si="3"/>
        <v>0</v>
      </c>
    </row>
    <row r="152" spans="1:15" ht="20.399999999999999">
      <c r="A152" s="36" t="s">
        <v>420</v>
      </c>
      <c r="B152" s="37" t="s">
        <v>441</v>
      </c>
      <c r="C152" s="36" t="s">
        <v>420</v>
      </c>
      <c r="D152" s="37" t="s">
        <v>299</v>
      </c>
      <c r="E152" s="38" t="s">
        <v>421</v>
      </c>
      <c r="F152" s="38" t="s">
        <v>450</v>
      </c>
      <c r="G152" s="38" t="s">
        <v>13</v>
      </c>
      <c r="H152" s="42">
        <v>1067000</v>
      </c>
      <c r="I152" s="38" t="s">
        <v>423</v>
      </c>
      <c r="J152" s="40">
        <v>602000</v>
      </c>
      <c r="K152" s="40">
        <v>465000</v>
      </c>
      <c r="M152" s="46">
        <f t="shared" si="2"/>
        <v>1067000</v>
      </c>
      <c r="N152" s="40"/>
      <c r="O152" s="41">
        <f t="shared" si="3"/>
        <v>0</v>
      </c>
    </row>
    <row r="153" spans="1:15" ht="20.399999999999999">
      <c r="A153" s="36" t="s">
        <v>420</v>
      </c>
      <c r="B153" s="37" t="s">
        <v>459</v>
      </c>
      <c r="C153" s="36" t="s">
        <v>420</v>
      </c>
      <c r="D153" s="37" t="s">
        <v>299</v>
      </c>
      <c r="E153" s="38" t="s">
        <v>421</v>
      </c>
      <c r="F153" s="38" t="s">
        <v>460</v>
      </c>
      <c r="G153" s="38" t="s">
        <v>13</v>
      </c>
      <c r="H153" s="42">
        <v>582000</v>
      </c>
      <c r="I153" s="38" t="s">
        <v>423</v>
      </c>
      <c r="J153" s="40">
        <v>291000</v>
      </c>
      <c r="K153" s="40">
        <v>291000</v>
      </c>
      <c r="M153" s="46">
        <f t="shared" si="2"/>
        <v>582000</v>
      </c>
      <c r="N153" s="40"/>
      <c r="O153" s="41">
        <f t="shared" si="3"/>
        <v>0</v>
      </c>
    </row>
    <row r="154" spans="1:15" ht="20.399999999999999">
      <c r="A154" s="36" t="s">
        <v>420</v>
      </c>
      <c r="B154" s="37" t="s">
        <v>444</v>
      </c>
      <c r="C154" s="36" t="s">
        <v>420</v>
      </c>
      <c r="D154" s="37" t="s">
        <v>299</v>
      </c>
      <c r="E154" s="38" t="s">
        <v>421</v>
      </c>
      <c r="F154" s="38" t="s">
        <v>461</v>
      </c>
      <c r="G154" s="38" t="s">
        <v>13</v>
      </c>
      <c r="H154" s="42">
        <v>1653000</v>
      </c>
      <c r="I154" s="38" t="s">
        <v>423</v>
      </c>
      <c r="J154" s="40">
        <v>594000</v>
      </c>
      <c r="K154" s="40">
        <v>594000</v>
      </c>
      <c r="L154" s="47">
        <v>465000</v>
      </c>
      <c r="M154" s="46">
        <f>J154+K154+L154</f>
        <v>1653000</v>
      </c>
      <c r="O154" s="41">
        <f t="shared" si="3"/>
        <v>0</v>
      </c>
    </row>
    <row r="155" spans="1:15" ht="20.399999999999999">
      <c r="A155" s="36" t="s">
        <v>420</v>
      </c>
      <c r="B155" s="37" t="s">
        <v>462</v>
      </c>
      <c r="C155" s="36" t="s">
        <v>420</v>
      </c>
      <c r="D155" s="37" t="s">
        <v>299</v>
      </c>
      <c r="E155" s="38" t="s">
        <v>421</v>
      </c>
      <c r="F155" s="38" t="s">
        <v>463</v>
      </c>
      <c r="G155" s="38" t="s">
        <v>13</v>
      </c>
      <c r="H155" s="42">
        <v>1413500</v>
      </c>
      <c r="I155" s="38" t="s">
        <v>423</v>
      </c>
      <c r="J155" s="40">
        <v>551000</v>
      </c>
      <c r="K155" s="40">
        <v>551000</v>
      </c>
      <c r="L155" s="47">
        <v>311500</v>
      </c>
      <c r="M155" s="46">
        <f>J155+K155+L155</f>
        <v>1413500</v>
      </c>
      <c r="O155" s="41">
        <f t="shared" si="3"/>
        <v>0</v>
      </c>
    </row>
    <row r="156" spans="1:15" ht="20.399999999999999">
      <c r="A156" s="36" t="s">
        <v>420</v>
      </c>
      <c r="B156" s="37" t="s">
        <v>431</v>
      </c>
      <c r="C156" s="36" t="s">
        <v>420</v>
      </c>
      <c r="D156" s="37" t="s">
        <v>299</v>
      </c>
      <c r="E156" s="38" t="s">
        <v>421</v>
      </c>
      <c r="F156" s="48" t="s">
        <v>464</v>
      </c>
      <c r="G156" s="38" t="s">
        <v>13</v>
      </c>
      <c r="H156" s="42">
        <v>474000</v>
      </c>
      <c r="I156" s="38" t="s">
        <v>423</v>
      </c>
      <c r="J156" s="40">
        <v>319500</v>
      </c>
      <c r="K156" s="40">
        <v>154500</v>
      </c>
      <c r="M156" s="46">
        <f t="shared" si="2"/>
        <v>474000</v>
      </c>
      <c r="O156" s="41">
        <f t="shared" si="3"/>
        <v>0</v>
      </c>
    </row>
    <row r="157" spans="1:15" ht="20.399999999999999">
      <c r="A157" s="36" t="s">
        <v>420</v>
      </c>
      <c r="B157" s="44" t="s">
        <v>436</v>
      </c>
      <c r="C157" s="36" t="s">
        <v>420</v>
      </c>
      <c r="D157" s="37" t="s">
        <v>299</v>
      </c>
      <c r="E157" s="38" t="s">
        <v>421</v>
      </c>
      <c r="F157" s="38" t="s">
        <v>465</v>
      </c>
      <c r="G157" s="38" t="s">
        <v>13</v>
      </c>
      <c r="H157" s="42">
        <v>1066000</v>
      </c>
      <c r="I157" s="38" t="s">
        <v>423</v>
      </c>
      <c r="J157" s="40">
        <v>603000</v>
      </c>
      <c r="K157" s="40">
        <v>463000</v>
      </c>
      <c r="M157" s="46">
        <f t="shared" si="2"/>
        <v>1066000</v>
      </c>
      <c r="O157" s="41">
        <f t="shared" si="3"/>
        <v>0</v>
      </c>
    </row>
    <row r="158" spans="1:15" ht="20.399999999999999">
      <c r="A158" s="36" t="s">
        <v>428</v>
      </c>
      <c r="B158" s="38" t="s">
        <v>433</v>
      </c>
      <c r="C158" s="36" t="s">
        <v>428</v>
      </c>
      <c r="D158" s="38" t="s">
        <v>299</v>
      </c>
      <c r="E158" s="38" t="s">
        <v>429</v>
      </c>
      <c r="F158" s="38" t="s">
        <v>466</v>
      </c>
      <c r="G158" s="38" t="s">
        <v>13</v>
      </c>
      <c r="H158" s="42">
        <v>1982000</v>
      </c>
      <c r="I158" s="38" t="s">
        <v>430</v>
      </c>
      <c r="J158" s="40">
        <v>752000</v>
      </c>
      <c r="K158" s="40">
        <v>752000</v>
      </c>
      <c r="L158" s="47">
        <v>478000</v>
      </c>
      <c r="M158" s="46">
        <f>J158+K158+L158</f>
        <v>1982000</v>
      </c>
      <c r="O158" s="41">
        <f t="shared" si="3"/>
        <v>0</v>
      </c>
    </row>
    <row r="159" spans="1:15" ht="20.399999999999999">
      <c r="A159" s="36" t="s">
        <v>420</v>
      </c>
      <c r="B159" s="37" t="s">
        <v>301</v>
      </c>
      <c r="C159" s="36" t="s">
        <v>420</v>
      </c>
      <c r="D159" s="37" t="s">
        <v>459</v>
      </c>
      <c r="E159" s="38" t="s">
        <v>421</v>
      </c>
      <c r="F159" s="38" t="s">
        <v>466</v>
      </c>
      <c r="G159" s="38" t="s">
        <v>13</v>
      </c>
      <c r="H159" s="42">
        <v>1640000</v>
      </c>
      <c r="I159" s="38" t="s">
        <v>423</v>
      </c>
      <c r="J159" s="40">
        <v>616000</v>
      </c>
      <c r="K159" s="40">
        <v>616000</v>
      </c>
      <c r="L159" s="47">
        <v>408000</v>
      </c>
      <c r="M159" s="46">
        <f>J159+K159+L159</f>
        <v>1640000</v>
      </c>
      <c r="O159" s="41">
        <f t="shared" si="3"/>
        <v>0</v>
      </c>
    </row>
    <row r="160" spans="1:15" ht="20.399999999999999">
      <c r="A160" s="36" t="s">
        <v>420</v>
      </c>
      <c r="B160" s="37" t="s">
        <v>303</v>
      </c>
      <c r="C160" s="36" t="s">
        <v>420</v>
      </c>
      <c r="D160" s="37" t="s">
        <v>459</v>
      </c>
      <c r="E160" s="38" t="s">
        <v>421</v>
      </c>
      <c r="F160" s="38" t="s">
        <v>466</v>
      </c>
      <c r="G160" s="38" t="s">
        <v>13</v>
      </c>
      <c r="H160" s="42">
        <v>1075100</v>
      </c>
      <c r="I160" s="38" t="s">
        <v>423</v>
      </c>
      <c r="J160" s="40">
        <v>392000</v>
      </c>
      <c r="K160" s="40">
        <v>392000</v>
      </c>
      <c r="L160" s="47">
        <v>291100</v>
      </c>
      <c r="M160" s="46">
        <f>J160+K160+L160</f>
        <v>1075100</v>
      </c>
      <c r="O160" s="41">
        <f t="shared" si="3"/>
        <v>0</v>
      </c>
    </row>
    <row r="161" spans="1:15" ht="20.399999999999999">
      <c r="A161" s="36" t="s">
        <v>420</v>
      </c>
      <c r="B161" s="44" t="s">
        <v>436</v>
      </c>
      <c r="C161" s="36" t="s">
        <v>420</v>
      </c>
      <c r="D161" s="37" t="s">
        <v>299</v>
      </c>
      <c r="E161" s="38" t="s">
        <v>421</v>
      </c>
      <c r="F161" s="38" t="s">
        <v>460</v>
      </c>
      <c r="G161" s="38" t="s">
        <v>13</v>
      </c>
      <c r="H161" s="42">
        <v>1206000</v>
      </c>
      <c r="I161" s="38" t="s">
        <v>423</v>
      </c>
      <c r="J161" s="40">
        <v>603000</v>
      </c>
      <c r="K161" s="40">
        <v>603000</v>
      </c>
      <c r="M161" s="46">
        <f t="shared" ref="M161:M166" si="4">J161+K161</f>
        <v>1206000</v>
      </c>
      <c r="O161" s="41">
        <f t="shared" ref="O161:O166" si="5">M161-H161</f>
        <v>0</v>
      </c>
    </row>
    <row r="162" spans="1:15" ht="20.399999999999999">
      <c r="A162" s="36" t="s">
        <v>420</v>
      </c>
      <c r="B162" s="37" t="s">
        <v>303</v>
      </c>
      <c r="C162" s="36" t="s">
        <v>420</v>
      </c>
      <c r="D162" s="37" t="s">
        <v>459</v>
      </c>
      <c r="E162" s="38" t="s">
        <v>421</v>
      </c>
      <c r="F162" s="38" t="s">
        <v>455</v>
      </c>
      <c r="G162" s="38" t="s">
        <v>13</v>
      </c>
      <c r="H162" s="42">
        <v>624000</v>
      </c>
      <c r="I162" s="38" t="s">
        <v>423</v>
      </c>
      <c r="J162" s="40">
        <v>392000</v>
      </c>
      <c r="K162" s="40">
        <v>232000</v>
      </c>
      <c r="M162" s="46">
        <f t="shared" si="4"/>
        <v>624000</v>
      </c>
      <c r="O162" s="41">
        <f t="shared" si="5"/>
        <v>0</v>
      </c>
    </row>
    <row r="163" spans="1:15" ht="20.399999999999999">
      <c r="A163" s="36" t="s">
        <v>420</v>
      </c>
      <c r="B163" s="37" t="s">
        <v>454</v>
      </c>
      <c r="C163" s="36" t="s">
        <v>420</v>
      </c>
      <c r="D163" s="37" t="s">
        <v>299</v>
      </c>
      <c r="E163" s="38" t="s">
        <v>421</v>
      </c>
      <c r="F163" s="38" t="s">
        <v>464</v>
      </c>
      <c r="G163" s="38" t="s">
        <v>13</v>
      </c>
      <c r="H163" s="42">
        <v>611000</v>
      </c>
      <c r="I163" s="38" t="s">
        <v>423</v>
      </c>
      <c r="J163" s="40">
        <v>370000</v>
      </c>
      <c r="K163" s="40">
        <v>241000</v>
      </c>
      <c r="M163" s="46">
        <f t="shared" si="4"/>
        <v>611000</v>
      </c>
      <c r="O163" s="41">
        <f t="shared" si="5"/>
        <v>0</v>
      </c>
    </row>
    <row r="164" spans="1:15" ht="20.399999999999999">
      <c r="A164" s="36" t="s">
        <v>420</v>
      </c>
      <c r="B164" s="44" t="s">
        <v>436</v>
      </c>
      <c r="C164" s="36" t="s">
        <v>420</v>
      </c>
      <c r="D164" s="37" t="s">
        <v>459</v>
      </c>
      <c r="E164" s="38" t="s">
        <v>421</v>
      </c>
      <c r="F164" s="38" t="s">
        <v>455</v>
      </c>
      <c r="G164" s="38" t="s">
        <v>13</v>
      </c>
      <c r="H164" s="42">
        <v>891000</v>
      </c>
      <c r="I164" s="38" t="s">
        <v>423</v>
      </c>
      <c r="J164" s="40">
        <v>603000</v>
      </c>
      <c r="K164" s="40">
        <v>288000</v>
      </c>
      <c r="M164" s="46">
        <f t="shared" si="4"/>
        <v>891000</v>
      </c>
      <c r="O164" s="41">
        <f t="shared" si="5"/>
        <v>0</v>
      </c>
    </row>
    <row r="165" spans="1:15" ht="20.399999999999999">
      <c r="A165" s="36" t="s">
        <v>420</v>
      </c>
      <c r="B165" s="37" t="s">
        <v>456</v>
      </c>
      <c r="C165" s="36" t="s">
        <v>420</v>
      </c>
      <c r="D165" s="37" t="s">
        <v>299</v>
      </c>
      <c r="E165" s="38" t="s">
        <v>421</v>
      </c>
      <c r="F165" s="38" t="s">
        <v>460</v>
      </c>
      <c r="G165" s="38" t="s">
        <v>13</v>
      </c>
      <c r="H165" s="42">
        <v>1194000</v>
      </c>
      <c r="I165" s="38" t="s">
        <v>423</v>
      </c>
      <c r="J165" s="40">
        <v>597000</v>
      </c>
      <c r="K165" s="40">
        <v>597000</v>
      </c>
      <c r="M165" s="46">
        <f t="shared" si="4"/>
        <v>1194000</v>
      </c>
      <c r="O165" s="41">
        <f t="shared" si="5"/>
        <v>0</v>
      </c>
    </row>
    <row r="166" spans="1:15" ht="20.399999999999999">
      <c r="A166" s="36" t="s">
        <v>420</v>
      </c>
      <c r="B166" s="37" t="s">
        <v>302</v>
      </c>
      <c r="C166" s="36" t="s">
        <v>420</v>
      </c>
      <c r="D166" s="37" t="s">
        <v>299</v>
      </c>
      <c r="E166" s="38" t="s">
        <v>421</v>
      </c>
      <c r="F166" s="38" t="s">
        <v>460</v>
      </c>
      <c r="G166" s="38" t="s">
        <v>13</v>
      </c>
      <c r="H166" s="42">
        <v>1386000</v>
      </c>
      <c r="I166" s="38" t="s">
        <v>423</v>
      </c>
      <c r="J166" s="40">
        <v>693000</v>
      </c>
      <c r="K166" s="40">
        <v>693000</v>
      </c>
      <c r="M166" s="46">
        <f t="shared" si="4"/>
        <v>1386000</v>
      </c>
      <c r="O166" s="41">
        <f t="shared" si="5"/>
        <v>0</v>
      </c>
    </row>
    <row r="167" spans="1:15" ht="30.75" customHeight="1">
      <c r="A167" s="49" t="s">
        <v>420</v>
      </c>
      <c r="B167" s="49" t="s">
        <v>297</v>
      </c>
      <c r="C167" s="49" t="s">
        <v>420</v>
      </c>
      <c r="D167" s="49" t="s">
        <v>299</v>
      </c>
      <c r="E167" s="50" t="s">
        <v>421</v>
      </c>
      <c r="F167" s="50" t="s">
        <v>467</v>
      </c>
      <c r="G167" s="51" t="s">
        <v>13</v>
      </c>
      <c r="H167" s="52">
        <v>305000</v>
      </c>
      <c r="I167" s="51" t="s">
        <v>423</v>
      </c>
    </row>
    <row r="168" spans="1:15" ht="30.75" customHeight="1">
      <c r="A168" s="49" t="s">
        <v>420</v>
      </c>
      <c r="B168" s="49" t="s">
        <v>297</v>
      </c>
      <c r="C168" s="49" t="s">
        <v>420</v>
      </c>
      <c r="D168" s="49" t="s">
        <v>299</v>
      </c>
      <c r="E168" s="50" t="s">
        <v>421</v>
      </c>
      <c r="F168" s="50" t="s">
        <v>468</v>
      </c>
      <c r="G168" s="51" t="s">
        <v>13</v>
      </c>
      <c r="H168" s="52">
        <v>422000</v>
      </c>
      <c r="I168" s="51" t="s">
        <v>423</v>
      </c>
    </row>
    <row r="169" spans="1:15" ht="30.75" customHeight="1">
      <c r="A169" s="49" t="s">
        <v>420</v>
      </c>
      <c r="B169" s="49" t="s">
        <v>297</v>
      </c>
      <c r="C169" s="49" t="s">
        <v>420</v>
      </c>
      <c r="D169" s="49" t="s">
        <v>299</v>
      </c>
      <c r="E169" s="50" t="s">
        <v>421</v>
      </c>
      <c r="F169" s="50" t="s">
        <v>469</v>
      </c>
      <c r="G169" s="51" t="s">
        <v>13</v>
      </c>
      <c r="H169" s="52">
        <v>491000</v>
      </c>
      <c r="I169" s="51" t="s">
        <v>423</v>
      </c>
    </row>
    <row r="170" spans="1:15" ht="30.75" customHeight="1">
      <c r="A170" s="49" t="s">
        <v>420</v>
      </c>
      <c r="B170" s="49" t="s">
        <v>297</v>
      </c>
      <c r="C170" s="49" t="s">
        <v>420</v>
      </c>
      <c r="D170" s="49" t="s">
        <v>299</v>
      </c>
      <c r="E170" s="50" t="s">
        <v>421</v>
      </c>
      <c r="F170" s="50" t="s">
        <v>470</v>
      </c>
      <c r="G170" s="51" t="s">
        <v>13</v>
      </c>
      <c r="H170" s="52">
        <v>562000</v>
      </c>
      <c r="I170" s="51" t="s">
        <v>423</v>
      </c>
    </row>
    <row r="171" spans="1:15" ht="30.75" customHeight="1">
      <c r="A171" s="49" t="s">
        <v>420</v>
      </c>
      <c r="B171" s="49" t="s">
        <v>297</v>
      </c>
      <c r="C171" s="49" t="s">
        <v>420</v>
      </c>
      <c r="D171" s="49" t="s">
        <v>299</v>
      </c>
      <c r="E171" s="50" t="s">
        <v>421</v>
      </c>
      <c r="F171" s="50" t="s">
        <v>427</v>
      </c>
      <c r="G171" s="51" t="s">
        <v>13</v>
      </c>
      <c r="H171" s="52">
        <v>635000</v>
      </c>
      <c r="I171" s="51" t="s">
        <v>423</v>
      </c>
    </row>
    <row r="172" spans="1:15" ht="20.399999999999999">
      <c r="A172" s="53" t="s">
        <v>420</v>
      </c>
      <c r="B172" s="54" t="s">
        <v>297</v>
      </c>
      <c r="C172" s="53" t="s">
        <v>420</v>
      </c>
      <c r="D172" s="55" t="s">
        <v>299</v>
      </c>
      <c r="E172" s="56" t="s">
        <v>421</v>
      </c>
      <c r="F172" s="56" t="s">
        <v>450</v>
      </c>
      <c r="G172" s="56" t="s">
        <v>13</v>
      </c>
      <c r="H172" s="57">
        <v>1126000</v>
      </c>
      <c r="I172" s="56" t="s">
        <v>423</v>
      </c>
    </row>
    <row r="173" spans="1:15" ht="20.399999999999999">
      <c r="A173" s="53" t="s">
        <v>420</v>
      </c>
      <c r="B173" s="54" t="s">
        <v>297</v>
      </c>
      <c r="C173" s="53" t="s">
        <v>420</v>
      </c>
      <c r="D173" s="55" t="s">
        <v>299</v>
      </c>
      <c r="E173" s="56" t="s">
        <v>421</v>
      </c>
      <c r="F173" s="56" t="s">
        <v>452</v>
      </c>
      <c r="G173" s="56" t="s">
        <v>13</v>
      </c>
      <c r="H173" s="57">
        <v>940000</v>
      </c>
      <c r="I173" s="56" t="s">
        <v>423</v>
      </c>
    </row>
    <row r="174" spans="1:15" ht="20.399999999999999">
      <c r="A174" s="53" t="s">
        <v>420</v>
      </c>
      <c r="B174" s="54" t="s">
        <v>297</v>
      </c>
      <c r="C174" s="53" t="s">
        <v>420</v>
      </c>
      <c r="D174" s="55" t="s">
        <v>299</v>
      </c>
      <c r="E174" s="56" t="s">
        <v>421</v>
      </c>
      <c r="F174" s="56" t="s">
        <v>448</v>
      </c>
      <c r="G174" s="56" t="s">
        <v>13</v>
      </c>
      <c r="H174" s="57">
        <v>1057000</v>
      </c>
      <c r="I174" s="56" t="s">
        <v>423</v>
      </c>
    </row>
    <row r="175" spans="1:15" ht="20.399999999999999">
      <c r="A175" s="53" t="s">
        <v>420</v>
      </c>
      <c r="B175" s="54" t="s">
        <v>297</v>
      </c>
      <c r="C175" s="53" t="s">
        <v>420</v>
      </c>
      <c r="D175" s="55" t="s">
        <v>299</v>
      </c>
      <c r="E175" s="56" t="s">
        <v>421</v>
      </c>
      <c r="F175" s="56" t="s">
        <v>460</v>
      </c>
      <c r="G175" s="56" t="s">
        <v>13</v>
      </c>
      <c r="H175" s="57">
        <v>1270000</v>
      </c>
      <c r="I175" s="56" t="s">
        <v>423</v>
      </c>
    </row>
    <row r="176" spans="1:15" ht="20.399999999999999">
      <c r="A176" s="36" t="s">
        <v>420</v>
      </c>
      <c r="B176" s="37" t="s">
        <v>300</v>
      </c>
      <c r="C176" s="36" t="s">
        <v>420</v>
      </c>
      <c r="D176" s="37" t="s">
        <v>299</v>
      </c>
      <c r="E176" s="38" t="s">
        <v>421</v>
      </c>
      <c r="F176" s="38" t="s">
        <v>460</v>
      </c>
      <c r="G176" s="38" t="s">
        <v>13</v>
      </c>
      <c r="H176" s="42">
        <v>1098000</v>
      </c>
      <c r="I176" s="38" t="s">
        <v>423</v>
      </c>
    </row>
    <row r="177" spans="1:14" ht="20.399999999999999">
      <c r="A177" s="36" t="s">
        <v>420</v>
      </c>
      <c r="B177" s="37" t="s">
        <v>454</v>
      </c>
      <c r="C177" s="36" t="s">
        <v>420</v>
      </c>
      <c r="D177" s="37" t="s">
        <v>299</v>
      </c>
      <c r="E177" s="38" t="s">
        <v>421</v>
      </c>
      <c r="F177" s="38" t="s">
        <v>471</v>
      </c>
      <c r="G177" s="38" t="s">
        <v>13</v>
      </c>
      <c r="H177" s="42">
        <v>701000</v>
      </c>
      <c r="I177" s="38" t="s">
        <v>423</v>
      </c>
    </row>
    <row r="178" spans="1:14" ht="20.399999999999999">
      <c r="A178" s="36" t="s">
        <v>420</v>
      </c>
      <c r="B178" s="37" t="s">
        <v>453</v>
      </c>
      <c r="C178" s="36" t="s">
        <v>420</v>
      </c>
      <c r="D178" s="37" t="s">
        <v>299</v>
      </c>
      <c r="E178" s="38" t="s">
        <v>421</v>
      </c>
      <c r="F178" s="38" t="s">
        <v>463</v>
      </c>
      <c r="G178" s="38" t="s">
        <v>13</v>
      </c>
      <c r="H178" s="42">
        <v>1333000</v>
      </c>
      <c r="I178" s="38" t="s">
        <v>423</v>
      </c>
    </row>
    <row r="179" spans="1:14" ht="20.399999999999999">
      <c r="A179" s="36" t="s">
        <v>420</v>
      </c>
      <c r="B179" s="37" t="s">
        <v>453</v>
      </c>
      <c r="C179" s="36" t="s">
        <v>420</v>
      </c>
      <c r="D179" s="37" t="s">
        <v>299</v>
      </c>
      <c r="E179" s="38" t="s">
        <v>421</v>
      </c>
      <c r="F179" s="38" t="s">
        <v>466</v>
      </c>
      <c r="G179" s="38" t="s">
        <v>13</v>
      </c>
      <c r="H179" s="42">
        <v>1421000</v>
      </c>
      <c r="I179" s="38" t="s">
        <v>423</v>
      </c>
    </row>
    <row r="180" spans="1:14" ht="20.399999999999999">
      <c r="A180" s="36" t="s">
        <v>420</v>
      </c>
      <c r="B180" s="37" t="s">
        <v>454</v>
      </c>
      <c r="C180" s="36" t="s">
        <v>420</v>
      </c>
      <c r="D180" s="37" t="s">
        <v>299</v>
      </c>
      <c r="E180" s="38" t="s">
        <v>421</v>
      </c>
      <c r="F180" s="38" t="s">
        <v>460</v>
      </c>
      <c r="G180" s="38" t="s">
        <v>13</v>
      </c>
      <c r="H180" s="42">
        <v>740000</v>
      </c>
      <c r="I180" s="38" t="s">
        <v>423</v>
      </c>
    </row>
    <row r="181" spans="1:14" ht="20.399999999999999">
      <c r="A181" s="36" t="s">
        <v>420</v>
      </c>
      <c r="B181" s="37" t="s">
        <v>298</v>
      </c>
      <c r="C181" s="36" t="s">
        <v>420</v>
      </c>
      <c r="D181" s="37" t="s">
        <v>299</v>
      </c>
      <c r="E181" s="38" t="s">
        <v>421</v>
      </c>
      <c r="F181" s="38" t="s">
        <v>460</v>
      </c>
      <c r="G181" s="38" t="s">
        <v>13</v>
      </c>
      <c r="H181" s="42">
        <v>1162000</v>
      </c>
      <c r="I181" s="38" t="s">
        <v>423</v>
      </c>
    </row>
    <row r="182" spans="1:14" ht="20.399999999999999">
      <c r="A182" s="36" t="s">
        <v>420</v>
      </c>
      <c r="B182" s="37" t="s">
        <v>303</v>
      </c>
      <c r="C182" s="36" t="s">
        <v>420</v>
      </c>
      <c r="D182" s="37" t="s">
        <v>459</v>
      </c>
      <c r="E182" s="38" t="s">
        <v>421</v>
      </c>
      <c r="F182" s="38" t="s">
        <v>463</v>
      </c>
      <c r="G182" s="38" t="s">
        <v>13</v>
      </c>
      <c r="H182" s="42">
        <v>1016000</v>
      </c>
      <c r="I182" s="38" t="s">
        <v>423</v>
      </c>
    </row>
    <row r="183" spans="1:14" ht="20.399999999999999">
      <c r="A183" s="36" t="s">
        <v>420</v>
      </c>
      <c r="B183" s="37" t="s">
        <v>447</v>
      </c>
      <c r="C183" s="36" t="s">
        <v>420</v>
      </c>
      <c r="D183" s="37" t="s">
        <v>299</v>
      </c>
      <c r="E183" s="38" t="s">
        <v>421</v>
      </c>
      <c r="F183" s="38" t="s">
        <v>455</v>
      </c>
      <c r="G183" s="38" t="s">
        <v>13</v>
      </c>
      <c r="H183" s="42">
        <v>437000</v>
      </c>
      <c r="I183" s="38" t="s">
        <v>423</v>
      </c>
      <c r="J183" s="58"/>
      <c r="M183" s="59"/>
    </row>
    <row r="184" spans="1:14" ht="20.399999999999999">
      <c r="A184" s="36" t="s">
        <v>420</v>
      </c>
      <c r="B184" s="37" t="s">
        <v>441</v>
      </c>
      <c r="C184" s="36" t="s">
        <v>420</v>
      </c>
      <c r="D184" s="37" t="s">
        <v>299</v>
      </c>
      <c r="E184" s="38" t="s">
        <v>421</v>
      </c>
      <c r="F184" s="38" t="s">
        <v>471</v>
      </c>
      <c r="G184" s="38" t="s">
        <v>13</v>
      </c>
      <c r="H184" s="42">
        <v>1137000</v>
      </c>
      <c r="I184" s="38" t="s">
        <v>423</v>
      </c>
    </row>
    <row r="186" spans="1:14">
      <c r="I186" s="58"/>
    </row>
    <row r="187" spans="1:14">
      <c r="I187" s="59"/>
    </row>
    <row r="188" spans="1:14">
      <c r="I188" s="58"/>
    </row>
    <row r="189" spans="1:14">
      <c r="K189" s="58"/>
    </row>
    <row r="190" spans="1:14">
      <c r="I190" s="58"/>
      <c r="N190" s="59"/>
    </row>
    <row r="191" spans="1:14">
      <c r="J191" s="58"/>
    </row>
  </sheetData>
  <autoFilter ref="A4:I183" xr:uid="{00000000-0009-0000-0000-000003000000}"/>
  <mergeCells count="12">
    <mergeCell ref="H4:H5"/>
    <mergeCell ref="I4:I5"/>
    <mergeCell ref="A1:I1"/>
    <mergeCell ref="A2:I2"/>
    <mergeCell ref="A3:I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27559055118110237" right="0.19685039370078741" top="0.35433070866141736" bottom="0.35433070866141736" header="0.31496062992125984" footer="0.31496062992125984"/>
  <pageSetup paperSize="9" scale="75" fitToWidth="0" fitToHeight="0" orientation="portrait" r:id="rId1"/>
  <rowBreaks count="2" manualBreakCount="2">
    <brk id="16" max="8" man="1"/>
    <brk id="54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9A666-0244-4EAF-B436-2D0E66165D90}">
  <sheetPr>
    <tabColor rgb="FFFF0000"/>
  </sheetPr>
  <dimension ref="B1:H13"/>
  <sheetViews>
    <sheetView workbookViewId="0">
      <selection activeCell="B10" sqref="B10:F11"/>
    </sheetView>
  </sheetViews>
  <sheetFormatPr defaultRowHeight="14.4"/>
  <cols>
    <col min="1" max="1" width="8.88671875" style="3"/>
    <col min="2" max="2" width="25.6640625" style="3" customWidth="1"/>
    <col min="3" max="3" width="15.109375" style="3" customWidth="1"/>
    <col min="4" max="4" width="15.88671875" style="3" customWidth="1"/>
    <col min="5" max="5" width="12" style="3" customWidth="1"/>
    <col min="6" max="6" width="11.77734375" style="3" customWidth="1"/>
    <col min="7" max="7" width="8.21875" style="3" bestFit="1" customWidth="1"/>
    <col min="8" max="16384" width="8.88671875" style="3"/>
  </cols>
  <sheetData>
    <row r="1" spans="2:8">
      <c r="F1" s="61" t="s">
        <v>13</v>
      </c>
    </row>
    <row r="2" spans="2:8" ht="31.5" customHeight="1">
      <c r="B2" s="90" t="s">
        <v>472</v>
      </c>
      <c r="C2" s="90"/>
      <c r="D2" s="91" t="s">
        <v>473</v>
      </c>
      <c r="E2" s="90" t="s">
        <v>474</v>
      </c>
      <c r="F2" s="90"/>
      <c r="G2" s="28"/>
    </row>
    <row r="3" spans="2:8" ht="36.75" customHeight="1">
      <c r="B3" s="90"/>
      <c r="C3" s="90"/>
      <c r="D3" s="92"/>
      <c r="E3" s="62" t="s">
        <v>475</v>
      </c>
      <c r="F3" s="62" t="s">
        <v>296</v>
      </c>
      <c r="G3" s="28"/>
    </row>
    <row r="4" spans="2:8" ht="25.5" customHeight="1">
      <c r="B4" s="85" t="s">
        <v>476</v>
      </c>
      <c r="C4" s="85"/>
      <c r="D4" s="63" t="s">
        <v>477</v>
      </c>
      <c r="E4" s="64">
        <v>50000</v>
      </c>
      <c r="F4" s="64">
        <v>50000</v>
      </c>
      <c r="G4" s="65" t="s">
        <v>21</v>
      </c>
    </row>
    <row r="5" spans="2:8" ht="26.4">
      <c r="B5" s="85" t="s">
        <v>478</v>
      </c>
      <c r="C5" s="85"/>
      <c r="D5" s="63" t="s">
        <v>477</v>
      </c>
      <c r="E5" s="64">
        <v>185400</v>
      </c>
      <c r="F5" s="64">
        <v>133900</v>
      </c>
      <c r="G5" s="65" t="s">
        <v>475</v>
      </c>
    </row>
    <row r="6" spans="2:8" ht="26.4">
      <c r="B6" s="85" t="s">
        <v>479</v>
      </c>
      <c r="C6" s="85"/>
      <c r="D6" s="63" t="s">
        <v>477</v>
      </c>
      <c r="E6" s="64">
        <v>9100</v>
      </c>
      <c r="F6" s="64">
        <v>4600</v>
      </c>
      <c r="G6" s="65" t="s">
        <v>296</v>
      </c>
    </row>
    <row r="7" spans="2:8" ht="39" customHeight="1">
      <c r="B7" s="85" t="s">
        <v>480</v>
      </c>
      <c r="C7" s="85"/>
      <c r="D7" s="63" t="s">
        <v>477</v>
      </c>
      <c r="E7" s="64">
        <v>193800</v>
      </c>
      <c r="F7" s="64">
        <v>112200</v>
      </c>
      <c r="G7" s="28"/>
    </row>
    <row r="8" spans="2:8" ht="26.4">
      <c r="B8" s="86" t="s">
        <v>481</v>
      </c>
      <c r="C8" s="87"/>
      <c r="D8" s="63" t="s">
        <v>477</v>
      </c>
      <c r="E8" s="66">
        <v>280500</v>
      </c>
      <c r="F8" s="66">
        <v>280500</v>
      </c>
      <c r="G8" s="67" t="s">
        <v>299</v>
      </c>
      <c r="H8" s="68" t="s">
        <v>482</v>
      </c>
    </row>
    <row r="9" spans="2:8" ht="26.4">
      <c r="B9" s="88"/>
      <c r="C9" s="89"/>
      <c r="D9" s="63" t="s">
        <v>477</v>
      </c>
      <c r="E9" s="64">
        <v>271000</v>
      </c>
      <c r="F9" s="64">
        <v>258000</v>
      </c>
      <c r="G9" s="67" t="s">
        <v>297</v>
      </c>
      <c r="H9" s="68" t="s">
        <v>483</v>
      </c>
    </row>
    <row r="10" spans="2:8" ht="38.25" customHeight="1">
      <c r="B10" s="85" t="s">
        <v>67</v>
      </c>
      <c r="C10" s="85"/>
      <c r="D10" s="63" t="s">
        <v>484</v>
      </c>
      <c r="E10" s="64">
        <v>460000</v>
      </c>
      <c r="F10" s="64">
        <v>390000</v>
      </c>
      <c r="G10" s="28"/>
    </row>
    <row r="11" spans="2:8" ht="35.25" customHeight="1">
      <c r="B11" s="85" t="s">
        <v>485</v>
      </c>
      <c r="C11" s="85"/>
      <c r="D11" s="63" t="s">
        <v>486</v>
      </c>
      <c r="E11" s="64">
        <v>8490</v>
      </c>
      <c r="F11" s="64">
        <v>8490</v>
      </c>
      <c r="G11" s="28"/>
    </row>
    <row r="12" spans="2:8">
      <c r="E12" s="58">
        <f>SUM(E4:E11)</f>
        <v>1458290</v>
      </c>
      <c r="F12" s="58">
        <f>SUM(F4:F11)</f>
        <v>1237690</v>
      </c>
    </row>
    <row r="13" spans="2:8">
      <c r="F13" s="58">
        <f>F12+E12</f>
        <v>2695980</v>
      </c>
    </row>
  </sheetData>
  <mergeCells count="10">
    <mergeCell ref="D2:D3"/>
    <mergeCell ref="E2:F2"/>
    <mergeCell ref="B4:C4"/>
    <mergeCell ref="B5:C5"/>
    <mergeCell ref="B6:C6"/>
    <mergeCell ref="B7:C7"/>
    <mergeCell ref="B8:C9"/>
    <mergeCell ref="B10:C10"/>
    <mergeCell ref="B11:C11"/>
    <mergeCell ref="B2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1FB1-BD18-4203-A2A2-B0C6E18D3C0E}">
  <sheetPr codeName="Лист4"/>
  <dimension ref="A1:AC116"/>
  <sheetViews>
    <sheetView workbookViewId="0">
      <selection sqref="A1:AC116"/>
    </sheetView>
  </sheetViews>
  <sheetFormatPr defaultColWidth="8.88671875" defaultRowHeight="13.8"/>
  <cols>
    <col min="1" max="1" width="10.33203125" style="6" bestFit="1" customWidth="1"/>
    <col min="2" max="4" width="20.6640625" style="6" bestFit="1" customWidth="1"/>
    <col min="5" max="5" width="27.6640625" style="6" bestFit="1" customWidth="1"/>
    <col min="6" max="6" width="23.109375" style="6" bestFit="1" customWidth="1"/>
    <col min="7" max="9" width="20.6640625" style="6" bestFit="1" customWidth="1"/>
    <col min="10" max="10" width="23.33203125" style="6" bestFit="1" customWidth="1"/>
    <col min="11" max="11" width="11.33203125" style="6" bestFit="1" customWidth="1"/>
    <col min="12" max="12" width="11.88671875" style="6" bestFit="1" customWidth="1"/>
    <col min="13" max="13" width="31" style="6" bestFit="1" customWidth="1"/>
    <col min="14" max="14" width="35.5546875" style="6" bestFit="1" customWidth="1"/>
    <col min="15" max="15" width="31.88671875" style="6" bestFit="1" customWidth="1"/>
    <col min="16" max="16" width="19.33203125" style="6" bestFit="1" customWidth="1"/>
    <col min="17" max="17" width="19.6640625" style="6" bestFit="1" customWidth="1"/>
    <col min="18" max="18" width="20" style="6" bestFit="1" customWidth="1"/>
    <col min="19" max="19" width="12.88671875" style="6" bestFit="1" customWidth="1"/>
    <col min="20" max="20" width="52.109375" style="6" bestFit="1" customWidth="1"/>
    <col min="21" max="21" width="35.33203125" style="6" bestFit="1" customWidth="1"/>
    <col min="22" max="22" width="29.88671875" style="6" bestFit="1" customWidth="1"/>
    <col min="23" max="23" width="29.6640625" style="6" bestFit="1" customWidth="1"/>
    <col min="24" max="24" width="17.6640625" style="6" bestFit="1" customWidth="1"/>
    <col min="25" max="25" width="13.88671875" style="6" bestFit="1" customWidth="1"/>
    <col min="26" max="26" width="14.6640625" style="6" bestFit="1" customWidth="1"/>
    <col min="27" max="27" width="11.33203125" style="6" bestFit="1" customWidth="1"/>
    <col min="28" max="31" width="11.33203125" style="6" customWidth="1"/>
    <col min="32" max="32" width="11.33203125" style="6" bestFit="1" customWidth="1"/>
    <col min="33" max="33" width="16" style="6" bestFit="1" customWidth="1"/>
    <col min="34" max="37" width="18.6640625" style="6" bestFit="1" customWidth="1"/>
    <col min="38" max="38" width="26.6640625" style="6" bestFit="1" customWidth="1"/>
    <col min="39" max="41" width="18.6640625" style="6" bestFit="1" customWidth="1"/>
    <col min="42" max="42" width="22" style="6" bestFit="1" customWidth="1"/>
    <col min="43" max="43" width="21.44140625" style="6" bestFit="1" customWidth="1"/>
    <col min="44" max="44" width="20.6640625" style="6" bestFit="1" customWidth="1"/>
    <col min="45" max="45" width="30.33203125" style="6" bestFit="1" customWidth="1"/>
    <col min="46" max="46" width="27" style="6" bestFit="1" customWidth="1"/>
    <col min="47" max="47" width="21.88671875" style="6" bestFit="1" customWidth="1"/>
    <col min="48" max="48" width="35.6640625" style="6" bestFit="1" customWidth="1"/>
    <col min="49" max="49" width="35.33203125" style="6" bestFit="1" customWidth="1"/>
    <col min="50" max="50" width="27.6640625" style="6" bestFit="1" customWidth="1"/>
    <col min="51" max="51" width="27.109375" style="6" bestFit="1" customWidth="1"/>
    <col min="52" max="52" width="24.6640625" style="6" bestFit="1" customWidth="1"/>
    <col min="53" max="53" width="24.33203125" style="6" bestFit="1" customWidth="1"/>
    <col min="54" max="54" width="22.5546875" style="6" bestFit="1" customWidth="1"/>
    <col min="55" max="55" width="18.6640625" style="6" bestFit="1" customWidth="1"/>
    <col min="56" max="56" width="9.6640625" style="6" bestFit="1" customWidth="1"/>
    <col min="57" max="57" width="15.109375" style="6" bestFit="1" customWidth="1"/>
    <col min="58" max="58" width="27.44140625" style="6" bestFit="1" customWidth="1"/>
    <col min="59" max="59" width="80.88671875" style="6" bestFit="1" customWidth="1"/>
    <col min="60" max="80" width="19.33203125" style="6" customWidth="1"/>
    <col min="81" max="16384" width="8.88671875" style="6"/>
  </cols>
  <sheetData>
    <row r="1" spans="1:29" s="14" customFormat="1" ht="55.95" customHeight="1">
      <c r="A1" s="14" t="s">
        <v>49</v>
      </c>
      <c r="B1" s="14" t="s">
        <v>50</v>
      </c>
      <c r="C1" s="14" t="s">
        <v>51</v>
      </c>
      <c r="D1" s="14" t="s">
        <v>52</v>
      </c>
      <c r="E1" s="14" t="s">
        <v>127</v>
      </c>
      <c r="F1" s="14" t="s">
        <v>128</v>
      </c>
      <c r="G1" s="14" t="s">
        <v>53</v>
      </c>
      <c r="H1" s="14" t="s">
        <v>54</v>
      </c>
      <c r="I1" s="14" t="s">
        <v>55</v>
      </c>
      <c r="J1" s="14" t="s">
        <v>56</v>
      </c>
      <c r="K1" s="14" t="s">
        <v>57</v>
      </c>
      <c r="L1" s="14" t="s">
        <v>58</v>
      </c>
      <c r="M1" s="14" t="s">
        <v>59</v>
      </c>
      <c r="N1" s="14" t="s">
        <v>60</v>
      </c>
      <c r="O1" s="14" t="s">
        <v>61</v>
      </c>
      <c r="P1" s="14" t="s">
        <v>62</v>
      </c>
      <c r="Q1" s="14" t="s">
        <v>63</v>
      </c>
      <c r="R1" s="14" t="s">
        <v>64</v>
      </c>
      <c r="S1" s="14" t="s">
        <v>65</v>
      </c>
      <c r="T1" s="14" t="s">
        <v>66</v>
      </c>
      <c r="U1" s="14" t="s">
        <v>67</v>
      </c>
      <c r="V1" s="14" t="s">
        <v>68</v>
      </c>
      <c r="W1" s="14" t="s">
        <v>69</v>
      </c>
      <c r="X1" s="14" t="s">
        <v>70</v>
      </c>
      <c r="Y1" s="14" t="s">
        <v>71</v>
      </c>
      <c r="Z1" s="14" t="s">
        <v>72</v>
      </c>
      <c r="AA1" s="14" t="s">
        <v>73</v>
      </c>
      <c r="AB1" s="14" t="s">
        <v>74</v>
      </c>
      <c r="AC1" s="14" t="s">
        <v>75</v>
      </c>
    </row>
    <row r="2" spans="1:29" ht="14.4">
      <c r="A2" s="4">
        <v>1</v>
      </c>
      <c r="B2" s="4" t="s">
        <v>129</v>
      </c>
      <c r="C2" s="7" t="s">
        <v>21</v>
      </c>
      <c r="D2" s="5">
        <v>44965</v>
      </c>
      <c r="E2" s="3" t="s">
        <v>76</v>
      </c>
      <c r="F2" s="4" t="s">
        <v>130</v>
      </c>
      <c r="G2" s="4" t="s">
        <v>77</v>
      </c>
      <c r="H2" s="4">
        <v>7.48</v>
      </c>
      <c r="I2" s="4">
        <v>5776.38</v>
      </c>
      <c r="J2" s="4" t="s">
        <v>78</v>
      </c>
      <c r="K2" s="4">
        <v>1</v>
      </c>
      <c r="L2" s="4">
        <v>66.114000000000004</v>
      </c>
      <c r="M2" s="4">
        <v>698500</v>
      </c>
      <c r="N2" s="4">
        <v>63505.2</v>
      </c>
      <c r="O2" s="4">
        <v>21926.127597785638</v>
      </c>
      <c r="P2" s="4">
        <v>5656.8956650633754</v>
      </c>
      <c r="Q2" s="4">
        <v>20975.769126054995</v>
      </c>
      <c r="R2" s="4">
        <v>1029.5550110415345</v>
      </c>
      <c r="S2" s="4">
        <v>0</v>
      </c>
      <c r="T2" s="4">
        <v>31735.184681005536</v>
      </c>
      <c r="U2" s="4">
        <v>0</v>
      </c>
      <c r="V2" s="4">
        <v>843328.7320809511</v>
      </c>
      <c r="W2" s="4">
        <v>663.65</v>
      </c>
      <c r="X2" s="4">
        <v>3103.79</v>
      </c>
      <c r="Y2" s="4">
        <v>1</v>
      </c>
      <c r="Z2" s="4">
        <v>3103.79</v>
      </c>
      <c r="AA2" s="3"/>
      <c r="AB2" s="3"/>
      <c r="AC2" s="3">
        <v>15964.199999999999</v>
      </c>
    </row>
    <row r="3" spans="1:29" ht="14.4">
      <c r="A3" s="4">
        <v>2</v>
      </c>
      <c r="B3" s="4" t="s">
        <v>129</v>
      </c>
      <c r="C3" s="7" t="s">
        <v>21</v>
      </c>
      <c r="D3" s="5">
        <v>44965</v>
      </c>
      <c r="E3" s="3" t="s">
        <v>76</v>
      </c>
      <c r="F3" s="4" t="s">
        <v>131</v>
      </c>
      <c r="G3" s="4" t="s">
        <v>77</v>
      </c>
      <c r="H3" s="4">
        <v>8.9760000000000009</v>
      </c>
      <c r="I3" s="4">
        <v>3852</v>
      </c>
      <c r="J3" s="4" t="s">
        <v>78</v>
      </c>
      <c r="K3" s="4">
        <v>1</v>
      </c>
      <c r="L3" s="4">
        <v>66.114000000000004</v>
      </c>
      <c r="M3" s="4">
        <v>632500</v>
      </c>
      <c r="N3" s="4">
        <v>76206.240000000005</v>
      </c>
      <c r="O3" s="4">
        <v>26311.353117342773</v>
      </c>
      <c r="P3" s="4">
        <v>6788.2747980760505</v>
      </c>
      <c r="Q3" s="4">
        <v>25170.922951265995</v>
      </c>
      <c r="R3" s="4">
        <v>1235.4660132498414</v>
      </c>
      <c r="S3" s="4">
        <v>0</v>
      </c>
      <c r="T3" s="4">
        <v>38082.221617206647</v>
      </c>
      <c r="U3" s="4">
        <v>0</v>
      </c>
      <c r="V3" s="4">
        <v>806294.47849714139</v>
      </c>
      <c r="W3" s="4">
        <v>634.51</v>
      </c>
      <c r="X3" s="4">
        <v>3103.79</v>
      </c>
      <c r="Y3" s="4">
        <v>0</v>
      </c>
      <c r="Z3" s="4">
        <v>0</v>
      </c>
      <c r="AA3" s="3"/>
      <c r="AB3" s="3"/>
      <c r="AC3" s="3">
        <v>12667.2</v>
      </c>
    </row>
    <row r="4" spans="1:29" ht="14.4">
      <c r="A4" s="4">
        <v>3</v>
      </c>
      <c r="B4" s="4" t="s">
        <v>129</v>
      </c>
      <c r="C4" s="7" t="s">
        <v>21</v>
      </c>
      <c r="D4" s="5">
        <v>44965</v>
      </c>
      <c r="E4" s="3" t="s">
        <v>76</v>
      </c>
      <c r="F4" s="4" t="s">
        <v>132</v>
      </c>
      <c r="G4" s="4" t="s">
        <v>79</v>
      </c>
      <c r="H4" s="4">
        <v>49.658000000000001</v>
      </c>
      <c r="I4" s="4">
        <v>1424.02</v>
      </c>
      <c r="J4" s="4" t="s">
        <v>78</v>
      </c>
      <c r="K4" s="4">
        <v>1</v>
      </c>
      <c r="L4" s="4">
        <v>66.114000000000004</v>
      </c>
      <c r="M4" s="4">
        <v>1333000</v>
      </c>
      <c r="N4" s="4">
        <v>421596.42</v>
      </c>
      <c r="O4" s="4">
        <v>145562.51928487158</v>
      </c>
      <c r="P4" s="4">
        <v>37554.829536860576</v>
      </c>
      <c r="Q4" s="4">
        <v>139253.307922679</v>
      </c>
      <c r="R4" s="4">
        <v>6834.9789757086246</v>
      </c>
      <c r="S4" s="4">
        <v>0</v>
      </c>
      <c r="T4" s="4">
        <v>210682.59370178785</v>
      </c>
      <c r="U4" s="4">
        <v>0</v>
      </c>
      <c r="V4" s="4">
        <v>2294484.6494219075</v>
      </c>
      <c r="W4" s="4">
        <v>1805.63</v>
      </c>
      <c r="X4" s="4">
        <v>3103.79</v>
      </c>
      <c r="Y4" s="4">
        <v>0</v>
      </c>
      <c r="Z4" s="4">
        <v>0</v>
      </c>
      <c r="AA4" s="3"/>
      <c r="AB4" s="3"/>
      <c r="AC4" s="3">
        <v>13780.800000000001</v>
      </c>
    </row>
    <row r="5" spans="1:29" ht="14.4">
      <c r="A5" s="4">
        <v>4</v>
      </c>
      <c r="B5" s="4" t="s">
        <v>133</v>
      </c>
      <c r="C5" s="7" t="s">
        <v>21</v>
      </c>
      <c r="D5" s="5">
        <v>44965</v>
      </c>
      <c r="E5" s="3" t="s">
        <v>76</v>
      </c>
      <c r="F5" s="4" t="s">
        <v>134</v>
      </c>
      <c r="G5" s="4" t="s">
        <v>77</v>
      </c>
      <c r="H5" s="4">
        <v>7.48</v>
      </c>
      <c r="I5" s="4">
        <v>5776.38</v>
      </c>
      <c r="J5" s="4" t="s">
        <v>78</v>
      </c>
      <c r="K5" s="4">
        <v>1</v>
      </c>
      <c r="L5" s="4">
        <v>66.114000000000004</v>
      </c>
      <c r="M5" s="4">
        <v>698500</v>
      </c>
      <c r="N5" s="4">
        <v>63505.2</v>
      </c>
      <c r="O5" s="4">
        <v>21926.127597785638</v>
      </c>
      <c r="P5" s="4">
        <v>5656.8956650633754</v>
      </c>
      <c r="Q5" s="4">
        <v>20975.769126054995</v>
      </c>
      <c r="R5" s="4">
        <v>1029.5550110415345</v>
      </c>
      <c r="S5" s="4">
        <v>0</v>
      </c>
      <c r="T5" s="4">
        <v>31735.184681005536</v>
      </c>
      <c r="U5" s="4">
        <v>0</v>
      </c>
      <c r="V5" s="4">
        <v>843328.7320809511</v>
      </c>
      <c r="W5" s="4">
        <v>663.65</v>
      </c>
      <c r="X5" s="4">
        <v>3103.79</v>
      </c>
      <c r="Y5" s="4">
        <v>1</v>
      </c>
      <c r="Z5" s="4">
        <v>3103.79</v>
      </c>
      <c r="AA5" s="3"/>
      <c r="AB5" s="3"/>
      <c r="AC5" s="3">
        <v>15964.199999999999</v>
      </c>
    </row>
    <row r="6" spans="1:29" ht="14.4">
      <c r="A6" s="4">
        <v>5</v>
      </c>
      <c r="B6" s="4" t="s">
        <v>133</v>
      </c>
      <c r="C6" s="7" t="s">
        <v>21</v>
      </c>
      <c r="D6" s="5">
        <v>44965</v>
      </c>
      <c r="E6" s="3" t="s">
        <v>76</v>
      </c>
      <c r="F6" s="4" t="s">
        <v>135</v>
      </c>
      <c r="G6" s="4" t="s">
        <v>77</v>
      </c>
      <c r="H6" s="4">
        <v>8.9760000000000009</v>
      </c>
      <c r="I6" s="4">
        <v>3852</v>
      </c>
      <c r="J6" s="4" t="s">
        <v>78</v>
      </c>
      <c r="K6" s="4">
        <v>1</v>
      </c>
      <c r="L6" s="4">
        <v>66.114000000000004</v>
      </c>
      <c r="M6" s="4">
        <v>632500</v>
      </c>
      <c r="N6" s="4">
        <v>76206.240000000005</v>
      </c>
      <c r="O6" s="4">
        <v>26311.353117342773</v>
      </c>
      <c r="P6" s="4">
        <v>6788.2747980760505</v>
      </c>
      <c r="Q6" s="4">
        <v>25170.922951265995</v>
      </c>
      <c r="R6" s="4">
        <v>1235.4660132498414</v>
      </c>
      <c r="S6" s="4">
        <v>0</v>
      </c>
      <c r="T6" s="4">
        <v>38082.221617206647</v>
      </c>
      <c r="U6" s="4">
        <v>0</v>
      </c>
      <c r="V6" s="4">
        <v>806294.47849714139</v>
      </c>
      <c r="W6" s="4">
        <v>634.51</v>
      </c>
      <c r="X6" s="4">
        <v>3103.79</v>
      </c>
      <c r="Y6" s="4">
        <v>0</v>
      </c>
      <c r="Z6" s="4">
        <v>0</v>
      </c>
      <c r="AA6" s="3"/>
      <c r="AB6" s="3"/>
      <c r="AC6" s="3">
        <v>12667.2</v>
      </c>
    </row>
    <row r="7" spans="1:29" ht="14.4">
      <c r="A7" s="4">
        <v>6</v>
      </c>
      <c r="B7" s="4" t="s">
        <v>133</v>
      </c>
      <c r="C7" s="7" t="s">
        <v>21</v>
      </c>
      <c r="D7" s="5">
        <v>44965</v>
      </c>
      <c r="E7" s="3" t="s">
        <v>76</v>
      </c>
      <c r="F7" s="4" t="s">
        <v>136</v>
      </c>
      <c r="G7" s="4" t="s">
        <v>79</v>
      </c>
      <c r="H7" s="4">
        <v>49.658000000000001</v>
      </c>
      <c r="I7" s="4">
        <v>3027.02</v>
      </c>
      <c r="J7" s="4" t="s">
        <v>78</v>
      </c>
      <c r="K7" s="4">
        <v>1</v>
      </c>
      <c r="L7" s="4">
        <v>66.114000000000004</v>
      </c>
      <c r="M7" s="4">
        <v>1333000</v>
      </c>
      <c r="N7" s="4">
        <v>421596.42</v>
      </c>
      <c r="O7" s="4">
        <v>145562.51928487158</v>
      </c>
      <c r="P7" s="4">
        <v>37554.829536860576</v>
      </c>
      <c r="Q7" s="4">
        <v>139253.307922679</v>
      </c>
      <c r="R7" s="4">
        <v>6834.9789757086246</v>
      </c>
      <c r="S7" s="4">
        <v>0</v>
      </c>
      <c r="T7" s="4">
        <v>210682.59370178785</v>
      </c>
      <c r="U7" s="4">
        <v>0</v>
      </c>
      <c r="V7" s="4">
        <v>2294484.6494219075</v>
      </c>
      <c r="W7" s="4">
        <v>1805.63</v>
      </c>
      <c r="X7" s="4">
        <v>3103.79</v>
      </c>
      <c r="Y7" s="4">
        <v>0</v>
      </c>
      <c r="Z7" s="4">
        <v>0</v>
      </c>
      <c r="AA7" s="3"/>
      <c r="AB7" s="3"/>
      <c r="AC7" s="3">
        <v>53210.8</v>
      </c>
    </row>
    <row r="8" spans="1:29" ht="14.4">
      <c r="A8" s="4">
        <v>7</v>
      </c>
      <c r="B8" s="4" t="s">
        <v>137</v>
      </c>
      <c r="C8" s="7" t="s">
        <v>21</v>
      </c>
      <c r="D8" s="5">
        <v>44965</v>
      </c>
      <c r="E8" s="3" t="s">
        <v>76</v>
      </c>
      <c r="F8" s="4" t="s">
        <v>138</v>
      </c>
      <c r="G8" s="4" t="s">
        <v>77</v>
      </c>
      <c r="H8" s="4">
        <v>7.48</v>
      </c>
      <c r="I8" s="4">
        <v>5776.26</v>
      </c>
      <c r="J8" s="4" t="s">
        <v>78</v>
      </c>
      <c r="K8" s="4">
        <v>1</v>
      </c>
      <c r="L8" s="4">
        <v>66.114000000000004</v>
      </c>
      <c r="M8" s="4">
        <v>698500</v>
      </c>
      <c r="N8" s="4">
        <v>63505.2</v>
      </c>
      <c r="O8" s="4">
        <v>21926.127597785638</v>
      </c>
      <c r="P8" s="4">
        <v>5656.8956650633754</v>
      </c>
      <c r="Q8" s="4">
        <v>20975.769126054995</v>
      </c>
      <c r="R8" s="4">
        <v>1029.5550110415345</v>
      </c>
      <c r="S8" s="4">
        <v>0</v>
      </c>
      <c r="T8" s="4">
        <v>31735.184681005536</v>
      </c>
      <c r="U8" s="4">
        <v>0</v>
      </c>
      <c r="V8" s="4">
        <v>843328.7320809511</v>
      </c>
      <c r="W8" s="4">
        <v>663.65</v>
      </c>
      <c r="X8" s="4">
        <v>3103.79</v>
      </c>
      <c r="Y8" s="4">
        <v>1</v>
      </c>
      <c r="Z8" s="4">
        <v>3103.79</v>
      </c>
      <c r="AA8" s="3"/>
      <c r="AB8" s="3"/>
      <c r="AC8" s="3">
        <v>15964.199999999999</v>
      </c>
    </row>
    <row r="9" spans="1:29" ht="14.4">
      <c r="A9" s="4">
        <v>8</v>
      </c>
      <c r="B9" s="4" t="s">
        <v>137</v>
      </c>
      <c r="C9" s="7" t="s">
        <v>21</v>
      </c>
      <c r="D9" s="5">
        <v>44965</v>
      </c>
      <c r="E9" s="3" t="s">
        <v>76</v>
      </c>
      <c r="F9" s="4" t="s">
        <v>139</v>
      </c>
      <c r="G9" s="4" t="s">
        <v>77</v>
      </c>
      <c r="H9" s="4">
        <v>8.9760000000000009</v>
      </c>
      <c r="I9" s="4">
        <v>3852</v>
      </c>
      <c r="J9" s="4" t="s">
        <v>78</v>
      </c>
      <c r="K9" s="4">
        <v>1</v>
      </c>
      <c r="L9" s="4">
        <v>66.114000000000004</v>
      </c>
      <c r="M9" s="4">
        <v>632500</v>
      </c>
      <c r="N9" s="4">
        <v>76206.240000000005</v>
      </c>
      <c r="O9" s="4">
        <v>26311.353117342773</v>
      </c>
      <c r="P9" s="4">
        <v>6788.2747980760505</v>
      </c>
      <c r="Q9" s="4">
        <v>25170.922951265995</v>
      </c>
      <c r="R9" s="4">
        <v>1235.4660132498414</v>
      </c>
      <c r="S9" s="4">
        <v>0</v>
      </c>
      <c r="T9" s="4">
        <v>38082.221617206647</v>
      </c>
      <c r="U9" s="4">
        <v>0</v>
      </c>
      <c r="V9" s="4">
        <v>806294.47849714139</v>
      </c>
      <c r="W9" s="4">
        <v>634.51</v>
      </c>
      <c r="X9" s="4">
        <v>3103.79</v>
      </c>
      <c r="Y9" s="4">
        <v>0</v>
      </c>
      <c r="Z9" s="4">
        <v>0</v>
      </c>
      <c r="AA9" s="3"/>
      <c r="AB9" s="3"/>
      <c r="AC9" s="3">
        <v>12667.2</v>
      </c>
    </row>
    <row r="10" spans="1:29" ht="14.4">
      <c r="A10" s="4">
        <v>9</v>
      </c>
      <c r="B10" s="4" t="s">
        <v>137</v>
      </c>
      <c r="C10" s="7" t="s">
        <v>21</v>
      </c>
      <c r="D10" s="5">
        <v>44965</v>
      </c>
      <c r="E10" s="3" t="s">
        <v>76</v>
      </c>
      <c r="F10" s="4" t="s">
        <v>140</v>
      </c>
      <c r="G10" s="4" t="s">
        <v>79</v>
      </c>
      <c r="H10" s="4">
        <v>49.658000000000001</v>
      </c>
      <c r="I10" s="4">
        <v>2898.72</v>
      </c>
      <c r="J10" s="4" t="s">
        <v>78</v>
      </c>
      <c r="K10" s="4">
        <v>1</v>
      </c>
      <c r="L10" s="4">
        <v>66.114000000000004</v>
      </c>
      <c r="M10" s="4">
        <v>1333000</v>
      </c>
      <c r="N10" s="4">
        <v>421596.42</v>
      </c>
      <c r="O10" s="4">
        <v>145562.51928487158</v>
      </c>
      <c r="P10" s="4">
        <v>37554.829536860576</v>
      </c>
      <c r="Q10" s="4">
        <v>139253.307922679</v>
      </c>
      <c r="R10" s="4">
        <v>6834.9789757086246</v>
      </c>
      <c r="S10" s="4">
        <v>0</v>
      </c>
      <c r="T10" s="4">
        <v>210682.59370178785</v>
      </c>
      <c r="U10" s="4">
        <v>0</v>
      </c>
      <c r="V10" s="4">
        <v>2294484.6494219075</v>
      </c>
      <c r="W10" s="4">
        <v>1805.63</v>
      </c>
      <c r="X10" s="4">
        <v>3103.79</v>
      </c>
      <c r="Y10" s="4">
        <v>0</v>
      </c>
      <c r="Z10" s="4">
        <v>0</v>
      </c>
      <c r="AA10" s="3"/>
      <c r="AB10" s="3"/>
      <c r="AC10" s="3">
        <v>56208.959999999999</v>
      </c>
    </row>
    <row r="11" spans="1:29" ht="14.4">
      <c r="A11" s="4">
        <v>10</v>
      </c>
      <c r="B11" s="4" t="s">
        <v>141</v>
      </c>
      <c r="C11" s="7" t="s">
        <v>21</v>
      </c>
      <c r="D11" s="5">
        <v>44965</v>
      </c>
      <c r="E11" s="3" t="s">
        <v>76</v>
      </c>
      <c r="F11" s="4" t="s">
        <v>142</v>
      </c>
      <c r="G11" s="4" t="s">
        <v>77</v>
      </c>
      <c r="H11" s="4">
        <v>7.48</v>
      </c>
      <c r="I11" s="4">
        <v>5776</v>
      </c>
      <c r="J11" s="4" t="s">
        <v>78</v>
      </c>
      <c r="K11" s="4">
        <v>1</v>
      </c>
      <c r="L11" s="4">
        <v>66.114000000000004</v>
      </c>
      <c r="M11" s="4">
        <v>698500</v>
      </c>
      <c r="N11" s="4">
        <v>63505.2</v>
      </c>
      <c r="O11" s="4">
        <v>21926.127597785638</v>
      </c>
      <c r="P11" s="4">
        <v>5656.8956650633754</v>
      </c>
      <c r="Q11" s="4">
        <v>20975.769126054995</v>
      </c>
      <c r="R11" s="4">
        <v>1029.5550110415345</v>
      </c>
      <c r="S11" s="4">
        <v>0</v>
      </c>
      <c r="T11" s="4">
        <v>31735.184681005536</v>
      </c>
      <c r="U11" s="4">
        <v>0</v>
      </c>
      <c r="V11" s="4">
        <v>843328.7320809511</v>
      </c>
      <c r="W11" s="4">
        <v>663.65</v>
      </c>
      <c r="X11" s="4">
        <v>3103.79</v>
      </c>
      <c r="Y11" s="4">
        <v>1</v>
      </c>
      <c r="Z11" s="4">
        <v>3103.79</v>
      </c>
      <c r="AA11" s="3"/>
      <c r="AB11" s="3"/>
      <c r="AC11" s="3">
        <v>15964.199999999999</v>
      </c>
    </row>
    <row r="12" spans="1:29" ht="14.4">
      <c r="A12" s="4">
        <v>11</v>
      </c>
      <c r="B12" s="4" t="s">
        <v>141</v>
      </c>
      <c r="C12" s="7" t="s">
        <v>21</v>
      </c>
      <c r="D12" s="5">
        <v>44965</v>
      </c>
      <c r="E12" s="3" t="s">
        <v>76</v>
      </c>
      <c r="F12" s="4" t="s">
        <v>143</v>
      </c>
      <c r="G12" s="4" t="s">
        <v>77</v>
      </c>
      <c r="H12" s="4">
        <v>8.9760000000000009</v>
      </c>
      <c r="I12" s="4">
        <v>3852</v>
      </c>
      <c r="J12" s="4" t="s">
        <v>78</v>
      </c>
      <c r="K12" s="4">
        <v>1</v>
      </c>
      <c r="L12" s="4">
        <v>66.114000000000004</v>
      </c>
      <c r="M12" s="4">
        <v>632500</v>
      </c>
      <c r="N12" s="4">
        <v>76206.240000000005</v>
      </c>
      <c r="O12" s="4">
        <v>26311.353117342773</v>
      </c>
      <c r="P12" s="4">
        <v>6788.2747980760505</v>
      </c>
      <c r="Q12" s="4">
        <v>25170.922951265995</v>
      </c>
      <c r="R12" s="4">
        <v>1235.4660132498414</v>
      </c>
      <c r="S12" s="4">
        <v>0</v>
      </c>
      <c r="T12" s="4">
        <v>38082.221617206647</v>
      </c>
      <c r="U12" s="4">
        <v>0</v>
      </c>
      <c r="V12" s="4">
        <v>806294.47849714139</v>
      </c>
      <c r="W12" s="4">
        <v>634.51</v>
      </c>
      <c r="X12" s="4">
        <v>3103.79</v>
      </c>
      <c r="Y12" s="4">
        <v>0</v>
      </c>
      <c r="Z12" s="4">
        <v>0</v>
      </c>
      <c r="AA12" s="3"/>
      <c r="AB12" s="3"/>
      <c r="AC12" s="3">
        <v>12667.2</v>
      </c>
    </row>
    <row r="13" spans="1:29" ht="14.4">
      <c r="A13" s="4">
        <v>12</v>
      </c>
      <c r="B13" s="4" t="s">
        <v>141</v>
      </c>
      <c r="C13" s="7" t="s">
        <v>21</v>
      </c>
      <c r="D13" s="5">
        <v>44965</v>
      </c>
      <c r="E13" s="3" t="s">
        <v>76</v>
      </c>
      <c r="F13" s="4" t="s">
        <v>144</v>
      </c>
      <c r="G13" s="4" t="s">
        <v>79</v>
      </c>
      <c r="H13" s="4">
        <v>49.658000000000001</v>
      </c>
      <c r="I13" s="4">
        <v>2027.63</v>
      </c>
      <c r="J13" s="4" t="s">
        <v>78</v>
      </c>
      <c r="K13" s="4">
        <v>1</v>
      </c>
      <c r="L13" s="4">
        <v>66.114000000000004</v>
      </c>
      <c r="M13" s="4">
        <v>1333000</v>
      </c>
      <c r="N13" s="4">
        <v>421596.42</v>
      </c>
      <c r="O13" s="4">
        <v>145562.51928487158</v>
      </c>
      <c r="P13" s="4">
        <v>37554.829536860576</v>
      </c>
      <c r="Q13" s="4">
        <v>139253.307922679</v>
      </c>
      <c r="R13" s="4">
        <v>6834.9789757086246</v>
      </c>
      <c r="S13" s="4">
        <v>0</v>
      </c>
      <c r="T13" s="4">
        <v>210682.59370178785</v>
      </c>
      <c r="U13" s="4">
        <v>0</v>
      </c>
      <c r="V13" s="4">
        <v>2294484.6494219075</v>
      </c>
      <c r="W13" s="4">
        <v>1805.63</v>
      </c>
      <c r="X13" s="4">
        <v>3103.79</v>
      </c>
      <c r="Y13" s="4">
        <v>0</v>
      </c>
      <c r="Z13" s="4">
        <v>0</v>
      </c>
      <c r="AA13" s="3"/>
      <c r="AB13" s="3"/>
      <c r="AC13" s="3">
        <v>28259.279999999999</v>
      </c>
    </row>
    <row r="14" spans="1:29" ht="14.4">
      <c r="A14" s="4">
        <v>13</v>
      </c>
      <c r="B14" s="4" t="s">
        <v>145</v>
      </c>
      <c r="C14" s="7" t="s">
        <v>21</v>
      </c>
      <c r="D14" s="5">
        <v>44965</v>
      </c>
      <c r="E14" s="3" t="s">
        <v>76</v>
      </c>
      <c r="F14" s="4" t="s">
        <v>146</v>
      </c>
      <c r="G14" s="4" t="s">
        <v>77</v>
      </c>
      <c r="H14" s="4">
        <v>23.936</v>
      </c>
      <c r="I14" s="4">
        <v>18484</v>
      </c>
      <c r="J14" s="4" t="s">
        <v>78</v>
      </c>
      <c r="K14" s="4">
        <v>1</v>
      </c>
      <c r="L14" s="4">
        <v>52.676000000000002</v>
      </c>
      <c r="M14" s="4">
        <v>1450500</v>
      </c>
      <c r="N14" s="4">
        <v>203216.64000000001</v>
      </c>
      <c r="O14" s="4">
        <v>88062.814184828007</v>
      </c>
      <c r="P14" s="4">
        <v>22720.02429949123</v>
      </c>
      <c r="Q14" s="4">
        <v>84245.850102513476</v>
      </c>
      <c r="R14" s="4">
        <v>4135.0444225074034</v>
      </c>
      <c r="S14" s="4">
        <v>0</v>
      </c>
      <c r="T14" s="4">
        <v>127459.3363201458</v>
      </c>
      <c r="U14" s="4">
        <v>0</v>
      </c>
      <c r="V14" s="4">
        <v>1980339.7093294859</v>
      </c>
      <c r="W14" s="4">
        <v>1558.41</v>
      </c>
      <c r="X14" s="4">
        <v>2860.9399999999996</v>
      </c>
      <c r="Y14" s="4">
        <v>1</v>
      </c>
      <c r="Z14" s="4">
        <v>2860.9399999999996</v>
      </c>
      <c r="AA14" s="3"/>
      <c r="AB14" s="3"/>
      <c r="AC14" s="3">
        <v>51085.439999999995</v>
      </c>
    </row>
    <row r="15" spans="1:29" ht="14.4">
      <c r="A15" s="4">
        <v>14</v>
      </c>
      <c r="B15" s="4" t="s">
        <v>145</v>
      </c>
      <c r="C15" s="7" t="s">
        <v>21</v>
      </c>
      <c r="D15" s="5">
        <v>44965</v>
      </c>
      <c r="E15" s="3" t="s">
        <v>76</v>
      </c>
      <c r="F15" s="4" t="s">
        <v>147</v>
      </c>
      <c r="G15" s="4" t="s">
        <v>148</v>
      </c>
      <c r="H15" s="4">
        <v>16.64</v>
      </c>
      <c r="I15" s="4">
        <v>2026.88</v>
      </c>
      <c r="J15" s="4" t="s">
        <v>78</v>
      </c>
      <c r="K15" s="4">
        <v>1</v>
      </c>
      <c r="L15" s="4">
        <v>52.676000000000002</v>
      </c>
      <c r="M15" s="4">
        <v>640000</v>
      </c>
      <c r="N15" s="4">
        <v>141273.60000000001</v>
      </c>
      <c r="O15" s="4">
        <v>61220.138203356371</v>
      </c>
      <c r="P15" s="4">
        <v>15794.669299111549</v>
      </c>
      <c r="Q15" s="4">
        <v>58566.633761105622</v>
      </c>
      <c r="R15" s="4">
        <v>2874.629812438302</v>
      </c>
      <c r="S15" s="4">
        <v>0</v>
      </c>
      <c r="T15" s="4">
        <v>88608.094768015799</v>
      </c>
      <c r="U15" s="4">
        <v>0</v>
      </c>
      <c r="V15" s="4">
        <v>1008337.7658440276</v>
      </c>
      <c r="W15" s="4">
        <v>793.5</v>
      </c>
      <c r="X15" s="4">
        <v>2860.9399999999996</v>
      </c>
      <c r="Y15" s="4">
        <v>0</v>
      </c>
      <c r="Z15" s="4">
        <v>0</v>
      </c>
      <c r="AA15" s="3"/>
      <c r="AB15" s="3"/>
      <c r="AC15" s="3">
        <v>11923.2</v>
      </c>
    </row>
    <row r="16" spans="1:29" ht="14.4">
      <c r="A16" s="4">
        <v>15</v>
      </c>
      <c r="B16" s="4" t="s">
        <v>145</v>
      </c>
      <c r="C16" s="7" t="s">
        <v>21</v>
      </c>
      <c r="D16" s="5">
        <v>44965</v>
      </c>
      <c r="E16" s="3" t="s">
        <v>76</v>
      </c>
      <c r="F16" s="4" t="s">
        <v>149</v>
      </c>
      <c r="G16" s="4" t="s">
        <v>80</v>
      </c>
      <c r="H16" s="4">
        <v>4.9000000000000004</v>
      </c>
      <c r="I16" s="4">
        <v>1315</v>
      </c>
      <c r="J16" s="4" t="s">
        <v>78</v>
      </c>
      <c r="K16" s="4">
        <v>1</v>
      </c>
      <c r="L16" s="4">
        <v>52.676000000000002</v>
      </c>
      <c r="M16" s="4">
        <v>147000</v>
      </c>
      <c r="N16" s="4">
        <v>41601</v>
      </c>
      <c r="O16" s="4">
        <v>18027.56473536335</v>
      </c>
      <c r="P16" s="4">
        <v>4651.0744931278005</v>
      </c>
      <c r="Q16" s="4">
        <v>17246.184220517884</v>
      </c>
      <c r="R16" s="4">
        <v>846.49555774925966</v>
      </c>
      <c r="S16" s="4">
        <v>0</v>
      </c>
      <c r="T16" s="4">
        <v>26092.527906446961</v>
      </c>
      <c r="U16" s="4">
        <v>0</v>
      </c>
      <c r="V16" s="4">
        <v>255464.84691320529</v>
      </c>
      <c r="W16" s="4">
        <v>201.04</v>
      </c>
      <c r="X16" s="4">
        <v>2860.9399999999996</v>
      </c>
      <c r="Y16" s="4">
        <v>0</v>
      </c>
      <c r="Z16" s="4">
        <v>0</v>
      </c>
      <c r="AA16" s="3"/>
      <c r="AB16" s="3"/>
      <c r="AC16" s="3">
        <v>17696</v>
      </c>
    </row>
    <row r="17" spans="1:29" ht="14.4">
      <c r="A17" s="4">
        <v>16</v>
      </c>
      <c r="B17" s="4" t="s">
        <v>145</v>
      </c>
      <c r="C17" s="7" t="s">
        <v>21</v>
      </c>
      <c r="D17" s="5">
        <v>44965</v>
      </c>
      <c r="E17" s="3" t="s">
        <v>76</v>
      </c>
      <c r="F17" s="4" t="s">
        <v>150</v>
      </c>
      <c r="G17" s="4" t="s">
        <v>80</v>
      </c>
      <c r="H17" s="4">
        <v>7.2</v>
      </c>
      <c r="I17" s="4">
        <v>672</v>
      </c>
      <c r="J17" s="4" t="s">
        <v>78</v>
      </c>
      <c r="K17" s="4">
        <v>1</v>
      </c>
      <c r="L17" s="4">
        <v>52.676000000000002</v>
      </c>
      <c r="M17" s="4">
        <v>232000</v>
      </c>
      <c r="N17" s="4">
        <v>61128</v>
      </c>
      <c r="O17" s="4">
        <v>26489.482876452275</v>
      </c>
      <c r="P17" s="4">
        <v>6834.2319082694212</v>
      </c>
      <c r="Q17" s="4">
        <v>25341.331915863015</v>
      </c>
      <c r="R17" s="4">
        <v>1243.8302073050347</v>
      </c>
      <c r="S17" s="4">
        <v>0</v>
      </c>
      <c r="T17" s="4">
        <v>38340.041005391453</v>
      </c>
      <c r="U17" s="4">
        <v>0</v>
      </c>
      <c r="V17" s="4">
        <v>391376.91791328118</v>
      </c>
      <c r="W17" s="4">
        <v>307.99</v>
      </c>
      <c r="X17" s="4">
        <v>2860.9399999999996</v>
      </c>
      <c r="Y17" s="4">
        <v>0</v>
      </c>
      <c r="Z17" s="4">
        <v>0</v>
      </c>
      <c r="AA17" s="3"/>
      <c r="AB17" s="3"/>
      <c r="AC17" s="3">
        <v>6720</v>
      </c>
    </row>
    <row r="18" spans="1:29" ht="14.4">
      <c r="A18" s="4">
        <v>17</v>
      </c>
      <c r="B18" s="4" t="s">
        <v>151</v>
      </c>
      <c r="C18" s="7" t="s">
        <v>21</v>
      </c>
      <c r="D18" s="5">
        <v>44965</v>
      </c>
      <c r="E18" s="3" t="s">
        <v>76</v>
      </c>
      <c r="F18" s="4" t="s">
        <v>152</v>
      </c>
      <c r="G18" s="4" t="s">
        <v>77</v>
      </c>
      <c r="H18" s="4">
        <v>23.936</v>
      </c>
      <c r="I18" s="4">
        <v>18484</v>
      </c>
      <c r="J18" s="4" t="s">
        <v>78</v>
      </c>
      <c r="K18" s="4">
        <v>1</v>
      </c>
      <c r="L18" s="4">
        <v>47.129000000000005</v>
      </c>
      <c r="M18" s="4">
        <v>1450500</v>
      </c>
      <c r="N18" s="4">
        <v>203216.64000000001</v>
      </c>
      <c r="O18" s="4">
        <v>98427.651764306458</v>
      </c>
      <c r="P18" s="4">
        <v>25394.131002143051</v>
      </c>
      <c r="Q18" s="4">
        <v>94161.437755946434</v>
      </c>
      <c r="R18" s="4">
        <v>4621.7318423900351</v>
      </c>
      <c r="S18" s="4">
        <v>0</v>
      </c>
      <c r="T18" s="4">
        <v>142461.0749220225</v>
      </c>
      <c r="U18" s="4">
        <v>0</v>
      </c>
      <c r="V18" s="4">
        <v>2018782.6672868088</v>
      </c>
      <c r="W18" s="4">
        <v>1588.67</v>
      </c>
      <c r="X18" s="4">
        <v>2875.83</v>
      </c>
      <c r="Y18" s="4">
        <v>1</v>
      </c>
      <c r="Z18" s="4">
        <v>2875.83</v>
      </c>
      <c r="AA18" s="3"/>
      <c r="AB18" s="3"/>
      <c r="AC18" s="3">
        <v>51085.439999999995</v>
      </c>
    </row>
    <row r="19" spans="1:29" ht="14.4">
      <c r="A19" s="4">
        <v>18</v>
      </c>
      <c r="B19" s="4" t="s">
        <v>151</v>
      </c>
      <c r="C19" s="7" t="s">
        <v>21</v>
      </c>
      <c r="D19" s="5">
        <v>44965</v>
      </c>
      <c r="E19" s="3" t="s">
        <v>76</v>
      </c>
      <c r="F19" s="4" t="s">
        <v>153</v>
      </c>
      <c r="G19" s="4" t="s">
        <v>81</v>
      </c>
      <c r="H19" s="4">
        <v>20.21</v>
      </c>
      <c r="I19" s="4">
        <v>2669.28</v>
      </c>
      <c r="J19" s="4" t="s">
        <v>78</v>
      </c>
      <c r="K19" s="4">
        <v>1</v>
      </c>
      <c r="L19" s="4">
        <v>47.129000000000005</v>
      </c>
      <c r="M19" s="4">
        <v>532000</v>
      </c>
      <c r="N19" s="4">
        <v>171582.9</v>
      </c>
      <c r="O19" s="4">
        <v>83105.900825394128</v>
      </c>
      <c r="P19" s="4">
        <v>21441.150883744613</v>
      </c>
      <c r="Q19" s="4">
        <v>79503.787476925034</v>
      </c>
      <c r="R19" s="4">
        <v>3902.2894608415199</v>
      </c>
      <c r="S19" s="4">
        <v>0</v>
      </c>
      <c r="T19" s="4">
        <v>120284.85645780728</v>
      </c>
      <c r="U19" s="4">
        <v>0</v>
      </c>
      <c r="V19" s="4">
        <v>1011820.8851047126</v>
      </c>
      <c r="W19" s="4">
        <v>796.25</v>
      </c>
      <c r="X19" s="4">
        <v>2875.83</v>
      </c>
      <c r="Y19" s="4">
        <v>0</v>
      </c>
      <c r="Z19" s="4">
        <v>0</v>
      </c>
      <c r="AA19" s="3"/>
      <c r="AB19" s="3"/>
      <c r="AC19" s="3">
        <v>112183.44</v>
      </c>
    </row>
    <row r="20" spans="1:29" ht="14.4">
      <c r="A20" s="4">
        <v>19</v>
      </c>
      <c r="B20" s="4" t="s">
        <v>151</v>
      </c>
      <c r="C20" s="7" t="s">
        <v>21</v>
      </c>
      <c r="D20" s="5">
        <v>44965</v>
      </c>
      <c r="E20" s="3" t="s">
        <v>76</v>
      </c>
      <c r="F20" s="4" t="s">
        <v>154</v>
      </c>
      <c r="G20" s="4" t="s">
        <v>155</v>
      </c>
      <c r="H20" s="4">
        <v>2.5270000000000001</v>
      </c>
      <c r="I20" s="4">
        <v>250</v>
      </c>
      <c r="J20" s="4" t="s">
        <v>78</v>
      </c>
      <c r="K20" s="4">
        <v>1</v>
      </c>
      <c r="L20" s="4">
        <v>47.129000000000005</v>
      </c>
      <c r="M20" s="4">
        <v>288000</v>
      </c>
      <c r="N20" s="4">
        <v>21454.23</v>
      </c>
      <c r="O20" s="4">
        <v>10391.321691527508</v>
      </c>
      <c r="P20" s="4">
        <v>2680.9395488977061</v>
      </c>
      <c r="Q20" s="4">
        <v>9940.9238473126934</v>
      </c>
      <c r="R20" s="4">
        <v>487.93099789938248</v>
      </c>
      <c r="S20" s="4">
        <v>0</v>
      </c>
      <c r="T20" s="4">
        <v>15040.07086931613</v>
      </c>
      <c r="U20" s="4">
        <v>0</v>
      </c>
      <c r="V20" s="4">
        <v>347995.4169549534</v>
      </c>
      <c r="W20" s="4">
        <v>273.85000000000002</v>
      </c>
      <c r="X20" s="4">
        <v>2875.83</v>
      </c>
      <c r="Y20" s="4">
        <v>0</v>
      </c>
      <c r="Z20" s="4">
        <v>0</v>
      </c>
      <c r="AA20" s="3"/>
      <c r="AB20" s="3"/>
      <c r="AC20" s="3">
        <v>10137.6</v>
      </c>
    </row>
    <row r="21" spans="1:29" ht="14.4">
      <c r="A21" s="4">
        <v>20</v>
      </c>
      <c r="B21" s="4" t="s">
        <v>151</v>
      </c>
      <c r="C21" s="7" t="s">
        <v>21</v>
      </c>
      <c r="D21" s="5">
        <v>44965</v>
      </c>
      <c r="E21" s="3" t="s">
        <v>76</v>
      </c>
      <c r="F21" s="4" t="s">
        <v>294</v>
      </c>
      <c r="G21" s="4" t="s">
        <v>82</v>
      </c>
      <c r="H21" s="4">
        <v>0.45600000000000002</v>
      </c>
      <c r="I21" s="4">
        <v>85</v>
      </c>
      <c r="J21" s="4" t="s">
        <v>78</v>
      </c>
      <c r="K21" s="4">
        <v>1</v>
      </c>
      <c r="L21" s="4">
        <v>47.129000000000005</v>
      </c>
      <c r="M21" s="4">
        <v>265000</v>
      </c>
      <c r="N21" s="4">
        <v>3871.44</v>
      </c>
      <c r="O21" s="4">
        <v>1875.1257187718816</v>
      </c>
      <c r="P21" s="4">
        <v>483.77856521462365</v>
      </c>
      <c r="Q21" s="4">
        <v>1793.8509198158249</v>
      </c>
      <c r="R21" s="4">
        <v>88.04769886906152</v>
      </c>
      <c r="S21" s="4">
        <v>0</v>
      </c>
      <c r="T21" s="4">
        <v>2713.9977508540392</v>
      </c>
      <c r="U21" s="4">
        <v>0</v>
      </c>
      <c r="V21" s="4">
        <v>275826.24065352546</v>
      </c>
      <c r="W21" s="4">
        <v>217.06</v>
      </c>
      <c r="X21" s="4">
        <v>2875.83</v>
      </c>
      <c r="Y21" s="4">
        <v>0</v>
      </c>
      <c r="Z21" s="4">
        <v>0</v>
      </c>
      <c r="AA21" s="3"/>
      <c r="AB21" s="3"/>
      <c r="AC21" s="3">
        <v>10291.200000000001</v>
      </c>
    </row>
    <row r="22" spans="1:29" ht="14.4">
      <c r="A22" s="4">
        <v>21</v>
      </c>
      <c r="B22" s="4" t="s">
        <v>156</v>
      </c>
      <c r="C22" s="7" t="s">
        <v>21</v>
      </c>
      <c r="D22" s="5">
        <v>44965</v>
      </c>
      <c r="E22" s="3" t="s">
        <v>76</v>
      </c>
      <c r="F22" s="4" t="s">
        <v>157</v>
      </c>
      <c r="G22" s="4" t="s">
        <v>77</v>
      </c>
      <c r="H22" s="4">
        <v>17.952000000000002</v>
      </c>
      <c r="I22" s="4">
        <v>13863</v>
      </c>
      <c r="J22" s="4" t="s">
        <v>78</v>
      </c>
      <c r="K22" s="4">
        <v>1</v>
      </c>
      <c r="L22" s="4">
        <v>51.385000000000005</v>
      </c>
      <c r="M22" s="4">
        <v>1384500</v>
      </c>
      <c r="N22" s="4">
        <v>152412.48000000001</v>
      </c>
      <c r="O22" s="4">
        <v>67706.482436508712</v>
      </c>
      <c r="P22" s="4">
        <v>17468.132723557457</v>
      </c>
      <c r="Q22" s="4">
        <v>64771.836138951054</v>
      </c>
      <c r="R22" s="4">
        <v>3179.2001556874575</v>
      </c>
      <c r="S22" s="4">
        <v>0</v>
      </c>
      <c r="T22" s="4">
        <v>97996.224579157337</v>
      </c>
      <c r="U22" s="4">
        <v>0</v>
      </c>
      <c r="V22" s="4">
        <v>1788034.3560338621</v>
      </c>
      <c r="W22" s="4">
        <v>1407.08</v>
      </c>
      <c r="X22" s="4">
        <v>2672.11</v>
      </c>
      <c r="Y22" s="4">
        <v>1</v>
      </c>
      <c r="Z22" s="4">
        <v>2672.11</v>
      </c>
      <c r="AA22" s="3"/>
      <c r="AB22" s="3"/>
      <c r="AC22" s="3">
        <v>38314.079999999994</v>
      </c>
    </row>
    <row r="23" spans="1:29" ht="14.4">
      <c r="A23" s="4">
        <v>22</v>
      </c>
      <c r="B23" s="4" t="s">
        <v>156</v>
      </c>
      <c r="C23" s="7" t="s">
        <v>21</v>
      </c>
      <c r="D23" s="5">
        <v>44965</v>
      </c>
      <c r="E23" s="3" t="s">
        <v>76</v>
      </c>
      <c r="F23" s="4" t="s">
        <v>158</v>
      </c>
      <c r="G23" s="4" t="s">
        <v>83</v>
      </c>
      <c r="H23" s="4">
        <v>30.751000000000001</v>
      </c>
      <c r="I23" s="4">
        <v>5519</v>
      </c>
      <c r="J23" s="4" t="s">
        <v>78</v>
      </c>
      <c r="K23" s="4">
        <v>1</v>
      </c>
      <c r="L23" s="4">
        <v>51.385000000000005</v>
      </c>
      <c r="M23" s="4">
        <v>635000</v>
      </c>
      <c r="N23" s="4">
        <v>261075.99</v>
      </c>
      <c r="O23" s="4">
        <v>115978.2777075022</v>
      </c>
      <c r="P23" s="4">
        <v>29922.156271285396</v>
      </c>
      <c r="Q23" s="4">
        <v>110951.35545392624</v>
      </c>
      <c r="R23" s="4">
        <v>5445.8324413739419</v>
      </c>
      <c r="S23" s="4">
        <v>0</v>
      </c>
      <c r="T23" s="4">
        <v>167863.29668191107</v>
      </c>
      <c r="U23" s="4">
        <v>0</v>
      </c>
      <c r="V23" s="4">
        <v>1326236.9085559987</v>
      </c>
      <c r="W23" s="4">
        <v>1043.67</v>
      </c>
      <c r="X23" s="4">
        <v>2672.11</v>
      </c>
      <c r="Y23" s="4">
        <v>0</v>
      </c>
      <c r="Z23" s="4">
        <v>0</v>
      </c>
      <c r="AA23" s="3"/>
      <c r="AB23" s="3"/>
      <c r="AC23" s="3">
        <v>27849.599999999999</v>
      </c>
    </row>
    <row r="24" spans="1:29" ht="14.4">
      <c r="A24" s="4">
        <v>23</v>
      </c>
      <c r="B24" s="4" t="s">
        <v>156</v>
      </c>
      <c r="C24" s="7" t="s">
        <v>21</v>
      </c>
      <c r="D24" s="5">
        <v>44965</v>
      </c>
      <c r="E24" s="3" t="s">
        <v>76</v>
      </c>
      <c r="F24" s="4" t="s">
        <v>159</v>
      </c>
      <c r="G24" s="4" t="s">
        <v>84</v>
      </c>
      <c r="H24" s="4">
        <v>2.6819999999999999</v>
      </c>
      <c r="I24" s="4">
        <v>1632</v>
      </c>
      <c r="J24" s="4" t="s">
        <v>78</v>
      </c>
      <c r="K24" s="4">
        <v>1</v>
      </c>
      <c r="L24" s="4">
        <v>51.385000000000005</v>
      </c>
      <c r="M24" s="4">
        <v>221000</v>
      </c>
      <c r="N24" s="4">
        <v>22770.18</v>
      </c>
      <c r="O24" s="4">
        <v>10115.239855989101</v>
      </c>
      <c r="P24" s="4">
        <v>2609.7110051571467</v>
      </c>
      <c r="Q24" s="4">
        <v>9676.8084071226986</v>
      </c>
      <c r="R24" s="4">
        <v>474.96740293860074</v>
      </c>
      <c r="S24" s="4">
        <v>0</v>
      </c>
      <c r="T24" s="4">
        <v>14640.478738931592</v>
      </c>
      <c r="U24" s="4">
        <v>0</v>
      </c>
      <c r="V24" s="4">
        <v>281287.3854101391</v>
      </c>
      <c r="W24" s="4">
        <v>221.36</v>
      </c>
      <c r="X24" s="4">
        <v>2672.11</v>
      </c>
      <c r="Y24" s="4">
        <v>0</v>
      </c>
      <c r="Z24" s="4">
        <v>0</v>
      </c>
      <c r="AA24" s="3"/>
      <c r="AB24" s="3"/>
      <c r="AC24" s="3">
        <v>8100</v>
      </c>
    </row>
    <row r="25" spans="1:29" ht="14.4">
      <c r="A25" s="4">
        <v>24</v>
      </c>
      <c r="B25" s="4" t="s">
        <v>160</v>
      </c>
      <c r="C25" s="7" t="s">
        <v>21</v>
      </c>
      <c r="D25" s="5">
        <v>44965</v>
      </c>
      <c r="E25" s="3" t="s">
        <v>76</v>
      </c>
      <c r="F25" s="4" t="s">
        <v>161</v>
      </c>
      <c r="G25" s="4" t="s">
        <v>77</v>
      </c>
      <c r="H25" s="4">
        <v>17.448</v>
      </c>
      <c r="I25" s="4">
        <v>7853</v>
      </c>
      <c r="J25" s="4" t="s">
        <v>78</v>
      </c>
      <c r="K25" s="4">
        <v>1</v>
      </c>
      <c r="L25" s="4">
        <v>61.037999999999997</v>
      </c>
      <c r="M25" s="4">
        <v>698500</v>
      </c>
      <c r="N25" s="4">
        <v>148133.51999999999</v>
      </c>
      <c r="O25" s="4">
        <v>55398.643468003538</v>
      </c>
      <c r="P25" s="4">
        <v>14292.73567285953</v>
      </c>
      <c r="Q25" s="4">
        <v>52997.463874963134</v>
      </c>
      <c r="R25" s="4">
        <v>2601.2778924604345</v>
      </c>
      <c r="S25" s="4">
        <v>0</v>
      </c>
      <c r="T25" s="4">
        <v>80182.24712474196</v>
      </c>
      <c r="U25" s="4">
        <v>0</v>
      </c>
      <c r="V25" s="4">
        <v>1052105.8880330285</v>
      </c>
      <c r="W25" s="4">
        <v>827.95</v>
      </c>
      <c r="X25" s="4">
        <v>2272.31</v>
      </c>
      <c r="Y25" s="4">
        <v>1</v>
      </c>
      <c r="Z25" s="4">
        <v>2272.31</v>
      </c>
      <c r="AA25" s="3"/>
      <c r="AB25" s="3"/>
      <c r="AC25" s="3">
        <v>37877.760000000002</v>
      </c>
    </row>
    <row r="26" spans="1:29" ht="14.4">
      <c r="A26" s="4">
        <v>25</v>
      </c>
      <c r="B26" s="4" t="s">
        <v>160</v>
      </c>
      <c r="C26" s="7" t="s">
        <v>21</v>
      </c>
      <c r="D26" s="5">
        <v>44965</v>
      </c>
      <c r="E26" s="3" t="s">
        <v>76</v>
      </c>
      <c r="F26" s="4" t="s">
        <v>162</v>
      </c>
      <c r="G26" s="4" t="s">
        <v>85</v>
      </c>
      <c r="H26" s="4">
        <v>43.59</v>
      </c>
      <c r="I26" s="4">
        <v>14638</v>
      </c>
      <c r="J26" s="4" t="s">
        <v>78</v>
      </c>
      <c r="K26" s="4">
        <v>1</v>
      </c>
      <c r="L26" s="4">
        <v>61.037999999999997</v>
      </c>
      <c r="M26" s="4">
        <v>952000</v>
      </c>
      <c r="N26" s="4">
        <v>370079.1</v>
      </c>
      <c r="O26" s="4">
        <v>138401.35653199643</v>
      </c>
      <c r="P26" s="4">
        <v>35707.264327140467</v>
      </c>
      <c r="Q26" s="4">
        <v>132402.53612503686</v>
      </c>
      <c r="R26" s="4">
        <v>6498.7221075395655</v>
      </c>
      <c r="S26" s="4">
        <v>0</v>
      </c>
      <c r="T26" s="4">
        <v>200317.75287525804</v>
      </c>
      <c r="U26" s="4">
        <v>0</v>
      </c>
      <c r="V26" s="4">
        <v>1835406.7319669717</v>
      </c>
      <c r="W26" s="4">
        <v>1444.36</v>
      </c>
      <c r="X26" s="4">
        <v>2272.31</v>
      </c>
      <c r="Y26" s="4">
        <v>0</v>
      </c>
      <c r="Z26" s="4">
        <v>0</v>
      </c>
      <c r="AA26" s="3"/>
      <c r="AB26" s="3"/>
      <c r="AC26" s="3">
        <v>64319.040000000001</v>
      </c>
    </row>
    <row r="27" spans="1:29" ht="14.4">
      <c r="A27" s="4">
        <v>26</v>
      </c>
      <c r="B27" s="4" t="s">
        <v>163</v>
      </c>
      <c r="C27" s="7" t="s">
        <v>21</v>
      </c>
      <c r="D27" s="5">
        <v>44965</v>
      </c>
      <c r="E27" s="3" t="s">
        <v>76</v>
      </c>
      <c r="F27" s="4" t="s">
        <v>164</v>
      </c>
      <c r="G27" s="4" t="s">
        <v>77</v>
      </c>
      <c r="H27" s="4">
        <v>10.178000000000001</v>
      </c>
      <c r="I27" s="4">
        <v>4580.9399999999996</v>
      </c>
      <c r="J27" s="4" t="s">
        <v>78</v>
      </c>
      <c r="K27" s="4">
        <v>1</v>
      </c>
      <c r="L27" s="4">
        <v>57.357999999999997</v>
      </c>
      <c r="M27" s="4">
        <v>632500</v>
      </c>
      <c r="N27" s="4">
        <v>86411.22</v>
      </c>
      <c r="O27" s="4">
        <v>34389.211618257264</v>
      </c>
      <c r="P27" s="4">
        <v>8872.3456187454231</v>
      </c>
      <c r="Q27" s="4">
        <v>32898.657554308033</v>
      </c>
      <c r="R27" s="4">
        <v>1614.7669026116671</v>
      </c>
      <c r="S27" s="4">
        <v>0</v>
      </c>
      <c r="T27" s="4">
        <v>49773.858921161831</v>
      </c>
      <c r="U27" s="4">
        <v>0</v>
      </c>
      <c r="V27" s="4">
        <v>846460.06061508437</v>
      </c>
      <c r="W27" s="4">
        <v>666.12</v>
      </c>
      <c r="X27" s="4">
        <v>2313.04</v>
      </c>
      <c r="Y27" s="4">
        <v>1</v>
      </c>
      <c r="Z27" s="4">
        <v>2313.04</v>
      </c>
      <c r="AA27" s="3"/>
      <c r="AB27" s="3"/>
      <c r="AC27" s="3">
        <v>22095.360000000001</v>
      </c>
    </row>
    <row r="28" spans="1:29" ht="14.4">
      <c r="A28" s="4">
        <v>27</v>
      </c>
      <c r="B28" s="4" t="s">
        <v>163</v>
      </c>
      <c r="C28" s="7" t="s">
        <v>21</v>
      </c>
      <c r="D28" s="5">
        <v>44965</v>
      </c>
      <c r="E28" s="3" t="s">
        <v>76</v>
      </c>
      <c r="F28" s="4" t="s">
        <v>165</v>
      </c>
      <c r="G28" s="4" t="s">
        <v>86</v>
      </c>
      <c r="H28" s="4">
        <v>47.18</v>
      </c>
      <c r="I28" s="4">
        <v>9489</v>
      </c>
      <c r="J28" s="4" t="s">
        <v>78</v>
      </c>
      <c r="K28" s="4">
        <v>1</v>
      </c>
      <c r="L28" s="4">
        <v>57.357999999999997</v>
      </c>
      <c r="M28" s="4">
        <v>1101000</v>
      </c>
      <c r="N28" s="4">
        <v>400558.2</v>
      </c>
      <c r="O28" s="4">
        <v>159410.78838174272</v>
      </c>
      <c r="P28" s="4">
        <v>41127.654381254571</v>
      </c>
      <c r="Q28" s="4">
        <v>152501.34244569196</v>
      </c>
      <c r="R28" s="4">
        <v>7485.2330973883327</v>
      </c>
      <c r="S28" s="4">
        <v>0</v>
      </c>
      <c r="T28" s="4">
        <v>230726.14107883815</v>
      </c>
      <c r="U28" s="4">
        <v>0</v>
      </c>
      <c r="V28" s="4">
        <v>2092809.359384916</v>
      </c>
      <c r="W28" s="4">
        <v>1646.92</v>
      </c>
      <c r="X28" s="4">
        <v>2313.04</v>
      </c>
      <c r="Y28" s="4">
        <v>0</v>
      </c>
      <c r="Z28" s="4">
        <v>0</v>
      </c>
      <c r="AA28" s="3"/>
      <c r="AB28" s="3"/>
      <c r="AC28" s="3">
        <v>64560.240000000005</v>
      </c>
    </row>
    <row r="29" spans="1:29" ht="14.4">
      <c r="A29" s="4">
        <v>28</v>
      </c>
      <c r="B29" s="4" t="s">
        <v>166</v>
      </c>
      <c r="C29" s="7" t="s">
        <v>21</v>
      </c>
      <c r="D29" s="5">
        <v>44965</v>
      </c>
      <c r="E29" s="3" t="s">
        <v>76</v>
      </c>
      <c r="F29" s="4" t="s">
        <v>167</v>
      </c>
      <c r="G29" s="4" t="s">
        <v>77</v>
      </c>
      <c r="H29" s="4">
        <v>17.448</v>
      </c>
      <c r="I29" s="4">
        <v>7853.04</v>
      </c>
      <c r="J29" s="4" t="s">
        <v>78</v>
      </c>
      <c r="K29" s="4">
        <v>1</v>
      </c>
      <c r="L29" s="4">
        <v>56.303999999999995</v>
      </c>
      <c r="M29" s="4">
        <v>698500</v>
      </c>
      <c r="N29" s="4">
        <v>148133.51999999999</v>
      </c>
      <c r="O29" s="4">
        <v>60056.52173913044</v>
      </c>
      <c r="P29" s="4">
        <v>15494.45865302643</v>
      </c>
      <c r="Q29" s="4">
        <v>57453.452685422002</v>
      </c>
      <c r="R29" s="4">
        <v>2819.9914748508104</v>
      </c>
      <c r="S29" s="4">
        <v>0</v>
      </c>
      <c r="T29" s="4">
        <v>86923.913043478271</v>
      </c>
      <c r="U29" s="4">
        <v>0</v>
      </c>
      <c r="V29" s="4">
        <v>1069381.857595908</v>
      </c>
      <c r="W29" s="4">
        <v>841.54</v>
      </c>
      <c r="X29" s="4">
        <v>2316.9700000000003</v>
      </c>
      <c r="Y29" s="4">
        <v>1</v>
      </c>
      <c r="Z29" s="4">
        <v>2316.9700000000003</v>
      </c>
      <c r="AA29" s="3"/>
      <c r="AB29" s="3"/>
      <c r="AC29" s="3">
        <v>37877.760000000002</v>
      </c>
    </row>
    <row r="30" spans="1:29" ht="14.4">
      <c r="A30" s="4">
        <v>29</v>
      </c>
      <c r="B30" s="4" t="s">
        <v>166</v>
      </c>
      <c r="C30" s="7" t="s">
        <v>21</v>
      </c>
      <c r="D30" s="5">
        <v>44965</v>
      </c>
      <c r="E30" s="3" t="s">
        <v>76</v>
      </c>
      <c r="F30" s="4" t="s">
        <v>168</v>
      </c>
      <c r="G30" s="4" t="s">
        <v>87</v>
      </c>
      <c r="H30" s="4">
        <v>4.6360000000000001</v>
      </c>
      <c r="I30" s="4">
        <v>1621.65</v>
      </c>
      <c r="J30" s="4" t="s">
        <v>88</v>
      </c>
      <c r="K30" s="4">
        <v>0</v>
      </c>
      <c r="L30" s="4">
        <v>56.303999999999995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2316.9700000000003</v>
      </c>
      <c r="Y30" s="4">
        <v>0</v>
      </c>
      <c r="Z30" s="4">
        <v>0</v>
      </c>
      <c r="AA30" s="3"/>
      <c r="AB30" s="3"/>
      <c r="AC30" s="3">
        <v>10125</v>
      </c>
    </row>
    <row r="31" spans="1:29" ht="14.4">
      <c r="A31" s="4">
        <v>30</v>
      </c>
      <c r="B31" s="4" t="s">
        <v>166</v>
      </c>
      <c r="C31" s="7" t="s">
        <v>21</v>
      </c>
      <c r="D31" s="5">
        <v>44965</v>
      </c>
      <c r="E31" s="3" t="s">
        <v>76</v>
      </c>
      <c r="F31" s="4" t="s">
        <v>169</v>
      </c>
      <c r="G31" s="4" t="s">
        <v>170</v>
      </c>
      <c r="H31" s="4">
        <v>10.201000000000001</v>
      </c>
      <c r="I31" s="4">
        <v>778.8</v>
      </c>
      <c r="J31" s="4" t="s">
        <v>78</v>
      </c>
      <c r="K31" s="4">
        <v>1</v>
      </c>
      <c r="L31" s="4">
        <v>56.303999999999995</v>
      </c>
      <c r="M31" s="4">
        <v>448000</v>
      </c>
      <c r="N31" s="4">
        <v>86606.49</v>
      </c>
      <c r="O31" s="4">
        <v>35112.137681159424</v>
      </c>
      <c r="P31" s="4">
        <v>9058.8590508667239</v>
      </c>
      <c r="Q31" s="4">
        <v>33590.249360613816</v>
      </c>
      <c r="R31" s="4">
        <v>1648.7123472577441</v>
      </c>
      <c r="S31" s="4">
        <v>0</v>
      </c>
      <c r="T31" s="4">
        <v>50820.199275362327</v>
      </c>
      <c r="U31" s="4">
        <v>0</v>
      </c>
      <c r="V31" s="4">
        <v>664836.64771525993</v>
      </c>
      <c r="W31" s="4">
        <v>523.19000000000005</v>
      </c>
      <c r="X31" s="4">
        <v>2316.9700000000003</v>
      </c>
      <c r="Y31" s="4">
        <v>0</v>
      </c>
      <c r="Z31" s="4">
        <v>0</v>
      </c>
      <c r="AA31" s="3"/>
      <c r="AB31" s="3"/>
      <c r="AC31" s="3">
        <v>11242.2</v>
      </c>
    </row>
    <row r="32" spans="1:29" ht="14.4">
      <c r="A32" s="4">
        <v>31</v>
      </c>
      <c r="B32" s="4" t="s">
        <v>166</v>
      </c>
      <c r="C32" s="7" t="s">
        <v>21</v>
      </c>
      <c r="D32" s="5">
        <v>44965</v>
      </c>
      <c r="E32" s="3" t="s">
        <v>76</v>
      </c>
      <c r="F32" s="4" t="s">
        <v>171</v>
      </c>
      <c r="G32" s="4" t="s">
        <v>89</v>
      </c>
      <c r="H32" s="4">
        <v>8.407</v>
      </c>
      <c r="I32" s="4">
        <v>2004.04</v>
      </c>
      <c r="J32" s="4" t="s">
        <v>78</v>
      </c>
      <c r="K32" s="4">
        <v>1</v>
      </c>
      <c r="L32" s="4">
        <v>56.303999999999995</v>
      </c>
      <c r="M32" s="4">
        <v>285000</v>
      </c>
      <c r="N32" s="4">
        <v>71375.429999999993</v>
      </c>
      <c r="O32" s="4">
        <v>28937.137681159424</v>
      </c>
      <c r="P32" s="4">
        <v>7465.7217959647633</v>
      </c>
      <c r="Q32" s="4">
        <v>27682.896419437344</v>
      </c>
      <c r="R32" s="4">
        <v>1358.761366865587</v>
      </c>
      <c r="S32" s="4">
        <v>0</v>
      </c>
      <c r="T32" s="4">
        <v>41882.699275362327</v>
      </c>
      <c r="U32" s="4">
        <v>0</v>
      </c>
      <c r="V32" s="4">
        <v>463702.64653878944</v>
      </c>
      <c r="W32" s="4">
        <v>364.91</v>
      </c>
      <c r="X32" s="4">
        <v>2316.9700000000003</v>
      </c>
      <c r="Y32" s="4">
        <v>0</v>
      </c>
      <c r="Z32" s="4">
        <v>0</v>
      </c>
      <c r="AA32" s="3"/>
      <c r="AB32" s="3"/>
      <c r="AC32" s="3">
        <v>14808.96</v>
      </c>
    </row>
    <row r="33" spans="1:29" ht="14.4">
      <c r="A33" s="4">
        <v>32</v>
      </c>
      <c r="B33" s="4" t="s">
        <v>166</v>
      </c>
      <c r="C33" s="7" t="s">
        <v>21</v>
      </c>
      <c r="D33" s="5">
        <v>44965</v>
      </c>
      <c r="E33" s="3" t="s">
        <v>76</v>
      </c>
      <c r="F33" s="4" t="s">
        <v>172</v>
      </c>
      <c r="G33" s="4" t="s">
        <v>89</v>
      </c>
      <c r="H33" s="4">
        <v>0.86499999999999999</v>
      </c>
      <c r="I33" s="4">
        <v>388.68</v>
      </c>
      <c r="J33" s="4" t="s">
        <v>78</v>
      </c>
      <c r="K33" s="4">
        <v>1</v>
      </c>
      <c r="L33" s="4">
        <v>56.303999999999995</v>
      </c>
      <c r="M33" s="4">
        <v>198000</v>
      </c>
      <c r="N33" s="4">
        <v>7343.85</v>
      </c>
      <c r="O33" s="4">
        <v>2977.3550724637685</v>
      </c>
      <c r="P33" s="4">
        <v>768.15146348394433</v>
      </c>
      <c r="Q33" s="4">
        <v>2848.3056265984656</v>
      </c>
      <c r="R33" s="4">
        <v>139.80356635407787</v>
      </c>
      <c r="S33" s="4">
        <v>0</v>
      </c>
      <c r="T33" s="4">
        <v>4309.329710144928</v>
      </c>
      <c r="U33" s="4">
        <v>0</v>
      </c>
      <c r="V33" s="4">
        <v>216386.79543904521</v>
      </c>
      <c r="W33" s="4">
        <v>170.28</v>
      </c>
      <c r="X33" s="4">
        <v>2316.9700000000003</v>
      </c>
      <c r="Y33" s="4">
        <v>0</v>
      </c>
      <c r="Z33" s="4">
        <v>0</v>
      </c>
      <c r="AA33" s="3"/>
      <c r="AB33" s="3"/>
      <c r="AC33" s="3">
        <v>2246.4</v>
      </c>
    </row>
    <row r="34" spans="1:29" ht="14.4">
      <c r="A34" s="4">
        <v>33</v>
      </c>
      <c r="B34" s="4" t="s">
        <v>166</v>
      </c>
      <c r="C34" s="7" t="s">
        <v>21</v>
      </c>
      <c r="D34" s="5">
        <v>44965</v>
      </c>
      <c r="E34" s="3" t="s">
        <v>76</v>
      </c>
      <c r="F34" s="4" t="s">
        <v>173</v>
      </c>
      <c r="G34" s="4" t="s">
        <v>90</v>
      </c>
      <c r="H34" s="4">
        <v>14.747</v>
      </c>
      <c r="I34" s="4">
        <v>3012</v>
      </c>
      <c r="J34" s="4" t="s">
        <v>78</v>
      </c>
      <c r="K34" s="4">
        <v>1</v>
      </c>
      <c r="L34" s="4">
        <v>56.303999999999995</v>
      </c>
      <c r="M34" s="4">
        <v>216500</v>
      </c>
      <c r="N34" s="4">
        <v>125202.03</v>
      </c>
      <c r="O34" s="4">
        <v>50759.601449275367</v>
      </c>
      <c r="P34" s="4">
        <v>13095.87240693379</v>
      </c>
      <c r="Q34" s="4">
        <v>48559.494884910491</v>
      </c>
      <c r="R34" s="4">
        <v>2383.4487780619497</v>
      </c>
      <c r="S34" s="4">
        <v>0</v>
      </c>
      <c r="T34" s="4">
        <v>73467.844202898559</v>
      </c>
      <c r="U34" s="4">
        <v>0</v>
      </c>
      <c r="V34" s="4">
        <v>529968.2917220802</v>
      </c>
      <c r="W34" s="4">
        <v>417.05</v>
      </c>
      <c r="X34" s="4">
        <v>2316.9700000000003</v>
      </c>
      <c r="Y34" s="4">
        <v>0</v>
      </c>
      <c r="Z34" s="4">
        <v>0</v>
      </c>
      <c r="AA34" s="3"/>
      <c r="AB34" s="3"/>
      <c r="AC34" s="3">
        <v>14760</v>
      </c>
    </row>
    <row r="35" spans="1:29" ht="14.4">
      <c r="A35" s="4">
        <v>34</v>
      </c>
      <c r="B35" s="4" t="s">
        <v>174</v>
      </c>
      <c r="C35" s="7" t="s">
        <v>21</v>
      </c>
      <c r="D35" s="5">
        <v>44965</v>
      </c>
      <c r="E35" s="3" t="s">
        <v>76</v>
      </c>
      <c r="F35" s="4" t="s">
        <v>175</v>
      </c>
      <c r="G35" s="4" t="s">
        <v>77</v>
      </c>
      <c r="H35" s="4">
        <v>24.72</v>
      </c>
      <c r="I35" s="4">
        <v>18480</v>
      </c>
      <c r="J35" s="4" t="s">
        <v>78</v>
      </c>
      <c r="K35" s="4">
        <v>1</v>
      </c>
      <c r="L35" s="4">
        <v>56.418999999999997</v>
      </c>
      <c r="M35" s="4">
        <v>1450500</v>
      </c>
      <c r="N35" s="4">
        <v>209872.8</v>
      </c>
      <c r="O35" s="4">
        <v>84913.522040447351</v>
      </c>
      <c r="P35" s="4">
        <v>21907.513426328005</v>
      </c>
      <c r="Q35" s="4">
        <v>81233.059784824247</v>
      </c>
      <c r="R35" s="4">
        <v>3987.1674435916966</v>
      </c>
      <c r="S35" s="4">
        <v>0</v>
      </c>
      <c r="T35" s="4">
        <v>122901.15032170012</v>
      </c>
      <c r="U35" s="4">
        <v>0</v>
      </c>
      <c r="V35" s="4">
        <v>1975315.2130168916</v>
      </c>
      <c r="W35" s="4">
        <v>1554.46</v>
      </c>
      <c r="X35" s="4">
        <v>3000.0599999999995</v>
      </c>
      <c r="Y35" s="4">
        <v>1</v>
      </c>
      <c r="Z35" s="4">
        <v>3000.0599999999995</v>
      </c>
      <c r="AA35" s="3"/>
      <c r="AB35" s="3"/>
      <c r="AC35" s="3">
        <v>67416</v>
      </c>
    </row>
    <row r="36" spans="1:29" ht="14.4">
      <c r="A36" s="4">
        <v>35</v>
      </c>
      <c r="B36" s="4" t="s">
        <v>174</v>
      </c>
      <c r="C36" s="7" t="s">
        <v>21</v>
      </c>
      <c r="D36" s="5">
        <v>44965</v>
      </c>
      <c r="E36" s="3" t="s">
        <v>76</v>
      </c>
      <c r="F36" s="4" t="s">
        <v>176</v>
      </c>
      <c r="G36" s="4" t="s">
        <v>91</v>
      </c>
      <c r="H36" s="4">
        <v>31.440999999999999</v>
      </c>
      <c r="I36" s="4">
        <v>2788</v>
      </c>
      <c r="J36" s="4" t="s">
        <v>78</v>
      </c>
      <c r="K36" s="4">
        <v>1</v>
      </c>
      <c r="L36" s="4">
        <v>56.418999999999997</v>
      </c>
      <c r="M36" s="4">
        <v>752000</v>
      </c>
      <c r="N36" s="4">
        <v>266934.08999999997</v>
      </c>
      <c r="O36" s="4">
        <v>108000.24459845088</v>
      </c>
      <c r="P36" s="4">
        <v>27863.840195678757</v>
      </c>
      <c r="Q36" s="4">
        <v>103319.11944557684</v>
      </c>
      <c r="R36" s="4">
        <v>5071.2189156135337</v>
      </c>
      <c r="S36" s="4">
        <v>0</v>
      </c>
      <c r="T36" s="4">
        <v>156316.14349775782</v>
      </c>
      <c r="U36" s="4">
        <v>0</v>
      </c>
      <c r="V36" s="4">
        <v>1419504.6566530778</v>
      </c>
      <c r="W36" s="4">
        <v>1117.07</v>
      </c>
      <c r="X36" s="4">
        <v>3000.0599999999995</v>
      </c>
      <c r="Y36" s="4">
        <v>0</v>
      </c>
      <c r="Z36" s="4">
        <v>0</v>
      </c>
      <c r="AA36" s="3"/>
      <c r="AB36" s="3"/>
      <c r="AC36" s="3">
        <v>14430</v>
      </c>
    </row>
    <row r="37" spans="1:29" ht="14.4">
      <c r="A37" s="4">
        <v>36</v>
      </c>
      <c r="B37" s="4" t="s">
        <v>174</v>
      </c>
      <c r="C37" s="7" t="s">
        <v>21</v>
      </c>
      <c r="D37" s="5">
        <v>44965</v>
      </c>
      <c r="E37" s="3" t="s">
        <v>76</v>
      </c>
      <c r="F37" s="4" t="s">
        <v>177</v>
      </c>
      <c r="G37" s="4" t="s">
        <v>91</v>
      </c>
      <c r="H37" s="4">
        <v>0.25800000000000001</v>
      </c>
      <c r="I37" s="4">
        <v>23</v>
      </c>
      <c r="J37" s="4" t="s">
        <v>78</v>
      </c>
      <c r="K37" s="4">
        <v>1</v>
      </c>
      <c r="L37" s="4">
        <v>56.418999999999997</v>
      </c>
      <c r="M37" s="4">
        <v>412000</v>
      </c>
      <c r="N37" s="4">
        <v>2190.42</v>
      </c>
      <c r="O37" s="4">
        <v>886.23336110175649</v>
      </c>
      <c r="P37" s="4">
        <v>228.64637799322921</v>
      </c>
      <c r="Q37" s="4">
        <v>847.820769598894</v>
      </c>
      <c r="R37" s="4">
        <v>41.613640794767718</v>
      </c>
      <c r="S37" s="4">
        <v>0</v>
      </c>
      <c r="T37" s="4">
        <v>1282.706180542016</v>
      </c>
      <c r="U37" s="4">
        <v>0</v>
      </c>
      <c r="V37" s="4">
        <v>417477.44033003063</v>
      </c>
      <c r="W37" s="4">
        <v>328.53</v>
      </c>
      <c r="X37" s="4">
        <v>3000.0599999999995</v>
      </c>
      <c r="Y37" s="4">
        <v>0</v>
      </c>
      <c r="Z37" s="4">
        <v>0</v>
      </c>
      <c r="AA37" s="3"/>
      <c r="AB37" s="3"/>
      <c r="AC37" s="3">
        <v>176.88</v>
      </c>
    </row>
    <row r="38" spans="1:29" ht="14.4">
      <c r="A38" s="4">
        <v>37</v>
      </c>
      <c r="B38" s="4" t="s">
        <v>178</v>
      </c>
      <c r="C38" s="7" t="s">
        <v>21</v>
      </c>
      <c r="D38" s="5">
        <v>44965</v>
      </c>
      <c r="E38" s="3" t="s">
        <v>76</v>
      </c>
      <c r="F38" s="4" t="s">
        <v>179</v>
      </c>
      <c r="G38" s="4" t="s">
        <v>77</v>
      </c>
      <c r="H38" s="4">
        <v>20.518000000000001</v>
      </c>
      <c r="I38" s="4">
        <v>15400</v>
      </c>
      <c r="J38" s="4" t="s">
        <v>78</v>
      </c>
      <c r="K38" s="4">
        <v>1</v>
      </c>
      <c r="L38" s="4">
        <v>49.645000000000003</v>
      </c>
      <c r="M38" s="4">
        <v>1384500</v>
      </c>
      <c r="N38" s="4">
        <v>174197.82</v>
      </c>
      <c r="O38" s="4">
        <v>80096.452814986405</v>
      </c>
      <c r="P38" s="4">
        <v>20664.719508510425</v>
      </c>
      <c r="Q38" s="4">
        <v>76624.779937556654</v>
      </c>
      <c r="R38" s="4">
        <v>3760.978950548897</v>
      </c>
      <c r="S38" s="4">
        <v>0</v>
      </c>
      <c r="T38" s="4">
        <v>115929.07644274348</v>
      </c>
      <c r="U38" s="4">
        <v>0</v>
      </c>
      <c r="V38" s="4">
        <v>1855773.8276543459</v>
      </c>
      <c r="W38" s="4">
        <v>1460.39</v>
      </c>
      <c r="X38" s="4">
        <v>1460.39</v>
      </c>
      <c r="Y38" s="4">
        <v>1</v>
      </c>
      <c r="Z38" s="4">
        <v>1460.39</v>
      </c>
      <c r="AA38" s="3"/>
      <c r="AB38" s="3"/>
      <c r="AC38" s="3">
        <v>56180</v>
      </c>
    </row>
    <row r="39" spans="1:29" ht="14.4">
      <c r="A39" s="4">
        <v>38</v>
      </c>
      <c r="B39" s="4" t="s">
        <v>178</v>
      </c>
      <c r="C39" s="7" t="s">
        <v>21</v>
      </c>
      <c r="D39" s="5">
        <v>44965</v>
      </c>
      <c r="E39" s="3" t="s">
        <v>76</v>
      </c>
      <c r="F39" s="4" t="s">
        <v>180</v>
      </c>
      <c r="G39" s="4" t="s">
        <v>181</v>
      </c>
      <c r="H39" s="4">
        <v>13.082000000000001</v>
      </c>
      <c r="I39" s="4">
        <v>2893</v>
      </c>
      <c r="J39" s="4" t="s">
        <v>88</v>
      </c>
      <c r="K39" s="4">
        <v>0</v>
      </c>
      <c r="L39" s="4">
        <v>49.645000000000003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1460.39</v>
      </c>
      <c r="Y39" s="4">
        <v>0</v>
      </c>
      <c r="Z39" s="4">
        <v>0</v>
      </c>
      <c r="AA39" s="3"/>
      <c r="AB39" s="3"/>
      <c r="AC39" s="3"/>
    </row>
    <row r="40" spans="1:29" ht="14.4">
      <c r="A40" s="4">
        <v>39</v>
      </c>
      <c r="B40" s="4" t="s">
        <v>178</v>
      </c>
      <c r="C40" s="7" t="s">
        <v>21</v>
      </c>
      <c r="D40" s="5">
        <v>44965</v>
      </c>
      <c r="E40" s="3" t="s">
        <v>76</v>
      </c>
      <c r="F40" s="4" t="s">
        <v>182</v>
      </c>
      <c r="G40" s="4" t="s">
        <v>181</v>
      </c>
      <c r="H40" s="4">
        <v>16.045000000000002</v>
      </c>
      <c r="I40" s="4">
        <v>1935</v>
      </c>
      <c r="J40" s="4" t="s">
        <v>88</v>
      </c>
      <c r="K40" s="4">
        <v>0</v>
      </c>
      <c r="L40" s="4">
        <v>49.645000000000003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1460.39</v>
      </c>
      <c r="Y40" s="4">
        <v>0</v>
      </c>
      <c r="Z40" s="4">
        <v>0</v>
      </c>
      <c r="AA40" s="3"/>
      <c r="AB40" s="3"/>
      <c r="AC40" s="3"/>
    </row>
    <row r="41" spans="1:29" ht="14.4">
      <c r="A41" s="4">
        <v>40</v>
      </c>
      <c r="B41" s="4" t="s">
        <v>183</v>
      </c>
      <c r="C41" s="7" t="s">
        <v>21</v>
      </c>
      <c r="D41" s="5">
        <v>44965</v>
      </c>
      <c r="E41" s="3" t="s">
        <v>76</v>
      </c>
      <c r="F41" s="4" t="s">
        <v>184</v>
      </c>
      <c r="G41" s="4" t="s">
        <v>77</v>
      </c>
      <c r="H41" s="4">
        <v>14.32</v>
      </c>
      <c r="I41" s="4">
        <v>10780</v>
      </c>
      <c r="J41" s="4" t="s">
        <v>78</v>
      </c>
      <c r="K41" s="4">
        <v>1</v>
      </c>
      <c r="L41" s="4">
        <v>56.81</v>
      </c>
      <c r="M41" s="4">
        <v>752000</v>
      </c>
      <c r="N41" s="4">
        <v>121576.8</v>
      </c>
      <c r="O41" s="4">
        <v>48850.836120401334</v>
      </c>
      <c r="P41" s="4">
        <v>12603.414891744413</v>
      </c>
      <c r="Q41" s="4">
        <v>46733.462418588271</v>
      </c>
      <c r="R41" s="4">
        <v>2293.8215102974827</v>
      </c>
      <c r="S41" s="4">
        <v>0</v>
      </c>
      <c r="T41" s="4">
        <v>70705.157542686138</v>
      </c>
      <c r="U41" s="4">
        <v>0</v>
      </c>
      <c r="V41" s="4">
        <v>1054763.4924837176</v>
      </c>
      <c r="W41" s="4">
        <v>830.04</v>
      </c>
      <c r="X41" s="4">
        <v>2717.01</v>
      </c>
      <c r="Y41" s="4">
        <v>1</v>
      </c>
      <c r="Z41" s="4">
        <v>2717.01</v>
      </c>
      <c r="AA41" s="3"/>
      <c r="AB41" s="3"/>
      <c r="AC41" s="3">
        <v>39326</v>
      </c>
    </row>
    <row r="42" spans="1:29" ht="14.4">
      <c r="A42" s="4">
        <v>41</v>
      </c>
      <c r="B42" s="4" t="s">
        <v>183</v>
      </c>
      <c r="C42" s="7" t="s">
        <v>21</v>
      </c>
      <c r="D42" s="5">
        <v>44965</v>
      </c>
      <c r="E42" s="3" t="s">
        <v>76</v>
      </c>
      <c r="F42" s="4" t="s">
        <v>185</v>
      </c>
      <c r="G42" s="4" t="s">
        <v>91</v>
      </c>
      <c r="H42" s="4">
        <v>27.094999999999999</v>
      </c>
      <c r="I42" s="4">
        <v>1908</v>
      </c>
      <c r="J42" s="4" t="s">
        <v>78</v>
      </c>
      <c r="K42" s="4">
        <v>1</v>
      </c>
      <c r="L42" s="4">
        <v>56.81</v>
      </c>
      <c r="M42" s="4">
        <v>752000</v>
      </c>
      <c r="N42" s="4">
        <v>230036.55</v>
      </c>
      <c r="O42" s="4">
        <v>92431.103678929765</v>
      </c>
      <c r="P42" s="4">
        <v>23847.033972892095</v>
      </c>
      <c r="Q42" s="4">
        <v>88424.801971483888</v>
      </c>
      <c r="R42" s="4">
        <v>4340.1601830663612</v>
      </c>
      <c r="S42" s="4">
        <v>0</v>
      </c>
      <c r="T42" s="4">
        <v>133781.86058792466</v>
      </c>
      <c r="U42" s="4">
        <v>0</v>
      </c>
      <c r="V42" s="4">
        <v>1324861.5103942968</v>
      </c>
      <c r="W42" s="4">
        <v>1042.5899999999999</v>
      </c>
      <c r="X42" s="4">
        <v>2717.01</v>
      </c>
      <c r="Y42" s="4">
        <v>0</v>
      </c>
      <c r="Z42" s="4">
        <v>0</v>
      </c>
      <c r="AA42" s="3"/>
      <c r="AB42" s="3"/>
      <c r="AC42" s="3">
        <v>7203.84</v>
      </c>
    </row>
    <row r="43" spans="1:29" ht="14.4">
      <c r="A43" s="4">
        <v>42</v>
      </c>
      <c r="B43" s="4" t="s">
        <v>183</v>
      </c>
      <c r="C43" s="7" t="s">
        <v>21</v>
      </c>
      <c r="D43" s="5">
        <v>44965</v>
      </c>
      <c r="E43" s="3" t="s">
        <v>76</v>
      </c>
      <c r="F43" s="4" t="s">
        <v>186</v>
      </c>
      <c r="G43" s="4" t="s">
        <v>92</v>
      </c>
      <c r="H43" s="4">
        <v>9.36</v>
      </c>
      <c r="I43" s="4">
        <v>3864</v>
      </c>
      <c r="J43" s="4" t="s">
        <v>78</v>
      </c>
      <c r="K43" s="4">
        <v>1</v>
      </c>
      <c r="L43" s="4">
        <v>56.81</v>
      </c>
      <c r="M43" s="4">
        <v>593000</v>
      </c>
      <c r="N43" s="4">
        <v>79466.399999999994</v>
      </c>
      <c r="O43" s="4">
        <v>31930.434782608696</v>
      </c>
      <c r="P43" s="4">
        <v>8237.9862700228823</v>
      </c>
      <c r="Q43" s="4">
        <v>30546.453089244849</v>
      </c>
      <c r="R43" s="4">
        <v>1499.3135011441648</v>
      </c>
      <c r="S43" s="4">
        <v>0</v>
      </c>
      <c r="T43" s="4">
        <v>46215.102974828376</v>
      </c>
      <c r="U43" s="4">
        <v>0</v>
      </c>
      <c r="V43" s="4">
        <v>790895.690617849</v>
      </c>
      <c r="W43" s="4">
        <v>622.39</v>
      </c>
      <c r="X43" s="4">
        <v>2717.01</v>
      </c>
      <c r="Y43" s="4">
        <v>0</v>
      </c>
      <c r="Z43" s="4">
        <v>0</v>
      </c>
      <c r="AA43" s="3"/>
      <c r="AB43" s="3"/>
      <c r="AC43" s="3">
        <v>14224</v>
      </c>
    </row>
    <row r="44" spans="1:29" ht="14.4">
      <c r="A44" s="4">
        <v>43</v>
      </c>
      <c r="B44" s="4" t="s">
        <v>183</v>
      </c>
      <c r="C44" s="7" t="s">
        <v>21</v>
      </c>
      <c r="D44" s="5">
        <v>44965</v>
      </c>
      <c r="E44" s="3" t="s">
        <v>76</v>
      </c>
      <c r="F44" s="4" t="s">
        <v>187</v>
      </c>
      <c r="G44" s="4" t="s">
        <v>93</v>
      </c>
      <c r="H44" s="4">
        <v>6.0350000000000001</v>
      </c>
      <c r="I44" s="4">
        <v>1070.76</v>
      </c>
      <c r="J44" s="4" t="s">
        <v>78</v>
      </c>
      <c r="K44" s="4">
        <v>1</v>
      </c>
      <c r="L44" s="4">
        <v>56.81</v>
      </c>
      <c r="M44" s="4">
        <v>154500</v>
      </c>
      <c r="N44" s="4">
        <v>51237.15</v>
      </c>
      <c r="O44" s="4">
        <v>20587.625418060201</v>
      </c>
      <c r="P44" s="4">
        <v>5311.5648653406088</v>
      </c>
      <c r="Q44" s="4">
        <v>19695.282520682977</v>
      </c>
      <c r="R44" s="4">
        <v>966.70480549199067</v>
      </c>
      <c r="S44" s="4">
        <v>0</v>
      </c>
      <c r="T44" s="4">
        <v>29797.878894560818</v>
      </c>
      <c r="U44" s="4">
        <v>0</v>
      </c>
      <c r="V44" s="4">
        <v>282096.20650413656</v>
      </c>
      <c r="W44" s="4">
        <v>221.99</v>
      </c>
      <c r="X44" s="4">
        <v>2717.01</v>
      </c>
      <c r="Y44" s="4">
        <v>0</v>
      </c>
      <c r="Z44" s="4">
        <v>0</v>
      </c>
      <c r="AA44" s="3"/>
      <c r="AB44" s="3"/>
      <c r="AC44" s="3">
        <v>25950</v>
      </c>
    </row>
    <row r="45" spans="1:29" ht="14.4">
      <c r="A45" s="4">
        <v>44</v>
      </c>
      <c r="B45" s="4" t="s">
        <v>188</v>
      </c>
      <c r="C45" s="7" t="s">
        <v>21</v>
      </c>
      <c r="D45" s="5">
        <v>44965</v>
      </c>
      <c r="E45" s="3" t="s">
        <v>76</v>
      </c>
      <c r="F45" s="4" t="s">
        <v>189</v>
      </c>
      <c r="G45" s="4" t="s">
        <v>91</v>
      </c>
      <c r="H45" s="4">
        <v>54.19</v>
      </c>
      <c r="I45" s="4">
        <v>3815</v>
      </c>
      <c r="J45" s="4" t="s">
        <v>78</v>
      </c>
      <c r="K45" s="4">
        <v>1</v>
      </c>
      <c r="L45" s="4">
        <v>54.19</v>
      </c>
      <c r="M45" s="4">
        <v>1504000</v>
      </c>
      <c r="N45" s="4">
        <v>460073.1</v>
      </c>
      <c r="O45" s="4">
        <v>193800</v>
      </c>
      <c r="P45" s="4">
        <v>50000</v>
      </c>
      <c r="Q45" s="4">
        <v>185400</v>
      </c>
      <c r="R45" s="4">
        <v>9100</v>
      </c>
      <c r="S45" s="4">
        <v>0</v>
      </c>
      <c r="T45" s="4">
        <v>280500</v>
      </c>
      <c r="U45" s="4">
        <v>0</v>
      </c>
      <c r="V45" s="4">
        <v>2682873.1</v>
      </c>
      <c r="W45" s="4">
        <v>2111.27</v>
      </c>
      <c r="X45" s="4">
        <v>2111.27</v>
      </c>
      <c r="Y45" s="4">
        <v>1</v>
      </c>
      <c r="Z45" s="4">
        <v>2111.27</v>
      </c>
      <c r="AA45" s="3"/>
      <c r="AB45" s="3"/>
      <c r="AC45" s="3">
        <v>14407.68</v>
      </c>
    </row>
    <row r="46" spans="1:29" ht="14.4">
      <c r="A46" s="4">
        <v>45</v>
      </c>
      <c r="B46" s="4" t="s">
        <v>190</v>
      </c>
      <c r="C46" s="7" t="s">
        <v>21</v>
      </c>
      <c r="D46" s="5">
        <v>44965</v>
      </c>
      <c r="E46" s="3" t="s">
        <v>76</v>
      </c>
      <c r="F46" s="4" t="s">
        <v>295</v>
      </c>
      <c r="G46" s="4" t="s">
        <v>191</v>
      </c>
      <c r="H46" s="4">
        <v>9.8049999999999997</v>
      </c>
      <c r="I46" s="4">
        <v>3148.4</v>
      </c>
      <c r="J46" s="4" t="s">
        <v>78</v>
      </c>
      <c r="K46" s="4">
        <v>1</v>
      </c>
      <c r="L46" s="4">
        <v>41.668999999999997</v>
      </c>
      <c r="M46" s="4">
        <v>485000</v>
      </c>
      <c r="N46" s="4">
        <v>83244.45</v>
      </c>
      <c r="O46" s="4">
        <v>45602.462262113331</v>
      </c>
      <c r="P46" s="4">
        <v>11765.341140896107</v>
      </c>
      <c r="Q46" s="4">
        <v>43625.884950442778</v>
      </c>
      <c r="R46" s="4">
        <v>2141.2920876430921</v>
      </c>
      <c r="S46" s="4">
        <v>0</v>
      </c>
      <c r="T46" s="4">
        <v>66003.563800427175</v>
      </c>
      <c r="U46" s="4">
        <v>0</v>
      </c>
      <c r="V46" s="4">
        <v>737382.99424152239</v>
      </c>
      <c r="W46" s="4">
        <v>580.28</v>
      </c>
      <c r="X46" s="4">
        <v>580.28</v>
      </c>
      <c r="Y46" s="4">
        <v>1</v>
      </c>
      <c r="Z46" s="4">
        <v>580.28</v>
      </c>
      <c r="AA46" s="3"/>
      <c r="AB46" s="3"/>
      <c r="AC46" s="3">
        <v>41843.199999999997</v>
      </c>
    </row>
    <row r="47" spans="1:29" ht="14.4">
      <c r="A47" s="4">
        <v>46</v>
      </c>
      <c r="B47" s="4" t="s">
        <v>190</v>
      </c>
      <c r="C47" s="7" t="s">
        <v>21</v>
      </c>
      <c r="D47" s="5">
        <v>44965</v>
      </c>
      <c r="E47" s="3" t="s">
        <v>76</v>
      </c>
      <c r="F47" s="4" t="s">
        <v>192</v>
      </c>
      <c r="G47" s="4" t="s">
        <v>181</v>
      </c>
      <c r="H47" s="4">
        <v>27.72</v>
      </c>
      <c r="I47" s="4">
        <v>20400</v>
      </c>
      <c r="J47" s="4" t="s">
        <v>88</v>
      </c>
      <c r="K47" s="4">
        <v>0</v>
      </c>
      <c r="L47" s="4">
        <v>41.668999999999997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580.28</v>
      </c>
      <c r="Y47" s="4">
        <v>0</v>
      </c>
      <c r="Z47" s="4">
        <v>0</v>
      </c>
      <c r="AA47" s="3"/>
      <c r="AB47" s="3"/>
      <c r="AC47" s="3"/>
    </row>
    <row r="48" spans="1:29" ht="14.4">
      <c r="A48" s="4">
        <v>47</v>
      </c>
      <c r="B48" s="4" t="s">
        <v>190</v>
      </c>
      <c r="C48" s="7" t="s">
        <v>21</v>
      </c>
      <c r="D48" s="5">
        <v>44965</v>
      </c>
      <c r="E48" s="3" t="s">
        <v>76</v>
      </c>
      <c r="F48" s="4" t="s">
        <v>193</v>
      </c>
      <c r="G48" s="4" t="s">
        <v>181</v>
      </c>
      <c r="H48" s="4">
        <v>0.62</v>
      </c>
      <c r="I48" s="4">
        <v>163</v>
      </c>
      <c r="J48" s="4" t="s">
        <v>88</v>
      </c>
      <c r="K48" s="4">
        <v>0</v>
      </c>
      <c r="L48" s="4">
        <v>41.668999999999997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580.28</v>
      </c>
      <c r="Y48" s="4">
        <v>0</v>
      </c>
      <c r="Z48" s="4">
        <v>0</v>
      </c>
      <c r="AA48" s="3"/>
      <c r="AB48" s="3"/>
      <c r="AC48" s="3"/>
    </row>
    <row r="49" spans="1:29" ht="14.4">
      <c r="A49" s="4">
        <v>48</v>
      </c>
      <c r="B49" s="4" t="s">
        <v>190</v>
      </c>
      <c r="C49" s="7" t="s">
        <v>21</v>
      </c>
      <c r="D49" s="5">
        <v>44965</v>
      </c>
      <c r="E49" s="3" t="s">
        <v>76</v>
      </c>
      <c r="F49" s="4" t="s">
        <v>194</v>
      </c>
      <c r="G49" s="4" t="s">
        <v>181</v>
      </c>
      <c r="H49" s="4">
        <v>3.524</v>
      </c>
      <c r="I49" s="4">
        <v>696</v>
      </c>
      <c r="J49" s="4" t="s">
        <v>88</v>
      </c>
      <c r="K49" s="4">
        <v>0</v>
      </c>
      <c r="L49" s="4">
        <v>41.668999999999997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580.28</v>
      </c>
      <c r="Y49" s="4">
        <v>0</v>
      </c>
      <c r="Z49" s="4">
        <v>0</v>
      </c>
      <c r="AA49" s="3"/>
      <c r="AB49" s="3"/>
      <c r="AC49" s="3"/>
    </row>
    <row r="50" spans="1:29" ht="14.4">
      <c r="A50" s="4">
        <v>49</v>
      </c>
      <c r="B50" s="4" t="s">
        <v>195</v>
      </c>
      <c r="C50" s="7" t="s">
        <v>21</v>
      </c>
      <c r="D50" s="5">
        <v>44965</v>
      </c>
      <c r="E50" s="3" t="s">
        <v>76</v>
      </c>
      <c r="F50" s="4" t="s">
        <v>196</v>
      </c>
      <c r="G50" s="4" t="s">
        <v>197</v>
      </c>
      <c r="H50" s="4">
        <v>4.67</v>
      </c>
      <c r="I50" s="4">
        <v>2198</v>
      </c>
      <c r="J50" s="4" t="s">
        <v>78</v>
      </c>
      <c r="K50" s="4">
        <v>1</v>
      </c>
      <c r="L50" s="4">
        <v>53.075000000000003</v>
      </c>
      <c r="M50" s="4">
        <v>385000</v>
      </c>
      <c r="N50" s="4">
        <v>39648.300000000003</v>
      </c>
      <c r="O50" s="4">
        <v>17052.209138012247</v>
      </c>
      <c r="P50" s="4">
        <v>4399.4347621290626</v>
      </c>
      <c r="Q50" s="4">
        <v>16313.104097974565</v>
      </c>
      <c r="R50" s="4">
        <v>800.69712670748925</v>
      </c>
      <c r="S50" s="4">
        <v>0</v>
      </c>
      <c r="T50" s="4">
        <v>24680.829015544041</v>
      </c>
      <c r="U50" s="4">
        <v>0</v>
      </c>
      <c r="V50" s="4">
        <v>487894.57414036733</v>
      </c>
      <c r="W50" s="4">
        <v>383.95</v>
      </c>
      <c r="X50" s="4">
        <v>1979.97</v>
      </c>
      <c r="Y50" s="4">
        <v>1</v>
      </c>
      <c r="Z50" s="4">
        <v>1979.97</v>
      </c>
      <c r="AA50" s="3"/>
      <c r="AB50" s="3"/>
      <c r="AC50" s="3">
        <v>6382</v>
      </c>
    </row>
    <row r="51" spans="1:29" ht="14.4">
      <c r="A51" s="4">
        <v>50</v>
      </c>
      <c r="B51" s="4" t="s">
        <v>195</v>
      </c>
      <c r="C51" s="7" t="s">
        <v>21</v>
      </c>
      <c r="D51" s="5">
        <v>44965</v>
      </c>
      <c r="E51" s="3" t="s">
        <v>76</v>
      </c>
      <c r="F51" s="4" t="s">
        <v>198</v>
      </c>
      <c r="G51" s="4" t="s">
        <v>199</v>
      </c>
      <c r="H51" s="4">
        <v>12.054</v>
      </c>
      <c r="I51" s="4">
        <v>7240</v>
      </c>
      <c r="J51" s="4" t="s">
        <v>78</v>
      </c>
      <c r="K51" s="4">
        <v>1</v>
      </c>
      <c r="L51" s="4">
        <v>53.075000000000003</v>
      </c>
      <c r="M51" s="4">
        <v>532000</v>
      </c>
      <c r="N51" s="4">
        <v>102338.46</v>
      </c>
      <c r="O51" s="4">
        <v>44014.41733396137</v>
      </c>
      <c r="P51" s="4">
        <v>11355.628827131415</v>
      </c>
      <c r="Q51" s="4">
        <v>42106.671691003299</v>
      </c>
      <c r="R51" s="4">
        <v>2066.7244465379181</v>
      </c>
      <c r="S51" s="4">
        <v>0</v>
      </c>
      <c r="T51" s="4">
        <v>63705.07772020725</v>
      </c>
      <c r="U51" s="4">
        <v>0</v>
      </c>
      <c r="V51" s="4">
        <v>797586.98001884134</v>
      </c>
      <c r="W51" s="4">
        <v>627.66</v>
      </c>
      <c r="X51" s="4">
        <v>1979.97</v>
      </c>
      <c r="Y51" s="4">
        <v>0</v>
      </c>
      <c r="Z51" s="4">
        <v>0</v>
      </c>
      <c r="AA51" s="3"/>
      <c r="AB51" s="3"/>
      <c r="AC51" s="3">
        <v>19670.599999999999</v>
      </c>
    </row>
    <row r="52" spans="1:29" ht="14.4">
      <c r="A52" s="4">
        <v>51</v>
      </c>
      <c r="B52" s="4" t="s">
        <v>195</v>
      </c>
      <c r="C52" s="7" t="s">
        <v>21</v>
      </c>
      <c r="D52" s="5">
        <v>44965</v>
      </c>
      <c r="E52" s="3" t="s">
        <v>76</v>
      </c>
      <c r="F52" s="4" t="s">
        <v>200</v>
      </c>
      <c r="G52" s="4" t="s">
        <v>94</v>
      </c>
      <c r="H52" s="4">
        <v>10.53</v>
      </c>
      <c r="I52" s="4">
        <v>6091</v>
      </c>
      <c r="J52" s="4" t="s">
        <v>78</v>
      </c>
      <c r="K52" s="4">
        <v>1</v>
      </c>
      <c r="L52" s="4">
        <v>53.075000000000003</v>
      </c>
      <c r="M52" s="4">
        <v>562000</v>
      </c>
      <c r="N52" s="4">
        <v>89399.7</v>
      </c>
      <c r="O52" s="4">
        <v>38449.627885068294</v>
      </c>
      <c r="P52" s="4">
        <v>9919.9246349505393</v>
      </c>
      <c r="Q52" s="4">
        <v>36783.080546396603</v>
      </c>
      <c r="R52" s="4">
        <v>1805.4262835609984</v>
      </c>
      <c r="S52" s="4">
        <v>0</v>
      </c>
      <c r="T52" s="4">
        <v>55650.777202072532</v>
      </c>
      <c r="U52" s="4">
        <v>0</v>
      </c>
      <c r="V52" s="4">
        <v>794008.53655204899</v>
      </c>
      <c r="W52" s="4">
        <v>624.84</v>
      </c>
      <c r="X52" s="4">
        <v>1979.97</v>
      </c>
      <c r="Y52" s="4">
        <v>0</v>
      </c>
      <c r="Z52" s="4">
        <v>0</v>
      </c>
      <c r="AA52" s="3"/>
      <c r="AB52" s="3"/>
      <c r="AC52" s="3">
        <v>28389.119999999999</v>
      </c>
    </row>
    <row r="53" spans="1:29" ht="14.4">
      <c r="A53" s="4">
        <v>52</v>
      </c>
      <c r="B53" s="4" t="s">
        <v>195</v>
      </c>
      <c r="C53" s="7" t="s">
        <v>21</v>
      </c>
      <c r="D53" s="5">
        <v>44965</v>
      </c>
      <c r="E53" s="3" t="s">
        <v>76</v>
      </c>
      <c r="F53" s="4" t="s">
        <v>201</v>
      </c>
      <c r="G53" s="4" t="s">
        <v>181</v>
      </c>
      <c r="H53" s="4">
        <v>23.754999999999999</v>
      </c>
      <c r="I53" s="4">
        <v>3397.92</v>
      </c>
      <c r="J53" s="4" t="s">
        <v>88</v>
      </c>
      <c r="K53" s="4">
        <v>0</v>
      </c>
      <c r="L53" s="4">
        <v>53.075000000000003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1979.97</v>
      </c>
      <c r="Y53" s="4">
        <v>0</v>
      </c>
      <c r="Z53" s="4">
        <v>0</v>
      </c>
      <c r="AA53" s="3"/>
      <c r="AB53" s="3"/>
      <c r="AC53" s="3"/>
    </row>
    <row r="54" spans="1:29" ht="14.4">
      <c r="A54" s="4">
        <v>53</v>
      </c>
      <c r="B54" s="4" t="s">
        <v>195</v>
      </c>
      <c r="C54" s="7" t="s">
        <v>21</v>
      </c>
      <c r="D54" s="5">
        <v>44965</v>
      </c>
      <c r="E54" s="3" t="s">
        <v>76</v>
      </c>
      <c r="F54" s="4" t="s">
        <v>202</v>
      </c>
      <c r="G54" s="4" t="s">
        <v>95</v>
      </c>
      <c r="H54" s="4">
        <v>2.0659999999999998</v>
      </c>
      <c r="I54" s="4">
        <v>2526.13</v>
      </c>
      <c r="J54" s="4" t="s">
        <v>78</v>
      </c>
      <c r="K54" s="4">
        <v>1</v>
      </c>
      <c r="L54" s="4">
        <v>53.075000000000003</v>
      </c>
      <c r="M54" s="4">
        <v>391000</v>
      </c>
      <c r="N54" s="4">
        <v>17540.34</v>
      </c>
      <c r="O54" s="4">
        <v>7543.8681111634478</v>
      </c>
      <c r="P54" s="4">
        <v>1946.3024022609511</v>
      </c>
      <c r="Q54" s="4">
        <v>7216.8893075836077</v>
      </c>
      <c r="R54" s="4">
        <v>354.22703721149315</v>
      </c>
      <c r="S54" s="4">
        <v>0</v>
      </c>
      <c r="T54" s="4">
        <v>10918.756476683937</v>
      </c>
      <c r="U54" s="4">
        <v>0</v>
      </c>
      <c r="V54" s="4">
        <v>436520.38333490345</v>
      </c>
      <c r="W54" s="4">
        <v>343.52</v>
      </c>
      <c r="X54" s="4">
        <v>1979.97</v>
      </c>
      <c r="Y54" s="4">
        <v>0</v>
      </c>
      <c r="Z54" s="4">
        <v>0</v>
      </c>
      <c r="AA54" s="3"/>
      <c r="AB54" s="3"/>
      <c r="AC54" s="3">
        <v>12804</v>
      </c>
    </row>
    <row r="55" spans="1:29" ht="14.4">
      <c r="A55" s="4">
        <v>54</v>
      </c>
      <c r="B55" s="4" t="s">
        <v>203</v>
      </c>
      <c r="C55" s="7" t="s">
        <v>21</v>
      </c>
      <c r="D55" s="5">
        <v>44965</v>
      </c>
      <c r="E55" s="3" t="s">
        <v>76</v>
      </c>
      <c r="F55" s="4" t="s">
        <v>204</v>
      </c>
      <c r="G55" s="4" t="s">
        <v>96</v>
      </c>
      <c r="H55" s="4">
        <v>51.600999999999999</v>
      </c>
      <c r="I55" s="4">
        <v>9477.1</v>
      </c>
      <c r="J55" s="4" t="s">
        <v>78</v>
      </c>
      <c r="K55" s="4">
        <v>1</v>
      </c>
      <c r="L55" s="4">
        <v>66.710000000000008</v>
      </c>
      <c r="M55" s="4">
        <v>1038000</v>
      </c>
      <c r="N55" s="4">
        <v>438092.49</v>
      </c>
      <c r="O55" s="4">
        <v>149906.66766601708</v>
      </c>
      <c r="P55" s="4">
        <v>38675.610852945581</v>
      </c>
      <c r="Q55" s="4">
        <v>143409.16504272222</v>
      </c>
      <c r="R55" s="4">
        <v>7038.9611752360952</v>
      </c>
      <c r="S55" s="4">
        <v>0</v>
      </c>
      <c r="T55" s="4">
        <v>216970.1768850247</v>
      </c>
      <c r="U55" s="4">
        <v>0</v>
      </c>
      <c r="V55" s="4">
        <v>2032093.0716219456</v>
      </c>
      <c r="W55" s="4">
        <v>1599.14</v>
      </c>
      <c r="X55" s="4">
        <v>2968.47</v>
      </c>
      <c r="Y55" s="4">
        <v>1</v>
      </c>
      <c r="Z55" s="4">
        <v>2968.47</v>
      </c>
      <c r="AA55" s="3"/>
      <c r="AB55" s="3"/>
      <c r="AC55" s="3">
        <v>120706.56</v>
      </c>
    </row>
    <row r="56" spans="1:29" ht="14.4">
      <c r="A56" s="4">
        <v>55</v>
      </c>
      <c r="B56" s="4" t="s">
        <v>203</v>
      </c>
      <c r="C56" s="7" t="s">
        <v>21</v>
      </c>
      <c r="D56" s="5">
        <v>44965</v>
      </c>
      <c r="E56" s="3" t="s">
        <v>76</v>
      </c>
      <c r="F56" s="4" t="s">
        <v>205</v>
      </c>
      <c r="G56" s="4" t="s">
        <v>97</v>
      </c>
      <c r="H56" s="4">
        <v>0.59699999999999998</v>
      </c>
      <c r="I56" s="4">
        <v>25</v>
      </c>
      <c r="J56" s="4" t="s">
        <v>78</v>
      </c>
      <c r="K56" s="4">
        <v>1</v>
      </c>
      <c r="L56" s="4">
        <v>66.710000000000008</v>
      </c>
      <c r="M56" s="4">
        <v>288000</v>
      </c>
      <c r="N56" s="4">
        <v>5068.53</v>
      </c>
      <c r="O56" s="4">
        <v>1734.3516714135808</v>
      </c>
      <c r="P56" s="4">
        <v>447.45915155149146</v>
      </c>
      <c r="Q56" s="4">
        <v>1659.1785339529304</v>
      </c>
      <c r="R56" s="4">
        <v>81.437565582371462</v>
      </c>
      <c r="S56" s="4">
        <v>0</v>
      </c>
      <c r="T56" s="4">
        <v>2510.2458402038669</v>
      </c>
      <c r="U56" s="4">
        <v>0</v>
      </c>
      <c r="V56" s="4">
        <v>299501.20276270428</v>
      </c>
      <c r="W56" s="4">
        <v>235.69</v>
      </c>
      <c r="X56" s="4">
        <v>2968.47</v>
      </c>
      <c r="Y56" s="4">
        <v>0</v>
      </c>
      <c r="Z56" s="4">
        <v>0</v>
      </c>
      <c r="AA56" s="3"/>
      <c r="AB56" s="3"/>
      <c r="AC56" s="3">
        <v>2867.2</v>
      </c>
    </row>
    <row r="57" spans="1:29" ht="14.4">
      <c r="A57" s="4">
        <v>56</v>
      </c>
      <c r="B57" s="4" t="s">
        <v>203</v>
      </c>
      <c r="C57" s="7" t="s">
        <v>21</v>
      </c>
      <c r="D57" s="5">
        <v>44965</v>
      </c>
      <c r="E57" s="3" t="s">
        <v>76</v>
      </c>
      <c r="F57" s="4" t="s">
        <v>206</v>
      </c>
      <c r="G57" s="4" t="s">
        <v>98</v>
      </c>
      <c r="H57" s="4">
        <v>8.0679999999999996</v>
      </c>
      <c r="I57" s="4">
        <v>742</v>
      </c>
      <c r="J57" s="4" t="s">
        <v>78</v>
      </c>
      <c r="K57" s="4">
        <v>1</v>
      </c>
      <c r="L57" s="4">
        <v>66.710000000000008</v>
      </c>
      <c r="M57" s="4">
        <v>465000</v>
      </c>
      <c r="N57" s="4">
        <v>68497.319999999992</v>
      </c>
      <c r="O57" s="4">
        <v>23438.441013341329</v>
      </c>
      <c r="P57" s="4">
        <v>6047.0694048868227</v>
      </c>
      <c r="Q57" s="4">
        <v>22422.533353320337</v>
      </c>
      <c r="R57" s="4">
        <v>1100.5666316894017</v>
      </c>
      <c r="S57" s="4">
        <v>0</v>
      </c>
      <c r="T57" s="4">
        <v>33924.059361415078</v>
      </c>
      <c r="U57" s="4">
        <v>0</v>
      </c>
      <c r="V57" s="4">
        <v>620429.98976465291</v>
      </c>
      <c r="W57" s="4">
        <v>488.24</v>
      </c>
      <c r="X57" s="4">
        <v>2968.47</v>
      </c>
      <c r="Y57" s="4">
        <v>0</v>
      </c>
      <c r="Z57" s="4">
        <v>0</v>
      </c>
      <c r="AA57" s="3"/>
      <c r="AB57" s="3"/>
      <c r="AC57" s="3">
        <v>39276</v>
      </c>
    </row>
    <row r="58" spans="1:29" ht="14.4">
      <c r="A58" s="4">
        <v>57</v>
      </c>
      <c r="B58" s="4" t="s">
        <v>203</v>
      </c>
      <c r="C58" s="7" t="s">
        <v>21</v>
      </c>
      <c r="D58" s="5">
        <v>44965</v>
      </c>
      <c r="E58" s="3" t="s">
        <v>76</v>
      </c>
      <c r="F58" s="4" t="s">
        <v>207</v>
      </c>
      <c r="G58" s="4" t="s">
        <v>99</v>
      </c>
      <c r="H58" s="4">
        <v>2.1480000000000001</v>
      </c>
      <c r="I58" s="4">
        <v>182</v>
      </c>
      <c r="J58" s="4" t="s">
        <v>78</v>
      </c>
      <c r="K58" s="4">
        <v>1</v>
      </c>
      <c r="L58" s="4">
        <v>66.710000000000008</v>
      </c>
      <c r="M58" s="4">
        <v>288000</v>
      </c>
      <c r="N58" s="4">
        <v>18236.52</v>
      </c>
      <c r="O58" s="4">
        <v>6240.1798830760008</v>
      </c>
      <c r="P58" s="4">
        <v>1609.9535302053664</v>
      </c>
      <c r="Q58" s="4">
        <v>5969.707690001499</v>
      </c>
      <c r="R58" s="4">
        <v>293.01154249737669</v>
      </c>
      <c r="S58" s="4">
        <v>0</v>
      </c>
      <c r="T58" s="4">
        <v>9031.8393044521054</v>
      </c>
      <c r="U58" s="4">
        <v>0</v>
      </c>
      <c r="V58" s="4">
        <v>329381.21195023239</v>
      </c>
      <c r="W58" s="4">
        <v>259.2</v>
      </c>
      <c r="X58" s="4">
        <v>2968.47</v>
      </c>
      <c r="Y58" s="4">
        <v>0</v>
      </c>
      <c r="Z58" s="4">
        <v>0</v>
      </c>
      <c r="AA58" s="3"/>
      <c r="AB58" s="3"/>
      <c r="AC58" s="3"/>
    </row>
    <row r="59" spans="1:29" ht="14.4">
      <c r="A59" s="4">
        <v>58</v>
      </c>
      <c r="B59" s="4" t="s">
        <v>203</v>
      </c>
      <c r="C59" s="7" t="s">
        <v>21</v>
      </c>
      <c r="D59" s="5">
        <v>44965</v>
      </c>
      <c r="E59" s="3" t="s">
        <v>76</v>
      </c>
      <c r="F59" s="4" t="s">
        <v>208</v>
      </c>
      <c r="G59" s="4" t="s">
        <v>99</v>
      </c>
      <c r="H59" s="4">
        <v>4.2960000000000003</v>
      </c>
      <c r="I59" s="4">
        <v>378</v>
      </c>
      <c r="J59" s="4" t="s">
        <v>78</v>
      </c>
      <c r="K59" s="4">
        <v>1</v>
      </c>
      <c r="L59" s="4">
        <v>66.710000000000008</v>
      </c>
      <c r="M59" s="4">
        <v>408000</v>
      </c>
      <c r="N59" s="4">
        <v>36473.040000000001</v>
      </c>
      <c r="O59" s="4">
        <v>12480.359766152002</v>
      </c>
      <c r="P59" s="4">
        <v>3219.9070604107328</v>
      </c>
      <c r="Q59" s="4">
        <v>11939.415380002998</v>
      </c>
      <c r="R59" s="4">
        <v>586.02308499475339</v>
      </c>
      <c r="S59" s="4">
        <v>0</v>
      </c>
      <c r="T59" s="4">
        <v>18063.678608904211</v>
      </c>
      <c r="U59" s="4">
        <v>0</v>
      </c>
      <c r="V59" s="4">
        <v>490762.42390046467</v>
      </c>
      <c r="W59" s="4">
        <v>386.2</v>
      </c>
      <c r="X59" s="4">
        <v>2968.47</v>
      </c>
      <c r="Y59" s="4">
        <v>0</v>
      </c>
      <c r="Z59" s="4">
        <v>0</v>
      </c>
      <c r="AA59" s="3"/>
      <c r="AB59" s="3"/>
      <c r="AC59" s="3"/>
    </row>
    <row r="60" spans="1:29" ht="14.4">
      <c r="A60" s="4">
        <v>59</v>
      </c>
      <c r="B60" s="4" t="s">
        <v>209</v>
      </c>
      <c r="C60" s="7" t="s">
        <v>21</v>
      </c>
      <c r="D60" s="5">
        <v>44965</v>
      </c>
      <c r="E60" s="3" t="s">
        <v>76</v>
      </c>
      <c r="F60" s="4" t="s">
        <v>210</v>
      </c>
      <c r="G60" s="4" t="s">
        <v>100</v>
      </c>
      <c r="H60" s="4">
        <v>28.216999999999999</v>
      </c>
      <c r="I60" s="4">
        <v>2220</v>
      </c>
      <c r="J60" s="4" t="s">
        <v>78</v>
      </c>
      <c r="K60" s="4">
        <v>1</v>
      </c>
      <c r="L60" s="4">
        <v>66.617000000000004</v>
      </c>
      <c r="M60" s="4">
        <v>291000</v>
      </c>
      <c r="N60" s="4">
        <v>239562.33</v>
      </c>
      <c r="O60" s="4">
        <v>82087.974541033065</v>
      </c>
      <c r="P60" s="4">
        <v>21178.528003362502</v>
      </c>
      <c r="Q60" s="4">
        <v>78529.981836468171</v>
      </c>
      <c r="R60" s="4">
        <v>3854.4920966119762</v>
      </c>
      <c r="S60" s="4">
        <v>0</v>
      </c>
      <c r="T60" s="4">
        <v>118811.54209886365</v>
      </c>
      <c r="U60" s="4">
        <v>0</v>
      </c>
      <c r="V60" s="4">
        <v>835024.84857633931</v>
      </c>
      <c r="W60" s="4">
        <v>657.12</v>
      </c>
      <c r="X60" s="4">
        <v>2117.96</v>
      </c>
      <c r="Y60" s="4">
        <v>1</v>
      </c>
      <c r="Z60" s="4">
        <v>2117.96</v>
      </c>
      <c r="AA60" s="3"/>
      <c r="AB60" s="3"/>
      <c r="AC60" s="3">
        <v>83400</v>
      </c>
    </row>
    <row r="61" spans="1:29" ht="14.4">
      <c r="A61" s="4">
        <v>60</v>
      </c>
      <c r="B61" s="4" t="s">
        <v>209</v>
      </c>
      <c r="C61" s="7" t="s">
        <v>21</v>
      </c>
      <c r="D61" s="5">
        <v>44965</v>
      </c>
      <c r="E61" s="3" t="s">
        <v>76</v>
      </c>
      <c r="F61" s="4" t="s">
        <v>211</v>
      </c>
      <c r="G61" s="4" t="s">
        <v>212</v>
      </c>
      <c r="H61" s="4">
        <v>17.600000000000001</v>
      </c>
      <c r="I61" s="4">
        <v>8504.5400000000009</v>
      </c>
      <c r="J61" s="4" t="s">
        <v>78</v>
      </c>
      <c r="K61" s="4">
        <v>1</v>
      </c>
      <c r="L61" s="4">
        <v>66.617000000000004</v>
      </c>
      <c r="M61" s="4">
        <v>392000</v>
      </c>
      <c r="N61" s="4">
        <v>149424</v>
      </c>
      <c r="O61" s="4">
        <v>51201.345002026515</v>
      </c>
      <c r="P61" s="4">
        <v>13209.841331792186</v>
      </c>
      <c r="Q61" s="4">
        <v>48982.091658285426</v>
      </c>
      <c r="R61" s="4">
        <v>2404.1911223861775</v>
      </c>
      <c r="S61" s="4">
        <v>0</v>
      </c>
      <c r="T61" s="4">
        <v>74107.209871354164</v>
      </c>
      <c r="U61" s="4">
        <v>0</v>
      </c>
      <c r="V61" s="4">
        <v>731328.67898584448</v>
      </c>
      <c r="W61" s="4">
        <v>575.51</v>
      </c>
      <c r="X61" s="4">
        <v>2117.96</v>
      </c>
      <c r="Y61" s="4">
        <v>0</v>
      </c>
      <c r="Z61" s="4">
        <v>0</v>
      </c>
      <c r="AA61" s="3"/>
      <c r="AB61" s="3"/>
      <c r="AC61" s="3">
        <v>79854.66</v>
      </c>
    </row>
    <row r="62" spans="1:29" ht="14.4">
      <c r="A62" s="4">
        <v>61</v>
      </c>
      <c r="B62" s="4" t="s">
        <v>209</v>
      </c>
      <c r="C62" s="7" t="s">
        <v>21</v>
      </c>
      <c r="D62" s="5">
        <v>44965</v>
      </c>
      <c r="E62" s="3" t="s">
        <v>76</v>
      </c>
      <c r="F62" s="4" t="s">
        <v>213</v>
      </c>
      <c r="G62" s="4" t="s">
        <v>212</v>
      </c>
      <c r="H62" s="4">
        <v>20.8</v>
      </c>
      <c r="I62" s="4">
        <v>14142.94</v>
      </c>
      <c r="J62" s="4" t="s">
        <v>78</v>
      </c>
      <c r="K62" s="4">
        <v>1</v>
      </c>
      <c r="L62" s="4">
        <v>66.617000000000004</v>
      </c>
      <c r="M62" s="4">
        <v>724000</v>
      </c>
      <c r="N62" s="4">
        <v>176592</v>
      </c>
      <c r="O62" s="4">
        <v>60510.680456940419</v>
      </c>
      <c r="P62" s="4">
        <v>15611.630664845308</v>
      </c>
      <c r="Q62" s="4">
        <v>57887.926505246403</v>
      </c>
      <c r="R62" s="4">
        <v>2841.3167810018463</v>
      </c>
      <c r="S62" s="4">
        <v>0</v>
      </c>
      <c r="T62" s="4">
        <v>87581.248029782175</v>
      </c>
      <c r="U62" s="4">
        <v>0</v>
      </c>
      <c r="V62" s="4">
        <v>1125024.8024378165</v>
      </c>
      <c r="W62" s="4">
        <v>885.33</v>
      </c>
      <c r="X62" s="4">
        <v>2117.96</v>
      </c>
      <c r="Y62" s="4">
        <v>0</v>
      </c>
      <c r="Z62" s="4">
        <v>0</v>
      </c>
      <c r="AA62" s="3"/>
      <c r="AB62" s="3"/>
      <c r="AC62" s="3"/>
    </row>
    <row r="63" spans="1:29" ht="14.4">
      <c r="A63" s="4">
        <v>62</v>
      </c>
      <c r="B63" s="4" t="s">
        <v>214</v>
      </c>
      <c r="C63" s="7" t="s">
        <v>21</v>
      </c>
      <c r="D63" s="5">
        <v>44965</v>
      </c>
      <c r="E63" s="3" t="s">
        <v>76</v>
      </c>
      <c r="F63" s="4" t="s">
        <v>215</v>
      </c>
      <c r="G63" s="4" t="s">
        <v>101</v>
      </c>
      <c r="H63" s="4">
        <v>1.746</v>
      </c>
      <c r="I63" s="4">
        <v>1139.4000000000001</v>
      </c>
      <c r="J63" s="4" t="s">
        <v>78</v>
      </c>
      <c r="K63" s="4">
        <v>1</v>
      </c>
      <c r="L63" s="4">
        <v>32.297000000000004</v>
      </c>
      <c r="M63" s="4">
        <v>371000</v>
      </c>
      <c r="N63" s="4">
        <v>14823.54</v>
      </c>
      <c r="O63" s="4">
        <v>10476.973093476174</v>
      </c>
      <c r="P63" s="4">
        <v>2703.037433817382</v>
      </c>
      <c r="Q63" s="4">
        <v>10022.862804594854</v>
      </c>
      <c r="R63" s="4">
        <v>491.95281295476354</v>
      </c>
      <c r="S63" s="4">
        <v>0</v>
      </c>
      <c r="T63" s="4">
        <v>15164.040003715514</v>
      </c>
      <c r="U63" s="4">
        <v>0</v>
      </c>
      <c r="V63" s="4">
        <v>424682.40614855866</v>
      </c>
      <c r="W63" s="4">
        <v>334.2</v>
      </c>
      <c r="X63" s="4">
        <v>1907.62</v>
      </c>
      <c r="Y63" s="4">
        <v>1</v>
      </c>
      <c r="Z63" s="4">
        <v>1907.62</v>
      </c>
      <c r="AA63" s="3"/>
      <c r="AB63" s="3"/>
      <c r="AC63" s="3"/>
    </row>
    <row r="64" spans="1:29" ht="14.4">
      <c r="A64" s="4">
        <v>63</v>
      </c>
      <c r="B64" s="4" t="s">
        <v>214</v>
      </c>
      <c r="C64" s="7" t="s">
        <v>21</v>
      </c>
      <c r="D64" s="5">
        <v>44965</v>
      </c>
      <c r="E64" s="3" t="s">
        <v>76</v>
      </c>
      <c r="F64" s="4" t="s">
        <v>216</v>
      </c>
      <c r="G64" s="4" t="s">
        <v>217</v>
      </c>
      <c r="H64" s="4">
        <v>8.75</v>
      </c>
      <c r="I64" s="4">
        <v>4715.2</v>
      </c>
      <c r="J64" s="4" t="s">
        <v>78</v>
      </c>
      <c r="K64" s="4">
        <v>1</v>
      </c>
      <c r="L64" s="4">
        <v>32.297000000000004</v>
      </c>
      <c r="M64" s="4">
        <v>443000</v>
      </c>
      <c r="N64" s="4">
        <v>74287.5</v>
      </c>
      <c r="O64" s="4">
        <v>52504.876613926986</v>
      </c>
      <c r="P64" s="4">
        <v>13546.149797194785</v>
      </c>
      <c r="Q64" s="4">
        <v>50229.12344799826</v>
      </c>
      <c r="R64" s="4">
        <v>2465.3992630894509</v>
      </c>
      <c r="S64" s="4">
        <v>0</v>
      </c>
      <c r="T64" s="4">
        <v>75993.900362262735</v>
      </c>
      <c r="U64" s="4">
        <v>0</v>
      </c>
      <c r="V64" s="4">
        <v>712026.94948447216</v>
      </c>
      <c r="W64" s="4">
        <v>560.32000000000005</v>
      </c>
      <c r="X64" s="4">
        <v>1907.62</v>
      </c>
      <c r="Y64" s="4">
        <v>0</v>
      </c>
      <c r="Z64" s="4">
        <v>0</v>
      </c>
      <c r="AA64" s="3"/>
      <c r="AB64" s="3"/>
      <c r="AC64" s="3">
        <v>67922.899999999994</v>
      </c>
    </row>
    <row r="65" spans="1:29" ht="14.4">
      <c r="A65" s="4">
        <v>64</v>
      </c>
      <c r="B65" s="4" t="s">
        <v>214</v>
      </c>
      <c r="C65" s="7" t="s">
        <v>21</v>
      </c>
      <c r="D65" s="5">
        <v>44965</v>
      </c>
      <c r="E65" s="3" t="s">
        <v>76</v>
      </c>
      <c r="F65" s="4" t="s">
        <v>218</v>
      </c>
      <c r="G65" s="4" t="s">
        <v>219</v>
      </c>
      <c r="H65" s="4">
        <v>4.8600000000000003</v>
      </c>
      <c r="I65" s="4">
        <v>4612</v>
      </c>
      <c r="J65" s="4" t="s">
        <v>78</v>
      </c>
      <c r="K65" s="4">
        <v>1</v>
      </c>
      <c r="L65" s="4">
        <v>32.297000000000004</v>
      </c>
      <c r="M65" s="4">
        <v>632500</v>
      </c>
      <c r="N65" s="4">
        <v>41261.4</v>
      </c>
      <c r="O65" s="4">
        <v>29162.708610706875</v>
      </c>
      <c r="P65" s="4">
        <v>7523.918630213333</v>
      </c>
      <c r="Q65" s="4">
        <v>27898.690280831033</v>
      </c>
      <c r="R65" s="4">
        <v>1369.3531906988264</v>
      </c>
      <c r="S65" s="4">
        <v>0</v>
      </c>
      <c r="T65" s="4">
        <v>42209.183515496792</v>
      </c>
      <c r="U65" s="4">
        <v>0</v>
      </c>
      <c r="V65" s="4">
        <v>781925.25422794686</v>
      </c>
      <c r="W65" s="4">
        <v>615.33000000000004</v>
      </c>
      <c r="X65" s="4">
        <v>1907.62</v>
      </c>
      <c r="Y65" s="4">
        <v>0</v>
      </c>
      <c r="Z65" s="4">
        <v>0</v>
      </c>
      <c r="AA65" s="3"/>
      <c r="AB65" s="3"/>
      <c r="AC65" s="3"/>
    </row>
    <row r="66" spans="1:29" ht="14.4">
      <c r="A66" s="4">
        <v>65</v>
      </c>
      <c r="B66" s="4" t="s">
        <v>214</v>
      </c>
      <c r="C66" s="7" t="s">
        <v>21</v>
      </c>
      <c r="D66" s="5">
        <v>44965</v>
      </c>
      <c r="E66" s="3" t="s">
        <v>76</v>
      </c>
      <c r="F66" s="4" t="s">
        <v>220</v>
      </c>
      <c r="G66" s="4" t="s">
        <v>221</v>
      </c>
      <c r="H66" s="4">
        <v>3.17</v>
      </c>
      <c r="I66" s="4">
        <v>1184.5</v>
      </c>
      <c r="J66" s="4" t="s">
        <v>78</v>
      </c>
      <c r="K66" s="4">
        <v>1</v>
      </c>
      <c r="L66" s="4">
        <v>32.297000000000004</v>
      </c>
      <c r="M66" s="4">
        <v>408000</v>
      </c>
      <c r="N66" s="4">
        <v>26913.3</v>
      </c>
      <c r="O66" s="4">
        <v>19021.766727559832</v>
      </c>
      <c r="P66" s="4">
        <v>4907.5765550979959</v>
      </c>
      <c r="Q66" s="4">
        <v>18197.293866303367</v>
      </c>
      <c r="R66" s="4">
        <v>893.17893302783523</v>
      </c>
      <c r="S66" s="4">
        <v>0</v>
      </c>
      <c r="T66" s="4">
        <v>27531.504474099755</v>
      </c>
      <c r="U66" s="4">
        <v>0</v>
      </c>
      <c r="V66" s="4">
        <v>505464.62055608875</v>
      </c>
      <c r="W66" s="4">
        <v>397.77</v>
      </c>
      <c r="X66" s="4">
        <v>1907.62</v>
      </c>
      <c r="Y66" s="4">
        <v>0</v>
      </c>
      <c r="Z66" s="4">
        <v>0</v>
      </c>
      <c r="AA66" s="3"/>
      <c r="AB66" s="3"/>
      <c r="AC66" s="3"/>
    </row>
    <row r="67" spans="1:29" ht="14.4">
      <c r="A67" s="4">
        <v>66</v>
      </c>
      <c r="B67" s="4" t="s">
        <v>214</v>
      </c>
      <c r="C67" s="7" t="s">
        <v>21</v>
      </c>
      <c r="D67" s="5">
        <v>44965</v>
      </c>
      <c r="E67" s="3" t="s">
        <v>76</v>
      </c>
      <c r="F67" s="4" t="s">
        <v>222</v>
      </c>
      <c r="G67" s="4" t="s">
        <v>181</v>
      </c>
      <c r="H67" s="4">
        <v>6.9119999999999999</v>
      </c>
      <c r="I67" s="4">
        <v>1840</v>
      </c>
      <c r="J67" s="4" t="s">
        <v>88</v>
      </c>
      <c r="K67" s="4">
        <v>0</v>
      </c>
      <c r="L67" s="4">
        <v>32.297000000000004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1907.62</v>
      </c>
      <c r="Y67" s="4">
        <v>0</v>
      </c>
      <c r="Z67" s="4">
        <v>0</v>
      </c>
      <c r="AA67" s="3"/>
      <c r="AB67" s="3"/>
      <c r="AC67" s="3"/>
    </row>
    <row r="68" spans="1:29" ht="14.4">
      <c r="A68" s="4">
        <v>67</v>
      </c>
      <c r="B68" s="4" t="s">
        <v>214</v>
      </c>
      <c r="C68" s="7" t="s">
        <v>21</v>
      </c>
      <c r="D68" s="5">
        <v>44965</v>
      </c>
      <c r="E68" s="3" t="s">
        <v>76</v>
      </c>
      <c r="F68" s="4" t="s">
        <v>223</v>
      </c>
      <c r="G68" s="4" t="s">
        <v>181</v>
      </c>
      <c r="H68" s="4">
        <v>0.27200000000000002</v>
      </c>
      <c r="I68" s="4">
        <v>84.2</v>
      </c>
      <c r="J68" s="4" t="s">
        <v>88</v>
      </c>
      <c r="K68" s="4">
        <v>0</v>
      </c>
      <c r="L68" s="4">
        <v>32.297000000000004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1907.62</v>
      </c>
      <c r="Y68" s="4">
        <v>0</v>
      </c>
      <c r="Z68" s="4">
        <v>0</v>
      </c>
      <c r="AA68" s="3"/>
      <c r="AB68" s="3"/>
      <c r="AC68" s="3"/>
    </row>
    <row r="69" spans="1:29" ht="14.4">
      <c r="A69" s="4">
        <v>68</v>
      </c>
      <c r="B69" s="4" t="s">
        <v>214</v>
      </c>
      <c r="C69" s="7" t="s">
        <v>21</v>
      </c>
      <c r="D69" s="5">
        <v>44965</v>
      </c>
      <c r="E69" s="3" t="s">
        <v>76</v>
      </c>
      <c r="F69" s="4" t="s">
        <v>224</v>
      </c>
      <c r="G69" s="4" t="s">
        <v>181</v>
      </c>
      <c r="H69" s="4">
        <v>3.9E-2</v>
      </c>
      <c r="I69" s="4">
        <v>15.3</v>
      </c>
      <c r="J69" s="4" t="s">
        <v>88</v>
      </c>
      <c r="K69" s="4">
        <v>0</v>
      </c>
      <c r="L69" s="4">
        <v>32.297000000000004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1907.62</v>
      </c>
      <c r="Y69" s="4">
        <v>0</v>
      </c>
      <c r="Z69" s="4">
        <v>0</v>
      </c>
      <c r="AA69" s="3"/>
      <c r="AB69" s="3"/>
      <c r="AC69" s="3"/>
    </row>
    <row r="70" spans="1:29" ht="14.4">
      <c r="A70" s="4">
        <v>69</v>
      </c>
      <c r="B70" s="4" t="s">
        <v>214</v>
      </c>
      <c r="C70" s="7" t="s">
        <v>21</v>
      </c>
      <c r="D70" s="5">
        <v>44965</v>
      </c>
      <c r="E70" s="3" t="s">
        <v>76</v>
      </c>
      <c r="F70" s="4" t="s">
        <v>225</v>
      </c>
      <c r="G70" s="4" t="s">
        <v>181</v>
      </c>
      <c r="H70" s="4">
        <v>5.8319999999999999</v>
      </c>
      <c r="I70" s="4">
        <v>7114.08</v>
      </c>
      <c r="J70" s="4" t="s">
        <v>88</v>
      </c>
      <c r="K70" s="4">
        <v>0</v>
      </c>
      <c r="L70" s="4">
        <v>32.297000000000004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1907.62</v>
      </c>
      <c r="Y70" s="4">
        <v>0</v>
      </c>
      <c r="Z70" s="4">
        <v>0</v>
      </c>
      <c r="AA70" s="3"/>
      <c r="AB70" s="3"/>
      <c r="AC70" s="3"/>
    </row>
    <row r="71" spans="1:29" ht="14.4">
      <c r="A71" s="4">
        <v>70</v>
      </c>
      <c r="B71" s="4" t="s">
        <v>214</v>
      </c>
      <c r="C71" s="7" t="s">
        <v>21</v>
      </c>
      <c r="D71" s="5">
        <v>44965</v>
      </c>
      <c r="E71" s="3" t="s">
        <v>76</v>
      </c>
      <c r="F71" s="4" t="s">
        <v>226</v>
      </c>
      <c r="G71" s="4" t="s">
        <v>181</v>
      </c>
      <c r="H71" s="4">
        <v>0.71599999999999997</v>
      </c>
      <c r="I71" s="4">
        <v>372</v>
      </c>
      <c r="J71" s="4" t="s">
        <v>88</v>
      </c>
      <c r="K71" s="4">
        <v>0</v>
      </c>
      <c r="L71" s="4">
        <v>32.297000000000004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1907.62</v>
      </c>
      <c r="Y71" s="4">
        <v>0</v>
      </c>
      <c r="Z71" s="4">
        <v>0</v>
      </c>
      <c r="AA71" s="3"/>
      <c r="AB71" s="3"/>
      <c r="AC71" s="3"/>
    </row>
    <row r="72" spans="1:29" ht="14.4">
      <c r="A72" s="4">
        <v>71</v>
      </c>
      <c r="B72" s="4" t="s">
        <v>227</v>
      </c>
      <c r="C72" s="7" t="s">
        <v>21</v>
      </c>
      <c r="D72" s="5">
        <v>44965</v>
      </c>
      <c r="E72" s="3" t="s">
        <v>76</v>
      </c>
      <c r="F72" s="4" t="s">
        <v>228</v>
      </c>
      <c r="G72" s="4" t="s">
        <v>229</v>
      </c>
      <c r="H72" s="4">
        <v>8.0190000000000001</v>
      </c>
      <c r="I72" s="4">
        <v>7621</v>
      </c>
      <c r="J72" s="4" t="s">
        <v>78</v>
      </c>
      <c r="K72" s="4">
        <v>1</v>
      </c>
      <c r="L72" s="4">
        <v>21.277999999999999</v>
      </c>
      <c r="M72" s="4">
        <v>640000</v>
      </c>
      <c r="N72" s="4">
        <v>68081.31</v>
      </c>
      <c r="O72" s="4">
        <v>73037.042955164958</v>
      </c>
      <c r="P72" s="4">
        <v>18843.406335181877</v>
      </c>
      <c r="Q72" s="4">
        <v>69871.350690854408</v>
      </c>
      <c r="R72" s="4">
        <v>3429.4999530031014</v>
      </c>
      <c r="S72" s="4">
        <v>0</v>
      </c>
      <c r="T72" s="4">
        <v>105711.50954037032</v>
      </c>
      <c r="U72" s="4">
        <v>0</v>
      </c>
      <c r="V72" s="4">
        <v>978974.11947457469</v>
      </c>
      <c r="W72" s="4">
        <v>770.4</v>
      </c>
      <c r="X72" s="4">
        <v>2713.74</v>
      </c>
      <c r="Y72" s="4">
        <v>1</v>
      </c>
      <c r="Z72" s="4">
        <v>2713.74</v>
      </c>
      <c r="AA72" s="3"/>
      <c r="AB72" s="3"/>
      <c r="AC72" s="3">
        <v>97428.4</v>
      </c>
    </row>
    <row r="73" spans="1:29" ht="14.4">
      <c r="A73" s="4">
        <v>72</v>
      </c>
      <c r="B73" s="4" t="s">
        <v>227</v>
      </c>
      <c r="C73" s="7" t="s">
        <v>21</v>
      </c>
      <c r="D73" s="5">
        <v>44965</v>
      </c>
      <c r="E73" s="3" t="s">
        <v>76</v>
      </c>
      <c r="F73" s="4" t="s">
        <v>230</v>
      </c>
      <c r="G73" s="4" t="s">
        <v>231</v>
      </c>
      <c r="H73" s="4">
        <v>0.53200000000000003</v>
      </c>
      <c r="I73" s="4">
        <v>328.26</v>
      </c>
      <c r="J73" s="4" t="s">
        <v>78</v>
      </c>
      <c r="K73" s="4">
        <v>1</v>
      </c>
      <c r="L73" s="4">
        <v>21.277999999999999</v>
      </c>
      <c r="M73" s="4">
        <v>288000</v>
      </c>
      <c r="N73" s="4">
        <v>4516.68</v>
      </c>
      <c r="O73" s="4">
        <v>4845.4553999436048</v>
      </c>
      <c r="P73" s="4">
        <v>1250.117492245512</v>
      </c>
      <c r="Q73" s="4">
        <v>4635.435661246358</v>
      </c>
      <c r="R73" s="4">
        <v>227.52138358868316</v>
      </c>
      <c r="S73" s="4">
        <v>0</v>
      </c>
      <c r="T73" s="4">
        <v>7013.1591314973221</v>
      </c>
      <c r="U73" s="4">
        <v>0</v>
      </c>
      <c r="V73" s="4">
        <v>310488.36906852148</v>
      </c>
      <c r="W73" s="4">
        <v>244.34</v>
      </c>
      <c r="X73" s="4">
        <v>2713.74</v>
      </c>
      <c r="Y73" s="4">
        <v>0</v>
      </c>
      <c r="Z73" s="4">
        <v>0</v>
      </c>
      <c r="AA73" s="3"/>
      <c r="AB73" s="3"/>
      <c r="AC73" s="3"/>
    </row>
    <row r="74" spans="1:29" ht="14.4">
      <c r="A74" s="4">
        <v>73</v>
      </c>
      <c r="B74" s="4" t="s">
        <v>227</v>
      </c>
      <c r="C74" s="7" t="s">
        <v>21</v>
      </c>
      <c r="D74" s="5">
        <v>44965</v>
      </c>
      <c r="E74" s="3" t="s">
        <v>76</v>
      </c>
      <c r="F74" s="4" t="s">
        <v>232</v>
      </c>
      <c r="G74" s="4" t="s">
        <v>233</v>
      </c>
      <c r="H74" s="4">
        <v>1.2E-2</v>
      </c>
      <c r="I74" s="4">
        <v>1.4</v>
      </c>
      <c r="J74" s="4" t="s">
        <v>78</v>
      </c>
      <c r="K74" s="4">
        <v>1</v>
      </c>
      <c r="L74" s="4">
        <v>21.277999999999999</v>
      </c>
      <c r="M74" s="4">
        <v>265000</v>
      </c>
      <c r="N74" s="4">
        <v>101.88</v>
      </c>
      <c r="O74" s="4">
        <v>109.29598646489332</v>
      </c>
      <c r="P74" s="4">
        <v>28.198138922831092</v>
      </c>
      <c r="Q74" s="4">
        <v>104.55869912585769</v>
      </c>
      <c r="R74" s="4">
        <v>5.1320612839552586</v>
      </c>
      <c r="S74" s="4">
        <v>0</v>
      </c>
      <c r="T74" s="4">
        <v>158.19155935708244</v>
      </c>
      <c r="U74" s="4">
        <v>0</v>
      </c>
      <c r="V74" s="4">
        <v>265507.25644515461</v>
      </c>
      <c r="W74" s="4">
        <v>208.94</v>
      </c>
      <c r="X74" s="4">
        <v>2713.74</v>
      </c>
      <c r="Y74" s="4">
        <v>0</v>
      </c>
      <c r="Z74" s="4">
        <v>0</v>
      </c>
      <c r="AA74" s="3"/>
      <c r="AB74" s="3"/>
      <c r="AC74" s="3"/>
    </row>
    <row r="75" spans="1:29" ht="14.4">
      <c r="A75" s="4">
        <v>74</v>
      </c>
      <c r="B75" s="4" t="s">
        <v>227</v>
      </c>
      <c r="C75" s="7" t="s">
        <v>21</v>
      </c>
      <c r="D75" s="5">
        <v>44965</v>
      </c>
      <c r="E75" s="3" t="s">
        <v>76</v>
      </c>
      <c r="F75" s="4" t="s">
        <v>234</v>
      </c>
      <c r="G75" s="4" t="s">
        <v>235</v>
      </c>
      <c r="H75" s="4">
        <v>11.407999999999999</v>
      </c>
      <c r="I75" s="4">
        <v>12641.98</v>
      </c>
      <c r="J75" s="4" t="s">
        <v>78</v>
      </c>
      <c r="K75" s="4">
        <v>1</v>
      </c>
      <c r="L75" s="4">
        <v>21.277999999999999</v>
      </c>
      <c r="M75" s="4">
        <v>994000</v>
      </c>
      <c r="N75" s="4">
        <v>96853.92</v>
      </c>
      <c r="O75" s="4">
        <v>103904.05113262525</v>
      </c>
      <c r="P75" s="4">
        <v>26807.030735971428</v>
      </c>
      <c r="Q75" s="4">
        <v>99400.469968982041</v>
      </c>
      <c r="R75" s="4">
        <v>4878.8795939468</v>
      </c>
      <c r="S75" s="4">
        <v>0</v>
      </c>
      <c r="T75" s="4">
        <v>150387.4424287997</v>
      </c>
      <c r="U75" s="4">
        <v>0</v>
      </c>
      <c r="V75" s="4">
        <v>1476231.7938603251</v>
      </c>
      <c r="W75" s="4">
        <v>1161.71</v>
      </c>
      <c r="X75" s="4">
        <v>2713.74</v>
      </c>
      <c r="Y75" s="4">
        <v>0</v>
      </c>
      <c r="Z75" s="4">
        <v>0</v>
      </c>
      <c r="AA75" s="3"/>
      <c r="AB75" s="3"/>
      <c r="AC75" s="3"/>
    </row>
    <row r="76" spans="1:29" ht="14.4">
      <c r="A76" s="4">
        <v>75</v>
      </c>
      <c r="B76" s="4" t="s">
        <v>227</v>
      </c>
      <c r="C76" s="7" t="s">
        <v>21</v>
      </c>
      <c r="D76" s="5">
        <v>44965</v>
      </c>
      <c r="E76" s="3" t="s">
        <v>76</v>
      </c>
      <c r="F76" s="4" t="s">
        <v>236</v>
      </c>
      <c r="G76" s="4" t="s">
        <v>237</v>
      </c>
      <c r="H76" s="4">
        <v>1.3069999999999999</v>
      </c>
      <c r="I76" s="4">
        <v>160</v>
      </c>
      <c r="J76" s="4" t="s">
        <v>78</v>
      </c>
      <c r="K76" s="4">
        <v>1</v>
      </c>
      <c r="L76" s="4">
        <v>21.277999999999999</v>
      </c>
      <c r="M76" s="4">
        <v>362000</v>
      </c>
      <c r="N76" s="4">
        <v>11096.43</v>
      </c>
      <c r="O76" s="4">
        <v>11904.154525801296</v>
      </c>
      <c r="P76" s="4">
        <v>3071.2472976783533</v>
      </c>
      <c r="Q76" s="4">
        <v>11388.184979791336</v>
      </c>
      <c r="R76" s="4">
        <v>558.96700817746034</v>
      </c>
      <c r="S76" s="4">
        <v>0</v>
      </c>
      <c r="T76" s="4">
        <v>17229.697339975562</v>
      </c>
      <c r="U76" s="4">
        <v>0</v>
      </c>
      <c r="V76" s="4">
        <v>417248.68115142407</v>
      </c>
      <c r="W76" s="4">
        <v>328.35</v>
      </c>
      <c r="X76" s="4">
        <v>2713.74</v>
      </c>
      <c r="Y76" s="4">
        <v>0</v>
      </c>
      <c r="Z76" s="4">
        <v>0</v>
      </c>
      <c r="AA76" s="3"/>
      <c r="AB76" s="3"/>
      <c r="AC76" s="3"/>
    </row>
    <row r="77" spans="1:29" ht="14.4">
      <c r="A77" s="4">
        <v>76</v>
      </c>
      <c r="B77" s="4" t="s">
        <v>238</v>
      </c>
      <c r="C77" s="7" t="s">
        <v>21</v>
      </c>
      <c r="D77" s="5">
        <v>44965</v>
      </c>
      <c r="E77" s="3" t="s">
        <v>76</v>
      </c>
      <c r="F77" s="4" t="s">
        <v>239</v>
      </c>
      <c r="G77" s="4" t="s">
        <v>240</v>
      </c>
      <c r="H77" s="4">
        <v>13.34</v>
      </c>
      <c r="I77" s="4">
        <v>5500</v>
      </c>
      <c r="J77" s="4" t="s">
        <v>78</v>
      </c>
      <c r="K77" s="4">
        <v>1</v>
      </c>
      <c r="L77" s="4">
        <v>58.436999999999991</v>
      </c>
      <c r="M77" s="4">
        <v>376000</v>
      </c>
      <c r="N77" s="4">
        <v>113256.6</v>
      </c>
      <c r="O77" s="4">
        <v>44240.669438882906</v>
      </c>
      <c r="P77" s="4">
        <v>11414.001403220564</v>
      </c>
      <c r="Q77" s="4">
        <v>42323.117203141854</v>
      </c>
      <c r="R77" s="4">
        <v>2077.3482553861427</v>
      </c>
      <c r="S77" s="4">
        <v>0</v>
      </c>
      <c r="T77" s="4">
        <v>64032.547872067356</v>
      </c>
      <c r="U77" s="4">
        <v>0</v>
      </c>
      <c r="V77" s="4">
        <v>653344.28417269874</v>
      </c>
      <c r="W77" s="4">
        <v>514.14</v>
      </c>
      <c r="X77" s="4">
        <v>2678.93</v>
      </c>
      <c r="Y77" s="4">
        <v>1</v>
      </c>
      <c r="Z77" s="4">
        <v>2678.93</v>
      </c>
      <c r="AA77" s="3"/>
      <c r="AB77" s="3"/>
      <c r="AC77" s="3">
        <v>39292.800000000003</v>
      </c>
    </row>
    <row r="78" spans="1:29" ht="14.4">
      <c r="A78" s="4">
        <v>77</v>
      </c>
      <c r="B78" s="4" t="s">
        <v>238</v>
      </c>
      <c r="C78" s="7" t="s">
        <v>21</v>
      </c>
      <c r="D78" s="5">
        <v>44965</v>
      </c>
      <c r="E78" s="3" t="s">
        <v>76</v>
      </c>
      <c r="F78" s="4" t="s">
        <v>241</v>
      </c>
      <c r="G78" s="4" t="s">
        <v>240</v>
      </c>
      <c r="H78" s="4">
        <v>19.84</v>
      </c>
      <c r="I78" s="4">
        <v>7100</v>
      </c>
      <c r="J78" s="4" t="s">
        <v>78</v>
      </c>
      <c r="K78" s="4">
        <v>1</v>
      </c>
      <c r="L78" s="4">
        <v>58.436999999999991</v>
      </c>
      <c r="M78" s="4">
        <v>376000</v>
      </c>
      <c r="N78" s="4">
        <v>168441.60000000001</v>
      </c>
      <c r="O78" s="4">
        <v>65797.217516299614</v>
      </c>
      <c r="P78" s="4">
        <v>16975.546314834784</v>
      </c>
      <c r="Q78" s="4">
        <v>62945.325735407379</v>
      </c>
      <c r="R78" s="4">
        <v>3089.5494292999306</v>
      </c>
      <c r="S78" s="4">
        <v>0</v>
      </c>
      <c r="T78" s="4">
        <v>95232.814826223126</v>
      </c>
      <c r="U78" s="4">
        <v>0</v>
      </c>
      <c r="V78" s="4">
        <v>788482.05382206477</v>
      </c>
      <c r="W78" s="4">
        <v>620.49</v>
      </c>
      <c r="X78" s="4">
        <v>2678.93</v>
      </c>
      <c r="Y78" s="4">
        <v>0</v>
      </c>
      <c r="Z78" s="4">
        <v>0</v>
      </c>
      <c r="AA78" s="3"/>
      <c r="AB78" s="3"/>
      <c r="AC78" s="3">
        <v>43267.199999999997</v>
      </c>
    </row>
    <row r="79" spans="1:29" ht="14.4">
      <c r="A79" s="4">
        <v>78</v>
      </c>
      <c r="B79" s="4" t="s">
        <v>238</v>
      </c>
      <c r="C79" s="7" t="s">
        <v>21</v>
      </c>
      <c r="D79" s="5">
        <v>44965</v>
      </c>
      <c r="E79" s="3" t="s">
        <v>76</v>
      </c>
      <c r="F79" s="4" t="s">
        <v>242</v>
      </c>
      <c r="G79" s="4" t="s">
        <v>240</v>
      </c>
      <c r="H79" s="4">
        <v>4.6689999999999996</v>
      </c>
      <c r="I79" s="4">
        <v>1918</v>
      </c>
      <c r="J79" s="4" t="s">
        <v>78</v>
      </c>
      <c r="K79" s="4">
        <v>1</v>
      </c>
      <c r="L79" s="4">
        <v>58.436999999999991</v>
      </c>
      <c r="M79" s="4">
        <v>291100</v>
      </c>
      <c r="N79" s="4">
        <v>39639.81</v>
      </c>
      <c r="O79" s="4">
        <v>15484.234303609015</v>
      </c>
      <c r="P79" s="4">
        <v>3994.9004911271977</v>
      </c>
      <c r="Q79" s="4">
        <v>14813.091021099646</v>
      </c>
      <c r="R79" s="4">
        <v>727.07188938514992</v>
      </c>
      <c r="S79" s="4">
        <v>0</v>
      </c>
      <c r="T79" s="4">
        <v>22411.391755223576</v>
      </c>
      <c r="U79" s="4">
        <v>0</v>
      </c>
      <c r="V79" s="4">
        <v>388170.49946044461</v>
      </c>
      <c r="W79" s="4">
        <v>305.47000000000003</v>
      </c>
      <c r="X79" s="4">
        <v>2678.93</v>
      </c>
      <c r="Y79" s="4">
        <v>0</v>
      </c>
      <c r="Z79" s="4">
        <v>0</v>
      </c>
      <c r="AA79" s="3"/>
      <c r="AB79" s="3"/>
      <c r="AC79" s="3">
        <v>13829.76</v>
      </c>
    </row>
    <row r="80" spans="1:29" ht="14.4">
      <c r="A80" s="4">
        <v>79</v>
      </c>
      <c r="B80" s="4" t="s">
        <v>238</v>
      </c>
      <c r="C80" s="7" t="s">
        <v>21</v>
      </c>
      <c r="D80" s="5">
        <v>44965</v>
      </c>
      <c r="E80" s="3" t="s">
        <v>76</v>
      </c>
      <c r="F80" s="4" t="s">
        <v>243</v>
      </c>
      <c r="G80" s="4" t="s">
        <v>240</v>
      </c>
      <c r="H80" s="4">
        <v>6.9450000000000003</v>
      </c>
      <c r="I80" s="4">
        <v>2562</v>
      </c>
      <c r="J80" s="4" t="s">
        <v>78</v>
      </c>
      <c r="K80" s="4">
        <v>1</v>
      </c>
      <c r="L80" s="4">
        <v>58.436999999999991</v>
      </c>
      <c r="M80" s="4">
        <v>291100</v>
      </c>
      <c r="N80" s="4">
        <v>58963.05</v>
      </c>
      <c r="O80" s="4">
        <v>23032.342522716775</v>
      </c>
      <c r="P80" s="4">
        <v>5942.2968324862686</v>
      </c>
      <c r="Q80" s="4">
        <v>22034.036654859083</v>
      </c>
      <c r="R80" s="4">
        <v>1081.4980235125008</v>
      </c>
      <c r="S80" s="4">
        <v>0</v>
      </c>
      <c r="T80" s="4">
        <v>33336.285230247966</v>
      </c>
      <c r="U80" s="4">
        <v>0</v>
      </c>
      <c r="V80" s="4">
        <v>435489.50926382258</v>
      </c>
      <c r="W80" s="4">
        <v>342.71</v>
      </c>
      <c r="X80" s="4">
        <v>2678.93</v>
      </c>
      <c r="Y80" s="4">
        <v>0</v>
      </c>
      <c r="Z80" s="4">
        <v>0</v>
      </c>
      <c r="AA80" s="3"/>
      <c r="AB80" s="3"/>
      <c r="AC80" s="3">
        <v>13752.48</v>
      </c>
    </row>
    <row r="81" spans="1:29" ht="14.4">
      <c r="A81" s="4">
        <v>80</v>
      </c>
      <c r="B81" s="4" t="s">
        <v>238</v>
      </c>
      <c r="C81" s="7" t="s">
        <v>21</v>
      </c>
      <c r="D81" s="5">
        <v>44965</v>
      </c>
      <c r="E81" s="3" t="s">
        <v>76</v>
      </c>
      <c r="F81" s="4" t="s">
        <v>244</v>
      </c>
      <c r="G81" s="4" t="s">
        <v>240</v>
      </c>
      <c r="H81" s="4">
        <v>5.3360000000000003</v>
      </c>
      <c r="I81" s="4">
        <v>2200</v>
      </c>
      <c r="J81" s="4" t="s">
        <v>78</v>
      </c>
      <c r="K81" s="4">
        <v>1</v>
      </c>
      <c r="L81" s="4">
        <v>58.436999999999991</v>
      </c>
      <c r="M81" s="4">
        <v>291100</v>
      </c>
      <c r="N81" s="4">
        <v>45302.64</v>
      </c>
      <c r="O81" s="4">
        <v>17696.267775553162</v>
      </c>
      <c r="P81" s="4">
        <v>4565.6005612882254</v>
      </c>
      <c r="Q81" s="4">
        <v>16929.246881256742</v>
      </c>
      <c r="R81" s="4">
        <v>830.9393021544571</v>
      </c>
      <c r="S81" s="4">
        <v>0</v>
      </c>
      <c r="T81" s="4">
        <v>25613.019148826948</v>
      </c>
      <c r="U81" s="4">
        <v>0</v>
      </c>
      <c r="V81" s="4">
        <v>402037.71366907959</v>
      </c>
      <c r="W81" s="4">
        <v>316.38</v>
      </c>
      <c r="X81" s="4">
        <v>2678.93</v>
      </c>
      <c r="Y81" s="4">
        <v>0</v>
      </c>
      <c r="Z81" s="4">
        <v>0</v>
      </c>
      <c r="AA81" s="3"/>
      <c r="AB81" s="3"/>
      <c r="AC81" s="3">
        <v>18255.36</v>
      </c>
    </row>
    <row r="82" spans="1:29" ht="14.4">
      <c r="A82" s="4">
        <v>81</v>
      </c>
      <c r="B82" s="4" t="s">
        <v>238</v>
      </c>
      <c r="C82" s="7" t="s">
        <v>21</v>
      </c>
      <c r="D82" s="5">
        <v>44965</v>
      </c>
      <c r="E82" s="3" t="s">
        <v>76</v>
      </c>
      <c r="F82" s="4" t="s">
        <v>245</v>
      </c>
      <c r="G82" s="4" t="s">
        <v>240</v>
      </c>
      <c r="H82" s="4">
        <v>7.9370000000000003</v>
      </c>
      <c r="I82" s="4">
        <v>2840</v>
      </c>
      <c r="J82" s="4" t="s">
        <v>78</v>
      </c>
      <c r="K82" s="4">
        <v>1</v>
      </c>
      <c r="L82" s="4">
        <v>58.436999999999991</v>
      </c>
      <c r="M82" s="4">
        <v>332000</v>
      </c>
      <c r="N82" s="4">
        <v>67385.13</v>
      </c>
      <c r="O82" s="4">
        <v>26322.203398531761</v>
      </c>
      <c r="P82" s="4">
        <v>6791.0741482280073</v>
      </c>
      <c r="Q82" s="4">
        <v>25181.302941629452</v>
      </c>
      <c r="R82" s="4">
        <v>1235.9754949774974</v>
      </c>
      <c r="S82" s="4">
        <v>0</v>
      </c>
      <c r="T82" s="4">
        <v>38097.925971559118</v>
      </c>
      <c r="U82" s="4">
        <v>0</v>
      </c>
      <c r="V82" s="4">
        <v>497013.61195492581</v>
      </c>
      <c r="W82" s="4">
        <v>391.12</v>
      </c>
      <c r="X82" s="4">
        <v>2678.93</v>
      </c>
      <c r="Y82" s="4">
        <v>0</v>
      </c>
      <c r="Z82" s="4">
        <v>0</v>
      </c>
      <c r="AA82" s="3"/>
      <c r="AB82" s="3"/>
      <c r="AC82" s="3">
        <v>16577.28</v>
      </c>
    </row>
    <row r="83" spans="1:29" ht="14.4">
      <c r="A83" s="4">
        <v>82</v>
      </c>
      <c r="B83" s="4" t="s">
        <v>238</v>
      </c>
      <c r="C83" s="7" t="s">
        <v>21</v>
      </c>
      <c r="D83" s="5">
        <v>44965</v>
      </c>
      <c r="E83" s="3" t="s">
        <v>76</v>
      </c>
      <c r="F83" s="4" t="s">
        <v>246</v>
      </c>
      <c r="G83" s="4" t="s">
        <v>240</v>
      </c>
      <c r="H83" s="4">
        <v>0.37</v>
      </c>
      <c r="I83" s="4">
        <v>15</v>
      </c>
      <c r="J83" s="4" t="s">
        <v>78</v>
      </c>
      <c r="K83" s="4">
        <v>1</v>
      </c>
      <c r="L83" s="4">
        <v>58.436999999999991</v>
      </c>
      <c r="M83" s="4">
        <v>232000</v>
      </c>
      <c r="N83" s="4">
        <v>3141.3</v>
      </c>
      <c r="O83" s="4">
        <v>1227.0650444067971</v>
      </c>
      <c r="P83" s="4">
        <v>316.58024881496317</v>
      </c>
      <c r="Q83" s="4">
        <v>1173.8795626058834</v>
      </c>
      <c r="R83" s="4">
        <v>57.617605284323297</v>
      </c>
      <c r="S83" s="4">
        <v>0</v>
      </c>
      <c r="T83" s="4">
        <v>1776.0151958519432</v>
      </c>
      <c r="U83" s="4">
        <v>0</v>
      </c>
      <c r="V83" s="4">
        <v>239692.45765696387</v>
      </c>
      <c r="W83" s="4">
        <v>188.62</v>
      </c>
      <c r="X83" s="4">
        <v>2678.93</v>
      </c>
      <c r="Y83" s="4">
        <v>0</v>
      </c>
      <c r="Z83" s="4">
        <v>0</v>
      </c>
      <c r="AA83" s="3"/>
      <c r="AB83" s="3"/>
      <c r="AC83" s="3">
        <v>81.86</v>
      </c>
    </row>
    <row r="84" spans="1:29" ht="14.4">
      <c r="A84" s="4">
        <v>83</v>
      </c>
      <c r="B84" s="4" t="s">
        <v>247</v>
      </c>
      <c r="C84" s="7" t="s">
        <v>21</v>
      </c>
      <c r="D84" s="5">
        <v>44965</v>
      </c>
      <c r="E84" s="3" t="s">
        <v>76</v>
      </c>
      <c r="F84" s="4" t="s">
        <v>248</v>
      </c>
      <c r="G84" s="4" t="s">
        <v>240</v>
      </c>
      <c r="H84" s="4">
        <v>15.414999999999999</v>
      </c>
      <c r="I84" s="4">
        <v>5005</v>
      </c>
      <c r="J84" s="4" t="s">
        <v>78</v>
      </c>
      <c r="K84" s="4">
        <v>1</v>
      </c>
      <c r="L84" s="4">
        <v>45.497</v>
      </c>
      <c r="M84" s="4">
        <v>332000</v>
      </c>
      <c r="N84" s="4">
        <v>130873.35</v>
      </c>
      <c r="O84" s="4">
        <v>65662.065630700919</v>
      </c>
      <c r="P84" s="4">
        <v>16940.67740730158</v>
      </c>
      <c r="Q84" s="4">
        <v>62816.031826274258</v>
      </c>
      <c r="R84" s="4">
        <v>3083.2032881288874</v>
      </c>
      <c r="S84" s="4">
        <v>0</v>
      </c>
      <c r="T84" s="4">
        <v>95037.200254961863</v>
      </c>
      <c r="U84" s="4">
        <v>0</v>
      </c>
      <c r="V84" s="4">
        <v>706412.52840736741</v>
      </c>
      <c r="W84" s="4">
        <v>555.91</v>
      </c>
      <c r="X84" s="4">
        <v>2146.92</v>
      </c>
      <c r="Y84" s="4">
        <v>1</v>
      </c>
      <c r="Z84" s="4">
        <v>2146.92</v>
      </c>
      <c r="AA84" s="3"/>
      <c r="AB84" s="3"/>
      <c r="AC84" s="3">
        <v>66432.600000000006</v>
      </c>
    </row>
    <row r="85" spans="1:29" ht="14.4">
      <c r="A85" s="4">
        <v>84</v>
      </c>
      <c r="B85" s="4" t="s">
        <v>247</v>
      </c>
      <c r="C85" s="7" t="s">
        <v>21</v>
      </c>
      <c r="D85" s="5">
        <v>44965</v>
      </c>
      <c r="E85" s="3" t="s">
        <v>76</v>
      </c>
      <c r="F85" s="4" t="s">
        <v>249</v>
      </c>
      <c r="G85" s="4" t="s">
        <v>240</v>
      </c>
      <c r="H85" s="4">
        <v>6.3440000000000003</v>
      </c>
      <c r="I85" s="4">
        <v>1135.33</v>
      </c>
      <c r="J85" s="4" t="s">
        <v>78</v>
      </c>
      <c r="K85" s="4">
        <v>1</v>
      </c>
      <c r="L85" s="4">
        <v>45.497</v>
      </c>
      <c r="M85" s="4">
        <v>291100</v>
      </c>
      <c r="N85" s="4">
        <v>53860.560000000005</v>
      </c>
      <c r="O85" s="4">
        <v>27023.038881684508</v>
      </c>
      <c r="P85" s="4">
        <v>6971.8882563685529</v>
      </c>
      <c r="Q85" s="4">
        <v>25851.761654614591</v>
      </c>
      <c r="R85" s="4">
        <v>1268.8836626590769</v>
      </c>
      <c r="S85" s="4">
        <v>0</v>
      </c>
      <c r="T85" s="4">
        <v>39112.293118227579</v>
      </c>
      <c r="U85" s="4">
        <v>0</v>
      </c>
      <c r="V85" s="4">
        <v>445188.4255735543</v>
      </c>
      <c r="W85" s="4">
        <v>350.34</v>
      </c>
      <c r="X85" s="4">
        <v>2146.92</v>
      </c>
      <c r="Y85" s="4">
        <v>0</v>
      </c>
      <c r="Z85" s="4">
        <v>0</v>
      </c>
      <c r="AA85" s="3"/>
      <c r="AB85" s="3"/>
      <c r="AC85" s="3">
        <v>114387.84</v>
      </c>
    </row>
    <row r="86" spans="1:29" ht="14.4">
      <c r="A86" s="4">
        <v>85</v>
      </c>
      <c r="B86" s="4" t="s">
        <v>247</v>
      </c>
      <c r="C86" s="7" t="s">
        <v>21</v>
      </c>
      <c r="D86" s="5">
        <v>44965</v>
      </c>
      <c r="E86" s="3" t="s">
        <v>76</v>
      </c>
      <c r="F86" s="4" t="s">
        <v>250</v>
      </c>
      <c r="G86" s="4" t="s">
        <v>240</v>
      </c>
      <c r="H86" s="4">
        <v>14.026999999999999</v>
      </c>
      <c r="I86" s="4">
        <v>11198.2</v>
      </c>
      <c r="J86" s="4" t="s">
        <v>78</v>
      </c>
      <c r="K86" s="4">
        <v>1</v>
      </c>
      <c r="L86" s="4">
        <v>45.497</v>
      </c>
      <c r="M86" s="4">
        <v>624000</v>
      </c>
      <c r="N86" s="4">
        <v>119089.23</v>
      </c>
      <c r="O86" s="4">
        <v>59749.710969954067</v>
      </c>
      <c r="P86" s="4">
        <v>15415.302107831283</v>
      </c>
      <c r="Q86" s="4">
        <v>57159.940215838411</v>
      </c>
      <c r="R86" s="4">
        <v>2805.5849836252946</v>
      </c>
      <c r="S86" s="4">
        <v>0</v>
      </c>
      <c r="T86" s="4">
        <v>86479.84482493352</v>
      </c>
      <c r="U86" s="4">
        <v>0</v>
      </c>
      <c r="V86" s="4">
        <v>964699.61310218251</v>
      </c>
      <c r="W86" s="4">
        <v>759.16</v>
      </c>
      <c r="X86" s="4">
        <v>2146.92</v>
      </c>
      <c r="Y86" s="4">
        <v>0</v>
      </c>
      <c r="Z86" s="4">
        <v>0</v>
      </c>
      <c r="AA86" s="3"/>
      <c r="AB86" s="3"/>
      <c r="AC86" s="3">
        <v>53094.6</v>
      </c>
    </row>
    <row r="87" spans="1:29" ht="14.4">
      <c r="A87" s="4">
        <v>86</v>
      </c>
      <c r="B87" s="4" t="s">
        <v>247</v>
      </c>
      <c r="C87" s="7" t="s">
        <v>21</v>
      </c>
      <c r="D87" s="5">
        <v>44965</v>
      </c>
      <c r="E87" s="3" t="s">
        <v>76</v>
      </c>
      <c r="F87" s="4" t="s">
        <v>251</v>
      </c>
      <c r="G87" s="4" t="s">
        <v>240</v>
      </c>
      <c r="H87" s="4">
        <v>9.7110000000000003</v>
      </c>
      <c r="I87" s="4">
        <v>5436</v>
      </c>
      <c r="J87" s="4" t="s">
        <v>78</v>
      </c>
      <c r="K87" s="4">
        <v>1</v>
      </c>
      <c r="L87" s="4">
        <v>45.497</v>
      </c>
      <c r="M87" s="4">
        <v>376000</v>
      </c>
      <c r="N87" s="4">
        <v>82446.39</v>
      </c>
      <c r="O87" s="4">
        <v>41365.184517660506</v>
      </c>
      <c r="P87" s="4">
        <v>10672.132228498582</v>
      </c>
      <c r="Q87" s="4">
        <v>39572.266303272743</v>
      </c>
      <c r="R87" s="4">
        <v>1942.328065586742</v>
      </c>
      <c r="S87" s="4">
        <v>0</v>
      </c>
      <c r="T87" s="4">
        <v>59870.661801877046</v>
      </c>
      <c r="U87" s="4">
        <v>0</v>
      </c>
      <c r="V87" s="4">
        <v>611868.96291689563</v>
      </c>
      <c r="W87" s="4">
        <v>481.51</v>
      </c>
      <c r="X87" s="4">
        <v>2146.92</v>
      </c>
      <c r="Y87" s="4">
        <v>0</v>
      </c>
      <c r="Z87" s="4">
        <v>0</v>
      </c>
      <c r="AA87" s="3"/>
      <c r="AB87" s="3"/>
      <c r="AC87" s="3">
        <v>34420.050000000003</v>
      </c>
    </row>
    <row r="88" spans="1:29" ht="14.4">
      <c r="A88" s="4">
        <v>87</v>
      </c>
      <c r="B88" s="4" t="s">
        <v>252</v>
      </c>
      <c r="C88" s="7" t="s">
        <v>21</v>
      </c>
      <c r="D88" s="5">
        <v>44965</v>
      </c>
      <c r="E88" s="3" t="s">
        <v>76</v>
      </c>
      <c r="F88" s="4" t="s">
        <v>253</v>
      </c>
      <c r="G88" s="4" t="s">
        <v>240</v>
      </c>
      <c r="H88" s="4">
        <v>66.432000000000002</v>
      </c>
      <c r="I88" s="4">
        <v>11352</v>
      </c>
      <c r="J88" s="4" t="s">
        <v>78</v>
      </c>
      <c r="K88" s="4">
        <v>1</v>
      </c>
      <c r="L88" s="4">
        <v>66.432000000000002</v>
      </c>
      <c r="M88" s="4">
        <v>1016000</v>
      </c>
      <c r="N88" s="4">
        <v>564007.68000000005</v>
      </c>
      <c r="O88" s="4">
        <v>193800</v>
      </c>
      <c r="P88" s="4">
        <v>50000</v>
      </c>
      <c r="Q88" s="4">
        <v>185400</v>
      </c>
      <c r="R88" s="4">
        <v>9100</v>
      </c>
      <c r="S88" s="4">
        <v>0</v>
      </c>
      <c r="T88" s="4">
        <v>280500</v>
      </c>
      <c r="U88" s="4">
        <v>0</v>
      </c>
      <c r="V88" s="4">
        <v>2298807.6800000002</v>
      </c>
      <c r="W88" s="4">
        <v>1809.03</v>
      </c>
      <c r="X88" s="4">
        <v>1809.03</v>
      </c>
      <c r="Y88" s="4">
        <v>1</v>
      </c>
      <c r="Z88" s="4">
        <v>1809.03</v>
      </c>
      <c r="AA88" s="3"/>
      <c r="AB88" s="3"/>
      <c r="AC88" s="3">
        <v>110626.56000000001</v>
      </c>
    </row>
    <row r="89" spans="1:29" ht="14.4">
      <c r="A89" s="4">
        <v>88</v>
      </c>
      <c r="B89" s="4" t="s">
        <v>254</v>
      </c>
      <c r="C89" s="7" t="s">
        <v>21</v>
      </c>
      <c r="D89" s="5">
        <v>44965</v>
      </c>
      <c r="E89" s="3" t="s">
        <v>76</v>
      </c>
      <c r="F89" s="4" t="s">
        <v>255</v>
      </c>
      <c r="G89" s="4" t="s">
        <v>240</v>
      </c>
      <c r="H89" s="4">
        <v>13.84</v>
      </c>
      <c r="I89" s="4">
        <v>2365</v>
      </c>
      <c r="J89" s="4" t="s">
        <v>78</v>
      </c>
      <c r="K89" s="4">
        <v>1</v>
      </c>
      <c r="L89" s="4">
        <v>67.954999999999998</v>
      </c>
      <c r="M89" s="4">
        <v>332000</v>
      </c>
      <c r="N89" s="4">
        <v>117501.6</v>
      </c>
      <c r="O89" s="4">
        <v>39470.119932308146</v>
      </c>
      <c r="P89" s="4">
        <v>10183.209476859687</v>
      </c>
      <c r="Q89" s="4">
        <v>37759.340740195716</v>
      </c>
      <c r="R89" s="4">
        <v>1853.344124788463</v>
      </c>
      <c r="S89" s="4">
        <v>0</v>
      </c>
      <c r="T89" s="4">
        <v>57127.805165182843</v>
      </c>
      <c r="U89" s="4">
        <v>0</v>
      </c>
      <c r="V89" s="4">
        <v>595895.41943933477</v>
      </c>
      <c r="W89" s="4">
        <v>468.94</v>
      </c>
      <c r="X89" s="4">
        <v>1897.91</v>
      </c>
      <c r="Y89" s="4">
        <v>1</v>
      </c>
      <c r="Z89" s="4">
        <v>1897.91</v>
      </c>
      <c r="AA89" s="3"/>
      <c r="AB89" s="3"/>
      <c r="AC89" s="3">
        <v>23047.200000000004</v>
      </c>
    </row>
    <row r="90" spans="1:29" ht="14.4">
      <c r="A90" s="4">
        <v>89</v>
      </c>
      <c r="B90" s="4" t="s">
        <v>254</v>
      </c>
      <c r="C90" s="7" t="s">
        <v>21</v>
      </c>
      <c r="D90" s="5">
        <v>44965</v>
      </c>
      <c r="E90" s="3" t="s">
        <v>76</v>
      </c>
      <c r="F90" s="4" t="s">
        <v>256</v>
      </c>
      <c r="G90" s="4" t="s">
        <v>240</v>
      </c>
      <c r="H90" s="4">
        <v>24.207999999999998</v>
      </c>
      <c r="I90" s="4">
        <v>3687.98</v>
      </c>
      <c r="J90" s="4" t="s">
        <v>78</v>
      </c>
      <c r="K90" s="4">
        <v>1</v>
      </c>
      <c r="L90" s="4">
        <v>67.954999999999998</v>
      </c>
      <c r="M90" s="4">
        <v>392000</v>
      </c>
      <c r="N90" s="4">
        <v>205525.92</v>
      </c>
      <c r="O90" s="4">
        <v>69038.487234199099</v>
      </c>
      <c r="P90" s="4">
        <v>17811.78721212567</v>
      </c>
      <c r="Q90" s="4">
        <v>66046.106982561992</v>
      </c>
      <c r="R90" s="4">
        <v>3241.7452726068723</v>
      </c>
      <c r="S90" s="4">
        <v>0</v>
      </c>
      <c r="T90" s="4">
        <v>99924.126260025019</v>
      </c>
      <c r="U90" s="4">
        <v>0</v>
      </c>
      <c r="V90" s="4">
        <v>853588.17296151852</v>
      </c>
      <c r="W90" s="4">
        <v>671.73</v>
      </c>
      <c r="X90" s="4">
        <v>1897.91</v>
      </c>
      <c r="Y90" s="4">
        <v>0</v>
      </c>
      <c r="Z90" s="4">
        <v>0</v>
      </c>
      <c r="AA90" s="3"/>
      <c r="AB90" s="3"/>
      <c r="AC90" s="3">
        <v>43394.879999999997</v>
      </c>
    </row>
    <row r="91" spans="1:29" ht="14.4">
      <c r="A91" s="4">
        <v>90</v>
      </c>
      <c r="B91" s="4" t="s">
        <v>254</v>
      </c>
      <c r="C91" s="7" t="s">
        <v>21</v>
      </c>
      <c r="D91" s="5">
        <v>44965</v>
      </c>
      <c r="E91" s="3" t="s">
        <v>76</v>
      </c>
      <c r="F91" s="4" t="s">
        <v>257</v>
      </c>
      <c r="G91" s="4" t="s">
        <v>240</v>
      </c>
      <c r="H91" s="4">
        <v>29.907</v>
      </c>
      <c r="I91" s="4">
        <v>4981.2</v>
      </c>
      <c r="J91" s="4" t="s">
        <v>78</v>
      </c>
      <c r="K91" s="4">
        <v>1</v>
      </c>
      <c r="L91" s="4">
        <v>67.954999999999998</v>
      </c>
      <c r="M91" s="4">
        <v>392000</v>
      </c>
      <c r="N91" s="4">
        <v>253910.43</v>
      </c>
      <c r="O91" s="4">
        <v>85291.392833492748</v>
      </c>
      <c r="P91" s="4">
        <v>22005.003311014643</v>
      </c>
      <c r="Q91" s="4">
        <v>81594.552277242299</v>
      </c>
      <c r="R91" s="4">
        <v>4004.9106026046647</v>
      </c>
      <c r="S91" s="4">
        <v>0</v>
      </c>
      <c r="T91" s="4">
        <v>123448.06857479214</v>
      </c>
      <c r="U91" s="4">
        <v>0</v>
      </c>
      <c r="V91" s="4">
        <v>962254.3575991462</v>
      </c>
      <c r="W91" s="4">
        <v>757.24</v>
      </c>
      <c r="X91" s="4">
        <v>1897.91</v>
      </c>
      <c r="Y91" s="4">
        <v>0</v>
      </c>
      <c r="Z91" s="4">
        <v>0</v>
      </c>
      <c r="AA91" s="3"/>
      <c r="AB91" s="3"/>
      <c r="AC91" s="3">
        <v>30169.439999999999</v>
      </c>
    </row>
    <row r="92" spans="1:29" ht="14.4">
      <c r="A92" s="4">
        <v>91</v>
      </c>
      <c r="B92" s="4" t="s">
        <v>258</v>
      </c>
      <c r="C92" s="7" t="s">
        <v>21</v>
      </c>
      <c r="D92" s="5">
        <v>44965</v>
      </c>
      <c r="E92" s="3" t="s">
        <v>76</v>
      </c>
      <c r="F92" s="4" t="s">
        <v>259</v>
      </c>
      <c r="G92" s="4" t="s">
        <v>240</v>
      </c>
      <c r="H92" s="4">
        <v>11.391999999999999</v>
      </c>
      <c r="I92" s="4">
        <v>1735.52</v>
      </c>
      <c r="J92" s="4" t="s">
        <v>78</v>
      </c>
      <c r="K92" s="4">
        <v>1</v>
      </c>
      <c r="L92" s="4">
        <v>66.096000000000004</v>
      </c>
      <c r="M92" s="4">
        <v>332000</v>
      </c>
      <c r="N92" s="4">
        <v>96718.080000000002</v>
      </c>
      <c r="O92" s="4">
        <v>33402.469135802465</v>
      </c>
      <c r="P92" s="4">
        <v>8617.7680948922771</v>
      </c>
      <c r="Q92" s="4">
        <v>31954.684095860561</v>
      </c>
      <c r="R92" s="4">
        <v>1568.4337932703943</v>
      </c>
      <c r="S92" s="4">
        <v>0</v>
      </c>
      <c r="T92" s="4">
        <v>48345.679012345674</v>
      </c>
      <c r="U92" s="4">
        <v>0</v>
      </c>
      <c r="V92" s="4">
        <v>552607.11413217138</v>
      </c>
      <c r="W92" s="4">
        <v>434.87</v>
      </c>
      <c r="X92" s="4">
        <v>2146.7399999999998</v>
      </c>
      <c r="Y92" s="4">
        <v>1</v>
      </c>
      <c r="Z92" s="4">
        <v>2146.7399999999998</v>
      </c>
      <c r="AA92" s="3"/>
      <c r="AB92" s="3"/>
      <c r="AC92" s="3">
        <v>20421.12</v>
      </c>
    </row>
    <row r="93" spans="1:29" ht="14.4">
      <c r="A93" s="4">
        <v>92</v>
      </c>
      <c r="B93" s="4" t="s">
        <v>258</v>
      </c>
      <c r="C93" s="7" t="s">
        <v>21</v>
      </c>
      <c r="D93" s="5">
        <v>44965</v>
      </c>
      <c r="E93" s="3" t="s">
        <v>76</v>
      </c>
      <c r="F93" s="4" t="s">
        <v>260</v>
      </c>
      <c r="G93" s="4" t="s">
        <v>240</v>
      </c>
      <c r="H93" s="4">
        <v>11.544</v>
      </c>
      <c r="I93" s="4">
        <v>1492.8</v>
      </c>
      <c r="J93" s="4" t="s">
        <v>78</v>
      </c>
      <c r="K93" s="4">
        <v>1</v>
      </c>
      <c r="L93" s="4">
        <v>66.096000000000004</v>
      </c>
      <c r="M93" s="4">
        <v>332000</v>
      </c>
      <c r="N93" s="4">
        <v>98008.56</v>
      </c>
      <c r="O93" s="4">
        <v>33848.148148148146</v>
      </c>
      <c r="P93" s="4">
        <v>8732.7523602033398</v>
      </c>
      <c r="Q93" s="4">
        <v>32381.045751633985</v>
      </c>
      <c r="R93" s="4">
        <v>1589.3609295570079</v>
      </c>
      <c r="S93" s="4">
        <v>0</v>
      </c>
      <c r="T93" s="4">
        <v>48990.740740740737</v>
      </c>
      <c r="U93" s="4">
        <v>0</v>
      </c>
      <c r="V93" s="4">
        <v>555550.60793028329</v>
      </c>
      <c r="W93" s="4">
        <v>437.19</v>
      </c>
      <c r="X93" s="4">
        <v>2146.7399999999998</v>
      </c>
      <c r="Y93" s="4">
        <v>0</v>
      </c>
      <c r="Z93" s="4">
        <v>0</v>
      </c>
      <c r="AA93" s="3"/>
      <c r="AB93" s="3"/>
      <c r="AC93" s="3">
        <v>12472.32</v>
      </c>
    </row>
    <row r="94" spans="1:29" ht="14.4">
      <c r="A94" s="4">
        <v>93</v>
      </c>
      <c r="B94" s="4" t="s">
        <v>258</v>
      </c>
      <c r="C94" s="7" t="s">
        <v>21</v>
      </c>
      <c r="D94" s="5">
        <v>44965</v>
      </c>
      <c r="E94" s="3" t="s">
        <v>76</v>
      </c>
      <c r="F94" s="4" t="s">
        <v>261</v>
      </c>
      <c r="G94" s="4" t="s">
        <v>240</v>
      </c>
      <c r="H94" s="4">
        <v>21.58</v>
      </c>
      <c r="I94" s="4">
        <v>6420</v>
      </c>
      <c r="J94" s="4" t="s">
        <v>78</v>
      </c>
      <c r="K94" s="4">
        <v>1</v>
      </c>
      <c r="L94" s="4">
        <v>66.096000000000004</v>
      </c>
      <c r="M94" s="4">
        <v>392000</v>
      </c>
      <c r="N94" s="4">
        <v>183214.2</v>
      </c>
      <c r="O94" s="4">
        <v>63274.691358024669</v>
      </c>
      <c r="P94" s="4">
        <v>16324.739772452189</v>
      </c>
      <c r="Q94" s="4">
        <v>60532.135076252714</v>
      </c>
      <c r="R94" s="4">
        <v>2971.1026385862983</v>
      </c>
      <c r="S94" s="4">
        <v>0</v>
      </c>
      <c r="T94" s="4">
        <v>91581.790123456769</v>
      </c>
      <c r="U94" s="4">
        <v>0</v>
      </c>
      <c r="V94" s="4">
        <v>809898.65896877262</v>
      </c>
      <c r="W94" s="4">
        <v>637.34</v>
      </c>
      <c r="X94" s="4">
        <v>2146.7399999999998</v>
      </c>
      <c r="Y94" s="4">
        <v>0</v>
      </c>
      <c r="Z94" s="4">
        <v>0</v>
      </c>
      <c r="AA94" s="3"/>
      <c r="AB94" s="3"/>
      <c r="AC94" s="3">
        <v>32860.800000000003</v>
      </c>
    </row>
    <row r="95" spans="1:29" ht="14.4">
      <c r="A95" s="4">
        <v>94</v>
      </c>
      <c r="B95" s="4" t="s">
        <v>258</v>
      </c>
      <c r="C95" s="7" t="s">
        <v>21</v>
      </c>
      <c r="D95" s="5">
        <v>44965</v>
      </c>
      <c r="E95" s="3" t="s">
        <v>76</v>
      </c>
      <c r="F95" s="4" t="s">
        <v>262</v>
      </c>
      <c r="G95" s="4" t="s">
        <v>240</v>
      </c>
      <c r="H95" s="4">
        <v>21.58</v>
      </c>
      <c r="I95" s="4">
        <v>6420</v>
      </c>
      <c r="J95" s="4" t="s">
        <v>78</v>
      </c>
      <c r="K95" s="4">
        <v>1</v>
      </c>
      <c r="L95" s="4">
        <v>66.096000000000004</v>
      </c>
      <c r="M95" s="4">
        <v>392000</v>
      </c>
      <c r="N95" s="4">
        <v>183214.2</v>
      </c>
      <c r="O95" s="4">
        <v>63274.691358024669</v>
      </c>
      <c r="P95" s="4">
        <v>16324.739772452189</v>
      </c>
      <c r="Q95" s="4">
        <v>60532.135076252714</v>
      </c>
      <c r="R95" s="4">
        <v>2971.1026385862983</v>
      </c>
      <c r="S95" s="4">
        <v>0</v>
      </c>
      <c r="T95" s="4">
        <v>91581.790123456769</v>
      </c>
      <c r="U95" s="4">
        <v>0</v>
      </c>
      <c r="V95" s="4">
        <v>809898.65896877262</v>
      </c>
      <c r="W95" s="4">
        <v>637.34</v>
      </c>
      <c r="X95" s="4">
        <v>2146.7399999999998</v>
      </c>
      <c r="Y95" s="4">
        <v>0</v>
      </c>
      <c r="Z95" s="4">
        <v>0</v>
      </c>
      <c r="AA95" s="3"/>
      <c r="AB95" s="3"/>
      <c r="AC95" s="3">
        <v>32860.800000000003</v>
      </c>
    </row>
    <row r="96" spans="1:29" ht="14.4">
      <c r="A96" s="4">
        <v>95</v>
      </c>
      <c r="B96" s="4" t="s">
        <v>263</v>
      </c>
      <c r="C96" s="7" t="s">
        <v>21</v>
      </c>
      <c r="D96" s="5">
        <v>44965</v>
      </c>
      <c r="E96" s="3" t="s">
        <v>76</v>
      </c>
      <c r="F96" s="4" t="s">
        <v>264</v>
      </c>
      <c r="G96" s="4" t="s">
        <v>240</v>
      </c>
      <c r="H96" s="4">
        <v>31.285</v>
      </c>
      <c r="I96" s="4">
        <v>5278</v>
      </c>
      <c r="J96" s="4" t="s">
        <v>78</v>
      </c>
      <c r="K96" s="4">
        <v>1</v>
      </c>
      <c r="L96" s="4">
        <v>64.275999999999996</v>
      </c>
      <c r="M96" s="4">
        <v>392000</v>
      </c>
      <c r="N96" s="4">
        <v>265609.65000000002</v>
      </c>
      <c r="O96" s="4">
        <v>94328.100690771054</v>
      </c>
      <c r="P96" s="4">
        <v>24336.455286576642</v>
      </c>
      <c r="Q96" s="4">
        <v>90239.57620262618</v>
      </c>
      <c r="R96" s="4">
        <v>4429.2348621569481</v>
      </c>
      <c r="S96" s="4">
        <v>0</v>
      </c>
      <c r="T96" s="4">
        <v>136527.51415769494</v>
      </c>
      <c r="U96" s="4">
        <v>0</v>
      </c>
      <c r="V96" s="4">
        <v>1007470.5311998256</v>
      </c>
      <c r="W96" s="4">
        <v>792.82</v>
      </c>
      <c r="X96" s="4">
        <v>1977.2</v>
      </c>
      <c r="Y96" s="4">
        <v>1</v>
      </c>
      <c r="Z96" s="4">
        <v>1977.2</v>
      </c>
      <c r="AA96" s="3"/>
      <c r="AB96" s="3"/>
      <c r="AC96" s="3">
        <v>20718.18</v>
      </c>
    </row>
    <row r="97" spans="1:29" ht="14.4">
      <c r="A97" s="4">
        <v>96</v>
      </c>
      <c r="B97" s="4" t="s">
        <v>263</v>
      </c>
      <c r="C97" s="7" t="s">
        <v>21</v>
      </c>
      <c r="D97" s="5">
        <v>44965</v>
      </c>
      <c r="E97" s="3" t="s">
        <v>76</v>
      </c>
      <c r="F97" s="4" t="s">
        <v>265</v>
      </c>
      <c r="G97" s="4" t="s">
        <v>240</v>
      </c>
      <c r="H97" s="4">
        <v>31.285</v>
      </c>
      <c r="I97" s="4">
        <v>5278</v>
      </c>
      <c r="J97" s="4" t="s">
        <v>78</v>
      </c>
      <c r="K97" s="4">
        <v>1</v>
      </c>
      <c r="L97" s="4">
        <v>64.275999999999996</v>
      </c>
      <c r="M97" s="4">
        <v>392000</v>
      </c>
      <c r="N97" s="4">
        <v>265609.65000000002</v>
      </c>
      <c r="O97" s="4">
        <v>94328.100690771054</v>
      </c>
      <c r="P97" s="4">
        <v>24336.455286576642</v>
      </c>
      <c r="Q97" s="4">
        <v>90239.57620262618</v>
      </c>
      <c r="R97" s="4">
        <v>4429.2348621569481</v>
      </c>
      <c r="S97" s="4">
        <v>0</v>
      </c>
      <c r="T97" s="4">
        <v>136527.51415769494</v>
      </c>
      <c r="U97" s="4">
        <v>0</v>
      </c>
      <c r="V97" s="4">
        <v>1007470.5311998256</v>
      </c>
      <c r="W97" s="4">
        <v>792.82</v>
      </c>
      <c r="X97" s="4">
        <v>1977.2</v>
      </c>
      <c r="Y97" s="4">
        <v>0</v>
      </c>
      <c r="Z97" s="4">
        <v>0</v>
      </c>
      <c r="AA97" s="3"/>
      <c r="AB97" s="3"/>
      <c r="AC97" s="3">
        <v>20718.18</v>
      </c>
    </row>
    <row r="98" spans="1:29" ht="14.4">
      <c r="A98" s="4">
        <v>97</v>
      </c>
      <c r="B98" s="4" t="s">
        <v>263</v>
      </c>
      <c r="C98" s="7" t="s">
        <v>21</v>
      </c>
      <c r="D98" s="5">
        <v>44965</v>
      </c>
      <c r="E98" s="3" t="s">
        <v>76</v>
      </c>
      <c r="F98" s="4" t="s">
        <v>266</v>
      </c>
      <c r="G98" s="4" t="s">
        <v>240</v>
      </c>
      <c r="H98" s="4">
        <v>0.627</v>
      </c>
      <c r="I98" s="4">
        <v>46.5</v>
      </c>
      <c r="J98" s="4" t="s">
        <v>78</v>
      </c>
      <c r="K98" s="4">
        <v>1</v>
      </c>
      <c r="L98" s="4">
        <v>64.275999999999996</v>
      </c>
      <c r="M98" s="4">
        <v>232000</v>
      </c>
      <c r="N98" s="4">
        <v>5323.23</v>
      </c>
      <c r="O98" s="4">
        <v>1890.4816727861096</v>
      </c>
      <c r="P98" s="4">
        <v>487.74036965585901</v>
      </c>
      <c r="Q98" s="4">
        <v>1808.5412906839256</v>
      </c>
      <c r="R98" s="4">
        <v>88.768747277366359</v>
      </c>
      <c r="S98" s="4">
        <v>0</v>
      </c>
      <c r="T98" s="4">
        <v>2736.2234737693693</v>
      </c>
      <c r="U98" s="4">
        <v>0</v>
      </c>
      <c r="V98" s="4">
        <v>244334.98555417263</v>
      </c>
      <c r="W98" s="4">
        <v>192.28</v>
      </c>
      <c r="X98" s="4">
        <v>1977.2</v>
      </c>
      <c r="Y98" s="4">
        <v>0</v>
      </c>
      <c r="Z98" s="4">
        <v>0</v>
      </c>
      <c r="AA98" s="3"/>
      <c r="AB98" s="3"/>
      <c r="AC98" s="3">
        <v>920</v>
      </c>
    </row>
    <row r="99" spans="1:29" ht="14.4">
      <c r="A99" s="4">
        <v>98</v>
      </c>
      <c r="B99" s="4" t="s">
        <v>263</v>
      </c>
      <c r="C99" s="7" t="s">
        <v>21</v>
      </c>
      <c r="D99" s="5">
        <v>44965</v>
      </c>
      <c r="E99" s="3" t="s">
        <v>76</v>
      </c>
      <c r="F99" s="4" t="s">
        <v>267</v>
      </c>
      <c r="G99" s="4" t="s">
        <v>240</v>
      </c>
      <c r="H99" s="4">
        <v>1.079</v>
      </c>
      <c r="I99" s="4">
        <v>84.88</v>
      </c>
      <c r="J99" s="4" t="s">
        <v>78</v>
      </c>
      <c r="K99" s="4">
        <v>1</v>
      </c>
      <c r="L99" s="4">
        <v>64.275999999999996</v>
      </c>
      <c r="M99" s="4">
        <v>232000</v>
      </c>
      <c r="N99" s="4">
        <v>9160.7099999999991</v>
      </c>
      <c r="O99" s="4">
        <v>3253.3169456717901</v>
      </c>
      <c r="P99" s="4">
        <v>839.34905719086453</v>
      </c>
      <c r="Q99" s="4">
        <v>3112.3063040637253</v>
      </c>
      <c r="R99" s="4">
        <v>152.76152840873732</v>
      </c>
      <c r="S99" s="4">
        <v>0</v>
      </c>
      <c r="T99" s="4">
        <v>4708.7482108407494</v>
      </c>
      <c r="U99" s="4">
        <v>0</v>
      </c>
      <c r="V99" s="4">
        <v>253227.19204617589</v>
      </c>
      <c r="W99" s="4">
        <v>199.28</v>
      </c>
      <c r="X99" s="4">
        <v>1977.2</v>
      </c>
      <c r="Y99" s="4">
        <v>0</v>
      </c>
      <c r="Z99" s="4">
        <v>0</v>
      </c>
      <c r="AA99" s="3"/>
      <c r="AB99" s="3"/>
      <c r="AC99" s="3">
        <v>1121.1199999999999</v>
      </c>
    </row>
    <row r="100" spans="1:29" ht="14.4">
      <c r="A100" s="4">
        <v>99</v>
      </c>
      <c r="B100" s="4" t="s">
        <v>268</v>
      </c>
      <c r="C100" s="7" t="s">
        <v>21</v>
      </c>
      <c r="D100" s="5">
        <v>44965</v>
      </c>
      <c r="E100" s="3" t="s">
        <v>76</v>
      </c>
      <c r="F100" s="4" t="s">
        <v>269</v>
      </c>
      <c r="G100" s="4" t="s">
        <v>240</v>
      </c>
      <c r="H100" s="4">
        <v>28.86</v>
      </c>
      <c r="I100" s="4">
        <v>3732</v>
      </c>
      <c r="J100" s="4" t="s">
        <v>78</v>
      </c>
      <c r="K100" s="4">
        <v>1</v>
      </c>
      <c r="L100" s="4">
        <v>61.23</v>
      </c>
      <c r="M100" s="4">
        <v>392000</v>
      </c>
      <c r="N100" s="4">
        <v>245021.4</v>
      </c>
      <c r="O100" s="4">
        <v>91345.222929936324</v>
      </c>
      <c r="P100" s="4">
        <v>23566.878980891721</v>
      </c>
      <c r="Q100" s="4">
        <v>87385.987261146496</v>
      </c>
      <c r="R100" s="4">
        <v>4289.1719745222927</v>
      </c>
      <c r="S100" s="4">
        <v>0</v>
      </c>
      <c r="T100" s="4">
        <v>132210.19108280254</v>
      </c>
      <c r="U100" s="4">
        <v>0</v>
      </c>
      <c r="V100" s="4">
        <v>975818.85222929949</v>
      </c>
      <c r="W100" s="4">
        <v>767.91</v>
      </c>
      <c r="X100" s="4">
        <v>1591.6999999999998</v>
      </c>
      <c r="Y100" s="4">
        <v>1</v>
      </c>
      <c r="Z100" s="4">
        <v>1591.6999999999998</v>
      </c>
      <c r="AA100" s="3"/>
      <c r="AB100" s="3"/>
      <c r="AC100" s="3">
        <v>31180.799999999999</v>
      </c>
    </row>
    <row r="101" spans="1:29" ht="14.4">
      <c r="A101" s="4">
        <v>100</v>
      </c>
      <c r="B101" s="4" t="s">
        <v>268</v>
      </c>
      <c r="C101" s="7" t="s">
        <v>21</v>
      </c>
      <c r="D101" s="5">
        <v>44965</v>
      </c>
      <c r="E101" s="3" t="s">
        <v>76</v>
      </c>
      <c r="F101" s="4" t="s">
        <v>270</v>
      </c>
      <c r="G101" s="4" t="s">
        <v>240</v>
      </c>
      <c r="H101" s="4">
        <v>32.369999999999997</v>
      </c>
      <c r="I101" s="4">
        <v>4030.2</v>
      </c>
      <c r="J101" s="4" t="s">
        <v>78</v>
      </c>
      <c r="K101" s="4">
        <v>1</v>
      </c>
      <c r="L101" s="4">
        <v>61.23</v>
      </c>
      <c r="M101" s="4">
        <v>392000</v>
      </c>
      <c r="N101" s="4">
        <v>274821.3</v>
      </c>
      <c r="O101" s="4">
        <v>102454.77707006368</v>
      </c>
      <c r="P101" s="4">
        <v>26433.121019108279</v>
      </c>
      <c r="Q101" s="4">
        <v>98014.012738853504</v>
      </c>
      <c r="R101" s="4">
        <v>4810.8280254777073</v>
      </c>
      <c r="S101" s="4">
        <v>0</v>
      </c>
      <c r="T101" s="4">
        <v>148289.80891719746</v>
      </c>
      <c r="U101" s="4">
        <v>0</v>
      </c>
      <c r="V101" s="4">
        <v>1046823.8477707003</v>
      </c>
      <c r="W101" s="4">
        <v>823.79</v>
      </c>
      <c r="X101" s="4">
        <v>1591.6999999999998</v>
      </c>
      <c r="Y101" s="4">
        <v>0</v>
      </c>
      <c r="Z101" s="4">
        <v>0</v>
      </c>
      <c r="AA101" s="3"/>
      <c r="AB101" s="3"/>
      <c r="AC101" s="3">
        <v>31770</v>
      </c>
    </row>
    <row r="102" spans="1:29" ht="14.4">
      <c r="A102" s="4">
        <v>101</v>
      </c>
      <c r="B102" s="4" t="s">
        <v>271</v>
      </c>
      <c r="C102" s="7" t="s">
        <v>21</v>
      </c>
      <c r="D102" s="5">
        <v>44965</v>
      </c>
      <c r="E102" s="3" t="s">
        <v>76</v>
      </c>
      <c r="F102" s="4" t="s">
        <v>272</v>
      </c>
      <c r="G102" s="4" t="s">
        <v>240</v>
      </c>
      <c r="H102" s="4">
        <v>28.86</v>
      </c>
      <c r="I102" s="4">
        <v>3732</v>
      </c>
      <c r="J102" s="4" t="s">
        <v>78</v>
      </c>
      <c r="K102" s="4">
        <v>1</v>
      </c>
      <c r="L102" s="4">
        <v>61.222999999999999</v>
      </c>
      <c r="M102" s="4">
        <v>392000</v>
      </c>
      <c r="N102" s="4">
        <v>245021.4</v>
      </c>
      <c r="O102" s="4">
        <v>91355.666987896708</v>
      </c>
      <c r="P102" s="4">
        <v>23569.573526289139</v>
      </c>
      <c r="Q102" s="4">
        <v>87395.978635480133</v>
      </c>
      <c r="R102" s="4">
        <v>4289.662381784623</v>
      </c>
      <c r="S102" s="4">
        <v>0</v>
      </c>
      <c r="T102" s="4">
        <v>132225.30748248208</v>
      </c>
      <c r="U102" s="4">
        <v>0</v>
      </c>
      <c r="V102" s="4">
        <v>975857.58901393285</v>
      </c>
      <c r="W102" s="4">
        <v>767.94</v>
      </c>
      <c r="X102" s="4">
        <v>1887.54</v>
      </c>
      <c r="Y102" s="4">
        <v>1</v>
      </c>
      <c r="Z102" s="4">
        <v>1887.54</v>
      </c>
      <c r="AA102" s="3"/>
      <c r="AB102" s="3"/>
      <c r="AC102" s="3">
        <v>31180.799999999999</v>
      </c>
    </row>
    <row r="103" spans="1:29" ht="14.4">
      <c r="A103" s="4">
        <v>102</v>
      </c>
      <c r="B103" s="4" t="s">
        <v>271</v>
      </c>
      <c r="C103" s="7" t="s">
        <v>21</v>
      </c>
      <c r="D103" s="5">
        <v>44965</v>
      </c>
      <c r="E103" s="3" t="s">
        <v>76</v>
      </c>
      <c r="F103" s="4" t="s">
        <v>273</v>
      </c>
      <c r="G103" s="4" t="s">
        <v>240</v>
      </c>
      <c r="H103" s="4">
        <v>9.7089999999999996</v>
      </c>
      <c r="I103" s="4">
        <v>5436</v>
      </c>
      <c r="J103" s="4" t="s">
        <v>78</v>
      </c>
      <c r="K103" s="4">
        <v>1</v>
      </c>
      <c r="L103" s="4">
        <v>61.222999999999999</v>
      </c>
      <c r="M103" s="4">
        <v>376000</v>
      </c>
      <c r="N103" s="4">
        <v>82429.41</v>
      </c>
      <c r="O103" s="4">
        <v>30733.616451333648</v>
      </c>
      <c r="P103" s="4">
        <v>7929.209610767195</v>
      </c>
      <c r="Q103" s="4">
        <v>29401.509236724756</v>
      </c>
      <c r="R103" s="4">
        <v>1443.1161491596297</v>
      </c>
      <c r="S103" s="4">
        <v>0</v>
      </c>
      <c r="T103" s="4">
        <v>44482.865916403971</v>
      </c>
      <c r="U103" s="4">
        <v>0</v>
      </c>
      <c r="V103" s="4">
        <v>572419.72736438923</v>
      </c>
      <c r="W103" s="4">
        <v>450.46</v>
      </c>
      <c r="X103" s="4">
        <v>1887.54</v>
      </c>
      <c r="Y103" s="4">
        <v>0</v>
      </c>
      <c r="Z103" s="4">
        <v>0</v>
      </c>
      <c r="AA103" s="3"/>
      <c r="AB103" s="3"/>
      <c r="AC103" s="3">
        <v>34420.050000000003</v>
      </c>
    </row>
    <row r="104" spans="1:29" ht="14.4">
      <c r="A104" s="4">
        <v>103</v>
      </c>
      <c r="B104" s="4" t="s">
        <v>271</v>
      </c>
      <c r="C104" s="7" t="s">
        <v>21</v>
      </c>
      <c r="D104" s="5">
        <v>44965</v>
      </c>
      <c r="E104" s="3" t="s">
        <v>76</v>
      </c>
      <c r="F104" s="4" t="s">
        <v>274</v>
      </c>
      <c r="G104" s="4" t="s">
        <v>240</v>
      </c>
      <c r="H104" s="4">
        <v>22.654</v>
      </c>
      <c r="I104" s="4">
        <v>3330.18</v>
      </c>
      <c r="J104" s="4" t="s">
        <v>78</v>
      </c>
      <c r="K104" s="4">
        <v>1</v>
      </c>
      <c r="L104" s="4">
        <v>61.222999999999999</v>
      </c>
      <c r="M104" s="4">
        <v>392000</v>
      </c>
      <c r="N104" s="4">
        <v>192332.46</v>
      </c>
      <c r="O104" s="4">
        <v>71710.716560769637</v>
      </c>
      <c r="P104" s="4">
        <v>18501.216862943664</v>
      </c>
      <c r="Q104" s="4">
        <v>68602.512127795111</v>
      </c>
      <c r="R104" s="4">
        <v>3367.2214690557471</v>
      </c>
      <c r="S104" s="4">
        <v>0</v>
      </c>
      <c r="T104" s="4">
        <v>103791.82660111396</v>
      </c>
      <c r="U104" s="4">
        <v>0</v>
      </c>
      <c r="V104" s="4">
        <v>850305.95362167829</v>
      </c>
      <c r="W104" s="4">
        <v>669.14</v>
      </c>
      <c r="X104" s="4">
        <v>1887.54</v>
      </c>
      <c r="Y104" s="4">
        <v>0</v>
      </c>
      <c r="Z104" s="4">
        <v>0</v>
      </c>
      <c r="AA104" s="3"/>
      <c r="AB104" s="3"/>
      <c r="AC104" s="3">
        <v>32351.759999999998</v>
      </c>
    </row>
    <row r="105" spans="1:29" ht="14.4">
      <c r="A105" s="4">
        <v>104</v>
      </c>
      <c r="B105" s="4" t="s">
        <v>275</v>
      </c>
      <c r="C105" s="7" t="s">
        <v>21</v>
      </c>
      <c r="D105" s="5">
        <v>44965</v>
      </c>
      <c r="E105" s="3" t="s">
        <v>76</v>
      </c>
      <c r="F105" s="4" t="s">
        <v>276</v>
      </c>
      <c r="G105" s="4" t="s">
        <v>240</v>
      </c>
      <c r="H105" s="4">
        <v>12.948</v>
      </c>
      <c r="I105" s="4">
        <v>11095.2</v>
      </c>
      <c r="J105" s="4" t="s">
        <v>78</v>
      </c>
      <c r="K105" s="4">
        <v>1</v>
      </c>
      <c r="L105" s="4">
        <v>42.457999999999998</v>
      </c>
      <c r="M105" s="4">
        <v>392000</v>
      </c>
      <c r="N105" s="4">
        <v>109928.52</v>
      </c>
      <c r="O105" s="4">
        <v>59101.285976729952</v>
      </c>
      <c r="P105" s="4">
        <v>15248.009797917945</v>
      </c>
      <c r="Q105" s="4">
        <v>56539.62033067974</v>
      </c>
      <c r="R105" s="4">
        <v>2775.137783221066</v>
      </c>
      <c r="S105" s="4">
        <v>0</v>
      </c>
      <c r="T105" s="4">
        <v>85541.334966319657</v>
      </c>
      <c r="U105" s="4">
        <v>0</v>
      </c>
      <c r="V105" s="4">
        <v>721133.90885486826</v>
      </c>
      <c r="W105" s="4">
        <v>567.49</v>
      </c>
      <c r="X105" s="4">
        <v>1956.63</v>
      </c>
      <c r="Y105" s="4">
        <v>1</v>
      </c>
      <c r="Z105" s="4">
        <v>1956.63</v>
      </c>
      <c r="AA105" s="3"/>
      <c r="AB105" s="3"/>
      <c r="AC105" s="3">
        <v>46267.199999999997</v>
      </c>
    </row>
    <row r="106" spans="1:29" ht="14.4">
      <c r="A106" s="4">
        <v>105</v>
      </c>
      <c r="B106" s="4" t="s">
        <v>275</v>
      </c>
      <c r="C106" s="7" t="s">
        <v>21</v>
      </c>
      <c r="D106" s="5">
        <v>44965</v>
      </c>
      <c r="E106" s="3" t="s">
        <v>76</v>
      </c>
      <c r="F106" s="4" t="s">
        <v>277</v>
      </c>
      <c r="G106" s="4" t="s">
        <v>240</v>
      </c>
      <c r="H106" s="4">
        <v>12.948</v>
      </c>
      <c r="I106" s="4">
        <v>11095.2</v>
      </c>
      <c r="J106" s="4" t="s">
        <v>78</v>
      </c>
      <c r="K106" s="4">
        <v>1</v>
      </c>
      <c r="L106" s="4">
        <v>42.457999999999998</v>
      </c>
      <c r="M106" s="4">
        <v>392000</v>
      </c>
      <c r="N106" s="4">
        <v>109928.52</v>
      </c>
      <c r="O106" s="4">
        <v>59101.285976729952</v>
      </c>
      <c r="P106" s="4">
        <v>15248.009797917945</v>
      </c>
      <c r="Q106" s="4">
        <v>56539.62033067974</v>
      </c>
      <c r="R106" s="4">
        <v>2775.137783221066</v>
      </c>
      <c r="S106" s="4">
        <v>0</v>
      </c>
      <c r="T106" s="4">
        <v>85541.334966319657</v>
      </c>
      <c r="U106" s="4">
        <v>0</v>
      </c>
      <c r="V106" s="4">
        <v>721133.90885486826</v>
      </c>
      <c r="W106" s="4">
        <v>567.49</v>
      </c>
      <c r="X106" s="4">
        <v>1956.63</v>
      </c>
      <c r="Y106" s="4">
        <v>0</v>
      </c>
      <c r="Z106" s="4">
        <v>0</v>
      </c>
      <c r="AA106" s="3"/>
      <c r="AB106" s="3"/>
      <c r="AC106" s="3">
        <v>46267.199999999997</v>
      </c>
    </row>
    <row r="107" spans="1:29" ht="14.4">
      <c r="A107" s="4">
        <v>106</v>
      </c>
      <c r="B107" s="4" t="s">
        <v>275</v>
      </c>
      <c r="C107" s="7" t="s">
        <v>21</v>
      </c>
      <c r="D107" s="5">
        <v>44965</v>
      </c>
      <c r="E107" s="3" t="s">
        <v>76</v>
      </c>
      <c r="F107" s="4" t="s">
        <v>278</v>
      </c>
      <c r="G107" s="4" t="s">
        <v>240</v>
      </c>
      <c r="H107" s="4">
        <v>5.7720000000000002</v>
      </c>
      <c r="I107" s="4">
        <v>746.4</v>
      </c>
      <c r="J107" s="4" t="s">
        <v>78</v>
      </c>
      <c r="K107" s="4">
        <v>1</v>
      </c>
      <c r="L107" s="4">
        <v>42.457999999999998</v>
      </c>
      <c r="M107" s="4">
        <v>291100</v>
      </c>
      <c r="N107" s="4">
        <v>49004.28</v>
      </c>
      <c r="O107" s="4">
        <v>26346.356399265162</v>
      </c>
      <c r="P107" s="4">
        <v>6797.3055725658305</v>
      </c>
      <c r="Q107" s="4">
        <v>25204.409063074098</v>
      </c>
      <c r="R107" s="4">
        <v>1237.1096142069812</v>
      </c>
      <c r="S107" s="4">
        <v>0</v>
      </c>
      <c r="T107" s="4">
        <v>38132.884262094311</v>
      </c>
      <c r="U107" s="4">
        <v>0</v>
      </c>
      <c r="V107" s="4">
        <v>437822.34491120646</v>
      </c>
      <c r="W107" s="4">
        <v>344.54</v>
      </c>
      <c r="X107" s="4">
        <v>1956.63</v>
      </c>
      <c r="Y107" s="4">
        <v>0</v>
      </c>
      <c r="Z107" s="4">
        <v>0</v>
      </c>
      <c r="AA107" s="3"/>
      <c r="AB107" s="3"/>
      <c r="AC107" s="3">
        <v>6236.16</v>
      </c>
    </row>
    <row r="108" spans="1:29" ht="14.4">
      <c r="A108" s="4">
        <v>107</v>
      </c>
      <c r="B108" s="4" t="s">
        <v>275</v>
      </c>
      <c r="C108" s="7" t="s">
        <v>21</v>
      </c>
      <c r="D108" s="5">
        <v>44965</v>
      </c>
      <c r="E108" s="3" t="s">
        <v>76</v>
      </c>
      <c r="F108" s="4" t="s">
        <v>279</v>
      </c>
      <c r="G108" s="4" t="s">
        <v>240</v>
      </c>
      <c r="H108" s="4">
        <v>10.79</v>
      </c>
      <c r="I108" s="4">
        <v>1343.4</v>
      </c>
      <c r="J108" s="4" t="s">
        <v>78</v>
      </c>
      <c r="K108" s="4">
        <v>1</v>
      </c>
      <c r="L108" s="4">
        <v>42.457999999999998</v>
      </c>
      <c r="M108" s="4">
        <v>332000</v>
      </c>
      <c r="N108" s="4">
        <v>91607.099999999991</v>
      </c>
      <c r="O108" s="4">
        <v>49251.071647274955</v>
      </c>
      <c r="P108" s="4">
        <v>12706.674831598286</v>
      </c>
      <c r="Q108" s="4">
        <v>47116.350275566445</v>
      </c>
      <c r="R108" s="4">
        <v>2312.614819350888</v>
      </c>
      <c r="S108" s="4">
        <v>0</v>
      </c>
      <c r="T108" s="4">
        <v>71284.445805266383</v>
      </c>
      <c r="U108" s="4">
        <v>0</v>
      </c>
      <c r="V108" s="4">
        <v>606278.25737905689</v>
      </c>
      <c r="W108" s="4">
        <v>477.11</v>
      </c>
      <c r="X108" s="4">
        <v>1956.63</v>
      </c>
      <c r="Y108" s="4">
        <v>0</v>
      </c>
      <c r="Z108" s="4">
        <v>0</v>
      </c>
      <c r="AA108" s="3"/>
      <c r="AB108" s="3"/>
      <c r="AC108" s="3">
        <v>10590</v>
      </c>
    </row>
    <row r="109" spans="1:29" ht="14.4">
      <c r="A109" s="4">
        <v>108</v>
      </c>
      <c r="B109" s="4" t="s">
        <v>280</v>
      </c>
      <c r="C109" s="7" t="s">
        <v>21</v>
      </c>
      <c r="D109" s="5">
        <v>44965</v>
      </c>
      <c r="E109" s="3" t="s">
        <v>76</v>
      </c>
      <c r="F109" s="4" t="s">
        <v>281</v>
      </c>
      <c r="G109" s="4" t="s">
        <v>240</v>
      </c>
      <c r="H109" s="4">
        <v>14.019</v>
      </c>
      <c r="I109" s="4">
        <v>11198.72</v>
      </c>
      <c r="J109" s="4" t="s">
        <v>78</v>
      </c>
      <c r="K109" s="4">
        <v>1</v>
      </c>
      <c r="L109" s="4">
        <v>47.928999999999995</v>
      </c>
      <c r="M109" s="4">
        <v>624000</v>
      </c>
      <c r="N109" s="4">
        <v>119021.31</v>
      </c>
      <c r="O109" s="4">
        <v>56685.559890671626</v>
      </c>
      <c r="P109" s="4">
        <v>14624.75745373365</v>
      </c>
      <c r="Q109" s="4">
        <v>54228.600638444375</v>
      </c>
      <c r="R109" s="4">
        <v>2661.7058565795242</v>
      </c>
      <c r="S109" s="4">
        <v>0</v>
      </c>
      <c r="T109" s="4">
        <v>82044.889315445776</v>
      </c>
      <c r="U109" s="4">
        <v>0</v>
      </c>
      <c r="V109" s="4">
        <v>953266.82315487508</v>
      </c>
      <c r="W109" s="4">
        <v>750.17</v>
      </c>
      <c r="X109" s="4">
        <v>1893.96</v>
      </c>
      <c r="Y109" s="4">
        <v>1</v>
      </c>
      <c r="Z109" s="4">
        <v>1893.96</v>
      </c>
      <c r="AA109" s="3"/>
      <c r="AB109" s="3"/>
      <c r="AC109" s="3">
        <v>53094.6</v>
      </c>
    </row>
    <row r="110" spans="1:29" ht="14.4">
      <c r="A110" s="4">
        <v>109</v>
      </c>
      <c r="B110" s="4" t="s">
        <v>280</v>
      </c>
      <c r="C110" s="7" t="s">
        <v>21</v>
      </c>
      <c r="D110" s="5">
        <v>44965</v>
      </c>
      <c r="E110" s="3" t="s">
        <v>76</v>
      </c>
      <c r="F110" s="4" t="s">
        <v>282</v>
      </c>
      <c r="G110" s="4" t="s">
        <v>240</v>
      </c>
      <c r="H110" s="4">
        <v>25.890999999999998</v>
      </c>
      <c r="I110" s="4">
        <v>3224.16</v>
      </c>
      <c r="J110" s="4" t="s">
        <v>78</v>
      </c>
      <c r="K110" s="4">
        <v>1</v>
      </c>
      <c r="L110" s="4">
        <v>47.928999999999995</v>
      </c>
      <c r="M110" s="4">
        <v>392000</v>
      </c>
      <c r="N110" s="4">
        <v>219814.59</v>
      </c>
      <c r="O110" s="4">
        <v>104689.76611237456</v>
      </c>
      <c r="P110" s="4">
        <v>27009.743579044003</v>
      </c>
      <c r="Q110" s="4">
        <v>100152.12919109515</v>
      </c>
      <c r="R110" s="4">
        <v>4915.773331386009</v>
      </c>
      <c r="S110" s="4">
        <v>0</v>
      </c>
      <c r="T110" s="4">
        <v>151524.66147843687</v>
      </c>
      <c r="U110" s="4">
        <v>0</v>
      </c>
      <c r="V110" s="4">
        <v>1000106.6636923366</v>
      </c>
      <c r="W110" s="4">
        <v>787.03</v>
      </c>
      <c r="X110" s="4">
        <v>1893.96</v>
      </c>
      <c r="Y110" s="4">
        <v>0</v>
      </c>
      <c r="Z110" s="4">
        <v>0</v>
      </c>
      <c r="AA110" s="3"/>
      <c r="AB110" s="3"/>
      <c r="AC110" s="3">
        <v>24350.400000000001</v>
      </c>
    </row>
    <row r="111" spans="1:29" ht="14.4">
      <c r="A111" s="4">
        <v>110</v>
      </c>
      <c r="B111" s="4" t="s">
        <v>280</v>
      </c>
      <c r="C111" s="7" t="s">
        <v>21</v>
      </c>
      <c r="D111" s="5">
        <v>44965</v>
      </c>
      <c r="E111" s="3" t="s">
        <v>76</v>
      </c>
      <c r="F111" s="4" t="s">
        <v>283</v>
      </c>
      <c r="G111" s="4" t="s">
        <v>284</v>
      </c>
      <c r="H111" s="4">
        <v>8.0190000000000001</v>
      </c>
      <c r="I111" s="4">
        <v>8006</v>
      </c>
      <c r="J111" s="4" t="s">
        <v>78</v>
      </c>
      <c r="K111" s="4">
        <v>1</v>
      </c>
      <c r="L111" s="4">
        <v>47.928999999999995</v>
      </c>
      <c r="M111" s="4">
        <v>265000</v>
      </c>
      <c r="N111" s="4">
        <v>68081.31</v>
      </c>
      <c r="O111" s="4">
        <v>32424.673996953832</v>
      </c>
      <c r="P111" s="4">
        <v>8365.498967222351</v>
      </c>
      <c r="Q111" s="4">
        <v>31019.270170460477</v>
      </c>
      <c r="R111" s="4">
        <v>1522.520812034468</v>
      </c>
      <c r="S111" s="4">
        <v>0</v>
      </c>
      <c r="T111" s="4">
        <v>46930.449206117395</v>
      </c>
      <c r="U111" s="4">
        <v>0</v>
      </c>
      <c r="V111" s="4">
        <v>453343.72315278847</v>
      </c>
      <c r="W111" s="4">
        <v>356.76</v>
      </c>
      <c r="X111" s="4">
        <v>1893.96</v>
      </c>
      <c r="Y111" s="4">
        <v>0</v>
      </c>
      <c r="Z111" s="4">
        <v>0</v>
      </c>
      <c r="AA111" s="3"/>
      <c r="AB111" s="3"/>
      <c r="AC111" s="3">
        <v>33428</v>
      </c>
    </row>
    <row r="112" spans="1:29" ht="14.4">
      <c r="A112" s="4">
        <v>111</v>
      </c>
      <c r="B112" s="4" t="s">
        <v>285</v>
      </c>
      <c r="C112" s="7" t="s">
        <v>21</v>
      </c>
      <c r="D112" s="5">
        <v>44965</v>
      </c>
      <c r="E112" s="3" t="s">
        <v>76</v>
      </c>
      <c r="F112" s="4" t="s">
        <v>286</v>
      </c>
      <c r="G112" s="4" t="s">
        <v>287</v>
      </c>
      <c r="H112" s="4">
        <v>60.765000000000001</v>
      </c>
      <c r="I112" s="4">
        <v>4851</v>
      </c>
      <c r="J112" s="4" t="s">
        <v>78</v>
      </c>
      <c r="K112" s="4">
        <v>1</v>
      </c>
      <c r="L112" s="4">
        <v>60.765000000000001</v>
      </c>
      <c r="M112" s="4">
        <v>740000</v>
      </c>
      <c r="N112" s="4">
        <v>515894.85</v>
      </c>
      <c r="O112" s="4">
        <v>193800</v>
      </c>
      <c r="P112" s="4">
        <v>50000</v>
      </c>
      <c r="Q112" s="4">
        <v>185400</v>
      </c>
      <c r="R112" s="4">
        <v>9100</v>
      </c>
      <c r="S112" s="4">
        <v>0</v>
      </c>
      <c r="T112" s="4">
        <v>280500</v>
      </c>
      <c r="U112" s="4">
        <v>0</v>
      </c>
      <c r="V112" s="4">
        <v>1974694.85</v>
      </c>
      <c r="W112" s="4">
        <v>1553.97</v>
      </c>
      <c r="X112" s="4">
        <v>1553.97</v>
      </c>
      <c r="Y112" s="4">
        <v>1</v>
      </c>
      <c r="Z112" s="4">
        <v>1553.97</v>
      </c>
      <c r="AA112" s="3"/>
      <c r="AB112" s="3"/>
      <c r="AC112" s="3">
        <v>10348.799999999999</v>
      </c>
    </row>
    <row r="113" spans="1:29" ht="14.4">
      <c r="A113" s="4">
        <v>112</v>
      </c>
      <c r="B113" s="4" t="s">
        <v>288</v>
      </c>
      <c r="C113" s="7" t="s">
        <v>21</v>
      </c>
      <c r="D113" s="5">
        <v>44965</v>
      </c>
      <c r="E113" s="3" t="s">
        <v>76</v>
      </c>
      <c r="F113" s="4" t="s">
        <v>289</v>
      </c>
      <c r="G113" s="4" t="s">
        <v>287</v>
      </c>
      <c r="H113" s="4">
        <v>41.741</v>
      </c>
      <c r="I113" s="4">
        <v>5669</v>
      </c>
      <c r="J113" s="4" t="s">
        <v>78</v>
      </c>
      <c r="K113" s="4">
        <v>1</v>
      </c>
      <c r="L113" s="4">
        <v>59.998000000000005</v>
      </c>
      <c r="M113" s="4">
        <v>659000</v>
      </c>
      <c r="N113" s="4">
        <v>354381.09</v>
      </c>
      <c r="O113" s="4">
        <v>134827.92426414214</v>
      </c>
      <c r="P113" s="4">
        <v>34785.326177539253</v>
      </c>
      <c r="Q113" s="4">
        <v>128983.98946631554</v>
      </c>
      <c r="R113" s="4">
        <v>6330.9293643121437</v>
      </c>
      <c r="S113" s="4">
        <v>0</v>
      </c>
      <c r="T113" s="4">
        <v>195145.6798559952</v>
      </c>
      <c r="U113" s="4">
        <v>0</v>
      </c>
      <c r="V113" s="4">
        <v>1513454.9391283044</v>
      </c>
      <c r="W113" s="4">
        <v>1191</v>
      </c>
      <c r="X113" s="4">
        <v>1745.58</v>
      </c>
      <c r="Y113" s="4">
        <v>1</v>
      </c>
      <c r="Z113" s="4">
        <v>1745.58</v>
      </c>
      <c r="AA113" s="3"/>
      <c r="AB113" s="3"/>
      <c r="AC113" s="3">
        <v>59403.12</v>
      </c>
    </row>
    <row r="114" spans="1:29" ht="14.4">
      <c r="A114" s="4">
        <v>113</v>
      </c>
      <c r="B114" s="4" t="s">
        <v>288</v>
      </c>
      <c r="C114" s="7" t="s">
        <v>21</v>
      </c>
      <c r="D114" s="5">
        <v>44965</v>
      </c>
      <c r="E114" s="3" t="s">
        <v>76</v>
      </c>
      <c r="F114" s="4" t="s">
        <v>290</v>
      </c>
      <c r="G114" s="4" t="s">
        <v>287</v>
      </c>
      <c r="H114" s="4">
        <v>18.257000000000001</v>
      </c>
      <c r="I114" s="4">
        <v>2066</v>
      </c>
      <c r="J114" s="4" t="s">
        <v>78</v>
      </c>
      <c r="K114" s="4">
        <v>1</v>
      </c>
      <c r="L114" s="4">
        <v>59.998000000000005</v>
      </c>
      <c r="M114" s="4">
        <v>331000</v>
      </c>
      <c r="N114" s="4">
        <v>155001.93000000002</v>
      </c>
      <c r="O114" s="4">
        <v>58972.075735857856</v>
      </c>
      <c r="P114" s="4">
        <v>15214.673822460749</v>
      </c>
      <c r="Q114" s="4">
        <v>56416.01053368445</v>
      </c>
      <c r="R114" s="4">
        <v>2769.0706356878559</v>
      </c>
      <c r="S114" s="4">
        <v>0</v>
      </c>
      <c r="T114" s="4">
        <v>85354.3201440048</v>
      </c>
      <c r="U114" s="4">
        <v>0</v>
      </c>
      <c r="V114" s="4">
        <v>704728.08087169565</v>
      </c>
      <c r="W114" s="4">
        <v>554.58000000000004</v>
      </c>
      <c r="X114" s="4">
        <v>1745.58</v>
      </c>
      <c r="Y114" s="4">
        <v>0</v>
      </c>
      <c r="Z114" s="4">
        <v>0</v>
      </c>
      <c r="AA114" s="3"/>
      <c r="AB114" s="3"/>
      <c r="AC114" s="3"/>
    </row>
    <row r="115" spans="1:29" ht="14.4">
      <c r="A115" s="4">
        <v>114</v>
      </c>
      <c r="B115" s="4" t="s">
        <v>291</v>
      </c>
      <c r="C115" s="7" t="s">
        <v>21</v>
      </c>
      <c r="D115" s="5">
        <v>44965</v>
      </c>
      <c r="E115" s="3" t="s">
        <v>76</v>
      </c>
      <c r="F115" s="4" t="s">
        <v>292</v>
      </c>
      <c r="G115" s="4" t="s">
        <v>287</v>
      </c>
      <c r="H115" s="4">
        <v>54.564</v>
      </c>
      <c r="I115" s="4">
        <v>4356</v>
      </c>
      <c r="J115" s="4" t="s">
        <v>78</v>
      </c>
      <c r="K115" s="4">
        <v>1</v>
      </c>
      <c r="L115" s="4">
        <v>59.936</v>
      </c>
      <c r="M115" s="4">
        <v>740000</v>
      </c>
      <c r="N115" s="4">
        <v>463248.36</v>
      </c>
      <c r="O115" s="4">
        <v>176429.91190603308</v>
      </c>
      <c r="P115" s="4">
        <v>45518.553123331549</v>
      </c>
      <c r="Q115" s="4">
        <v>168782.7949813134</v>
      </c>
      <c r="R115" s="4">
        <v>8284.3766684463426</v>
      </c>
      <c r="S115" s="4">
        <v>0</v>
      </c>
      <c r="T115" s="4">
        <v>255359.08302188999</v>
      </c>
      <c r="U115" s="4">
        <v>0</v>
      </c>
      <c r="V115" s="4">
        <v>1857623.0797010141</v>
      </c>
      <c r="W115" s="4">
        <v>1461.84</v>
      </c>
      <c r="X115" s="4">
        <v>1738.08</v>
      </c>
      <c r="Y115" s="4">
        <v>1</v>
      </c>
      <c r="Z115" s="4">
        <v>1738.08</v>
      </c>
      <c r="AA115" s="3"/>
      <c r="AB115" s="3"/>
      <c r="AC115" s="3">
        <v>14092.8</v>
      </c>
    </row>
    <row r="116" spans="1:29" ht="14.4">
      <c r="A116" s="4">
        <v>115</v>
      </c>
      <c r="B116" s="4" t="s">
        <v>291</v>
      </c>
      <c r="C116" s="7" t="s">
        <v>21</v>
      </c>
      <c r="D116" s="5">
        <v>44965</v>
      </c>
      <c r="E116" s="3" t="s">
        <v>76</v>
      </c>
      <c r="F116" s="4" t="s">
        <v>293</v>
      </c>
      <c r="G116" s="4" t="s">
        <v>287</v>
      </c>
      <c r="H116" s="4">
        <v>5.3719999999999999</v>
      </c>
      <c r="I116" s="4">
        <v>988</v>
      </c>
      <c r="J116" s="4" t="s">
        <v>78</v>
      </c>
      <c r="K116" s="4">
        <v>1</v>
      </c>
      <c r="L116" s="4">
        <v>59.936</v>
      </c>
      <c r="M116" s="4">
        <v>241000</v>
      </c>
      <c r="N116" s="4">
        <v>45608.28</v>
      </c>
      <c r="O116" s="4">
        <v>17370.088093966897</v>
      </c>
      <c r="P116" s="4">
        <v>4481.4468766684458</v>
      </c>
      <c r="Q116" s="4">
        <v>16617.2050186866</v>
      </c>
      <c r="R116" s="4">
        <v>815.62333155365707</v>
      </c>
      <c r="S116" s="4">
        <v>0</v>
      </c>
      <c r="T116" s="4">
        <v>25140.916978109984</v>
      </c>
      <c r="U116" s="4">
        <v>0</v>
      </c>
      <c r="V116" s="4">
        <v>351033.56029898557</v>
      </c>
      <c r="W116" s="4">
        <v>276.24</v>
      </c>
      <c r="X116" s="4">
        <v>1738.08</v>
      </c>
      <c r="Y116" s="4">
        <v>0</v>
      </c>
      <c r="Z116" s="4">
        <v>0</v>
      </c>
      <c r="AA116" s="3"/>
      <c r="AB116" s="3"/>
      <c r="AC116" s="3"/>
    </row>
  </sheetData>
  <phoneticPr fontId="9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E031-4838-4F48-8772-E40D7D629098}">
  <sheetPr codeName="Лист5"/>
  <dimension ref="A1:AA154"/>
  <sheetViews>
    <sheetView topLeftCell="A85" workbookViewId="0">
      <selection activeCell="G49" sqref="G49"/>
    </sheetView>
  </sheetViews>
  <sheetFormatPr defaultRowHeight="14.4"/>
  <cols>
    <col min="1" max="1" width="9.109375" customWidth="1"/>
    <col min="2" max="5" width="10.88671875" customWidth="1"/>
    <col min="6" max="6" width="16.33203125" customWidth="1"/>
    <col min="7" max="7" width="13.33203125" customWidth="1"/>
    <col min="8" max="11" width="10.88671875" customWidth="1"/>
    <col min="12" max="12" width="16.5546875" customWidth="1"/>
    <col min="13" max="18" width="10.88671875" customWidth="1"/>
    <col min="19" max="19" width="16.33203125" customWidth="1"/>
    <col min="20" max="20" width="15.88671875" customWidth="1"/>
    <col min="21" max="21" width="10.88671875" customWidth="1"/>
    <col min="22" max="22" width="14" customWidth="1"/>
    <col min="23" max="23" width="15.33203125" customWidth="1"/>
    <col min="24" max="24" width="10.88671875" customWidth="1"/>
    <col min="25" max="25" width="13.44140625" customWidth="1"/>
    <col min="26" max="26" width="19" style="10" customWidth="1"/>
    <col min="27" max="27" width="15.33203125" customWidth="1"/>
  </cols>
  <sheetData>
    <row r="1" spans="1:27" ht="61.2">
      <c r="A1" s="93">
        <v>489</v>
      </c>
      <c r="B1" s="93"/>
      <c r="C1" s="93"/>
      <c r="D1" s="94" t="s">
        <v>102</v>
      </c>
      <c r="E1" s="94"/>
      <c r="F1" s="94"/>
      <c r="G1" s="94"/>
      <c r="H1" s="94"/>
      <c r="I1" s="93" t="s">
        <v>103</v>
      </c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</row>
    <row r="2" spans="1:27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5" t="s">
        <v>48</v>
      </c>
    </row>
    <row r="3" spans="1:27" ht="187.2">
      <c r="A3" s="17" t="s">
        <v>1</v>
      </c>
      <c r="B3" s="17" t="s">
        <v>104</v>
      </c>
      <c r="C3" s="17" t="s">
        <v>2</v>
      </c>
      <c r="D3" s="17" t="s">
        <v>105</v>
      </c>
      <c r="E3" s="17" t="s">
        <v>106</v>
      </c>
      <c r="F3" s="17" t="s">
        <v>3</v>
      </c>
      <c r="G3" s="17" t="s">
        <v>107</v>
      </c>
      <c r="H3" s="17" t="s">
        <v>54</v>
      </c>
      <c r="I3" s="17" t="s">
        <v>108</v>
      </c>
      <c r="J3" s="17" t="s">
        <v>109</v>
      </c>
      <c r="K3" s="17" t="s">
        <v>58</v>
      </c>
      <c r="L3" s="17" t="s">
        <v>110</v>
      </c>
      <c r="M3" s="17" t="s">
        <v>111</v>
      </c>
      <c r="N3" s="17" t="s">
        <v>112</v>
      </c>
      <c r="O3" s="17" t="s">
        <v>113</v>
      </c>
      <c r="P3" s="17" t="s">
        <v>114</v>
      </c>
      <c r="Q3" s="17" t="s">
        <v>115</v>
      </c>
      <c r="R3" s="17" t="s">
        <v>116</v>
      </c>
      <c r="S3" s="17" t="s">
        <v>117</v>
      </c>
      <c r="T3" s="17" t="s">
        <v>118</v>
      </c>
      <c r="U3" s="17" t="s">
        <v>119</v>
      </c>
      <c r="V3" s="17" t="s">
        <v>120</v>
      </c>
      <c r="W3" s="17" t="s">
        <v>121</v>
      </c>
      <c r="X3" s="17" t="s">
        <v>122</v>
      </c>
      <c r="Y3" s="17" t="s">
        <v>123</v>
      </c>
      <c r="Z3" s="17" t="s">
        <v>124</v>
      </c>
      <c r="AA3" s="17" t="s">
        <v>125</v>
      </c>
    </row>
    <row r="4" spans="1:27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0"/>
      <c r="T4" s="2"/>
      <c r="U4" s="2"/>
      <c r="V4" s="20">
        <f>SUM(V5:V119)</f>
        <v>94425292.785370216</v>
      </c>
      <c r="W4" s="20">
        <f>SUM(W5:W119)</f>
        <v>74307.319999999978</v>
      </c>
      <c r="X4" s="2"/>
      <c r="Y4" s="2"/>
      <c r="Z4" s="20">
        <f>SUM(Z5:Z119)</f>
        <v>0</v>
      </c>
      <c r="AA4" s="27"/>
    </row>
    <row r="5" spans="1:27" s="8" customFormat="1" ht="12">
      <c r="A5" s="11">
        <v>1</v>
      </c>
      <c r="B5" s="8" t="str" cm="1">
        <f t="array" ref="B5">_xlfn.XLOOKUP($A5,ACT[[№]:[№]],ACT[Container No/
№ Контейнера],"",0,1)</f>
        <v>TEMU6308573</v>
      </c>
      <c r="C5" s="8" t="str">
        <f>"UzAutoKorea"</f>
        <v>UzAutoKorea</v>
      </c>
      <c r="D5" s="11" t="str" cm="1">
        <f t="array" ref="D5">_xlfn.XLOOKUP($A5,ACT[[№]:[№]],ACT[Container Type/ 
Тип контейнера],"",0,1)</f>
        <v>40'HC</v>
      </c>
      <c r="E5" s="21" cm="1">
        <f t="array" ref="E5">_xlfn.XLOOKUP($A5,ACT[[№]:[№]],ACT[Date of Dispatch/ 
Дата отгрузки],"",0,1)</f>
        <v>44965</v>
      </c>
      <c r="F5" s="22" t="str" cm="1">
        <f t="array" ref="F5">_xlfn.XLOOKUP($A5,ACT[[№]:[№]],ACT[Supplier/ Поставщик],"",0,1)</f>
        <v>Hanyang Precision</v>
      </c>
      <c r="G5" s="22" t="str" cm="1">
        <f t="array" ref="G5">_xlfn.XLOOKUP($A5,ACT[[№]:[№]],ACT[Supplier Invoice No/                          № Инвойса Поставщика],"",0,1)</f>
        <v>HY230109U(1)</v>
      </c>
      <c r="H5" s="23" cm="1">
        <f t="array" ref="H5">_xlfn.XLOOKUP($A5,ACT[[№]:[№]],ACT[CBM],"",0,1)</f>
        <v>7.48</v>
      </c>
      <c r="I5" s="23" cm="1">
        <f t="array" ref="I5">_xlfn.XLOOKUP($A5,ACT[[№]:[№]],ACT[Gross weight, kg/ Вес брутто, кг],"",0,1)</f>
        <v>5776.38</v>
      </c>
      <c r="J5" s="23" t="str" cm="1">
        <f t="array" ref="J5">_xlfn.XLOOKUP($A5,ACT[[№]:[№]],ACT[Delivery terms / Условия поставки],"",0,1)</f>
        <v>FCA</v>
      </c>
      <c r="K5" s="23" cm="1">
        <f t="array" ref="K5">_xlfn.XLOOKUP($A5,ACT[[№]:[№]],ACT[Container total CBM],"",0,1)</f>
        <v>66.114000000000004</v>
      </c>
      <c r="L5" s="24" cm="1">
        <f t="array" ref="L5">_xlfn.XLOOKUP($A5,ACT[[№]:[№]],ACT[FTL inland freight cost per Invoice Appendix/ Стоимость внутренней наземной перевозки за инвойс Приложение                     KRW],"",0,1)</f>
        <v>698500</v>
      </c>
      <c r="M5" s="24" cm="1">
        <f t="array" ref="M5">_xlfn.XLOOKUP($A5,ACT[[№]:[№]],ACT[Consolidation Work, Loading, Unloading/ Работы по консолидации, Погрузка, Разгрузка (Rate/Тариф - 8000 per CBM)                   KRW],"",0,1)</f>
        <v>63505.2</v>
      </c>
      <c r="N5" s="24" cm="1">
        <f t="array" ref="N5">_xlfn.XLOOKUP($A5,ACT[[№]:[№]],ACT[Shoring, Banding, Sealing, Handling/ Крепление, Перевязка, Опечатование, Обработка
KRW],"",0,1)</f>
        <v>21926.127597785638</v>
      </c>
      <c r="O5" s="24" cm="1">
        <f t="array" ref="O5">_xlfn.XLOOKUP($A5,ACT[[№]:[№]],ACT[Documents Work/ Сбор за подготовку документов
KRW],"",0,1)</f>
        <v>5656.8956650633754</v>
      </c>
      <c r="P5" s="24" cm="1">
        <f t="array" ref="P5">_xlfn.XLOOKUP($A5,ACT[[№]:[№]],ACT[THC/ Терминальная обработка
KRW],"",0,1)</f>
        <v>20975.769126054995</v>
      </c>
      <c r="Q5" s="24" cm="1">
        <f t="array" ref="Q5">_xlfn.XLOOKUP($A5,ACT[[№]:[№]],ACT[Wharfage/ Портовая пошлина
KRW],"",0,1)</f>
        <v>1029.5550110415345</v>
      </c>
      <c r="R5" s="24" cm="1">
        <f t="array" ref="R5">_xlfn.XLOOKUP($A5,ACT[[№]:[№]],ACT[TRUCKING CHARGE],"",0,1)</f>
        <v>0</v>
      </c>
      <c r="S5" s="24" cm="1">
        <f t="array" ref="S5">_xlfn.XLOOKUP($A5,ACT[[№]:[№]],ACT[FCL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31735.184681005536</v>
      </c>
      <c r="T5" s="24" cm="1">
        <f t="array" ref="T5">_xlfn.XLOOKUP($A5,ACT[[№]:[№]],ACT[Special Wooden Shoring / Специальное деревянное крепление],"",0,1)</f>
        <v>0</v>
      </c>
      <c r="U5" s="24"/>
      <c r="V5" s="24" cm="1">
        <f t="array" ref="V5">_xlfn.XLOOKUP($A5,ACT[[№]:[№]],ACT[Total amount/ Общая стоимость KRW (10+11+12+13+14+15+16)],"",0,1)</f>
        <v>843328.7320809511</v>
      </c>
      <c r="W5" s="24" cm="1">
        <f t="array" ref="W5">_xlfn.XLOOKUP($A5,ACT[[№]:[№]],ACT[Total amount/ Общая стоимость (17*exchange rate/ обменный курс)
 USD],"",0,1)</f>
        <v>663.65</v>
      </c>
      <c r="X5" s="9" t="e" cm="1">
        <f t="array" ref="X5">IF(#REF!="",_xlfn.XLOOKUP("МАКС",#REF!,#REF!,,0,1),#REF!)</f>
        <v>#REF!</v>
      </c>
      <c r="Y5" s="12" t="e">
        <f>VLOOKUP(Шаблон_Формулы[[#This Row],[24]],#REF!,2,0)</f>
        <v>#REF!</v>
      </c>
      <c r="Z5" s="26" t="str">
        <f>IFERROR(Шаблон_Формулы[[#This Row],[23]]*Шаблон_Формулы[[#This Row],[25]],"")</f>
        <v/>
      </c>
      <c r="AA5" s="13" t="e" cm="1">
        <f t="array" ref="AA5">#REF!</f>
        <v>#REF!</v>
      </c>
    </row>
    <row r="6" spans="1:27" s="8" customFormat="1" ht="12">
      <c r="A6" s="11">
        <v>2</v>
      </c>
      <c r="B6" s="8" t="str" cm="1">
        <f t="array" ref="B6">_xlfn.XLOOKUP($A6,ACT[[№]:[№]],ACT[Container No/
№ Контейнера],"",0,1)</f>
        <v>TEMU6308573</v>
      </c>
      <c r="C6" s="8" t="str">
        <f t="shared" ref="C6:C69" si="0">"UzAutoKorea"</f>
        <v>UzAutoKorea</v>
      </c>
      <c r="D6" s="11" t="str" cm="1">
        <f t="array" ref="D6">_xlfn.XLOOKUP($A6,ACT[[№]:[№]],ACT[Container Type/ 
Тип контейнера],"",0,1)</f>
        <v>40'HC</v>
      </c>
      <c r="E6" s="21" cm="1">
        <f t="array" ref="E6">_xlfn.XLOOKUP($A6,ACT[[№]:[№]],ACT[Date of Dispatch/ 
Дата отгрузки],"",0,1)</f>
        <v>44965</v>
      </c>
      <c r="F6" s="22" t="str" cm="1">
        <f t="array" ref="F6">_xlfn.XLOOKUP($A6,ACT[[№]:[№]],ACT[Supplier/ Поставщик],"",0,1)</f>
        <v>Hanyang Precision</v>
      </c>
      <c r="G6" s="22" t="str" cm="1">
        <f t="array" ref="G6">_xlfn.XLOOKUP($A6,ACT[[№]:[№]],ACT[Supplier Invoice No/                          № Инвойса Поставщика],"",0,1)</f>
        <v>HY230109U(2)</v>
      </c>
      <c r="H6" s="23" cm="1">
        <f t="array" ref="H6">_xlfn.XLOOKUP($A6,ACT[[№]:[№]],ACT[CBM],"",0,1)</f>
        <v>8.9760000000000009</v>
      </c>
      <c r="I6" s="23" cm="1">
        <f t="array" ref="I6">_xlfn.XLOOKUP($A6,ACT[[№]:[№]],ACT[Gross weight, kg/ Вес брутто, кг],"",0,1)</f>
        <v>3852</v>
      </c>
      <c r="J6" s="23" t="str" cm="1">
        <f t="array" ref="J6">_xlfn.XLOOKUP($A6,ACT[[№]:[№]],ACT[Delivery terms / Условия поставки],"",0,1)</f>
        <v>FCA</v>
      </c>
      <c r="K6" s="23" cm="1">
        <f t="array" ref="K6">_xlfn.XLOOKUP($A6,ACT[[№]:[№]],ACT[Container total CBM],"",0,1)</f>
        <v>66.114000000000004</v>
      </c>
      <c r="L6" s="24" cm="1">
        <f t="array" ref="L6">_xlfn.XLOOKUP($A6,ACT[[№]:[№]],ACT[FTL inland freight cost per Invoice Appendix/ Стоимость внутренней наземной перевозки за инвойс Приложение                     KRW],"",0,1)</f>
        <v>632500</v>
      </c>
      <c r="M6" s="24" cm="1">
        <f t="array" ref="M6">_xlfn.XLOOKUP($A6,ACT[[№]:[№]],ACT[Consolidation Work, Loading, Unloading/ Работы по консолидации, Погрузка, Разгрузка (Rate/Тариф - 8000 per CBM)                   KRW],"",0,1)</f>
        <v>76206.240000000005</v>
      </c>
      <c r="N6" s="24" cm="1">
        <f t="array" ref="N6">_xlfn.XLOOKUP($A6,ACT[[№]:[№]],ACT[Shoring, Banding, Sealing, Handling/ Крепление, Перевязка, Опечатование, Обработка
KRW],"",0,1)</f>
        <v>26311.353117342773</v>
      </c>
      <c r="O6" s="24" cm="1">
        <f t="array" ref="O6">_xlfn.XLOOKUP($A6,ACT[[№]:[№]],ACT[Documents Work/ Сбор за подготовку документов
KRW],"",0,1)</f>
        <v>6788.2747980760505</v>
      </c>
      <c r="P6" s="24" cm="1">
        <f t="array" ref="P6">_xlfn.XLOOKUP($A6,ACT[[№]:[№]],ACT[THC/ Терминальная обработка
KRW],"",0,1)</f>
        <v>25170.922951265995</v>
      </c>
      <c r="Q6" s="24" cm="1">
        <f t="array" ref="Q6">_xlfn.XLOOKUP($A6,ACT[[№]:[№]],ACT[Wharfage/ Портовая пошлина
KRW],"",0,1)</f>
        <v>1235.4660132498414</v>
      </c>
      <c r="R6" s="24" cm="1">
        <f t="array" ref="R6">_xlfn.XLOOKUP($A6,ACT[[№]:[№]],ACT[TRUCKING CHARGE],"",0,1)</f>
        <v>0</v>
      </c>
      <c r="S6" s="24" cm="1">
        <f t="array" ref="S6">_xlfn.XLOOKUP($A6,ACT[[№]:[№]],ACT[FCL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38082.221617206647</v>
      </c>
      <c r="T6" s="24" cm="1">
        <f t="array" ref="T6">_xlfn.XLOOKUP($A6,ACT[[№]:[№]],ACT[Special Wooden Shoring / Специальное деревянное крепление],"",0,1)</f>
        <v>0</v>
      </c>
      <c r="U6" s="9"/>
      <c r="V6" s="24" cm="1">
        <f t="array" ref="V6">_xlfn.XLOOKUP($A6,ACT[[№]:[№]],ACT[Total amount/ Общая стоимость KRW (10+11+12+13+14+15+16)],"",0,1)</f>
        <v>806294.47849714139</v>
      </c>
      <c r="W6" s="24" cm="1">
        <f t="array" ref="W6">_xlfn.XLOOKUP($A6,ACT[[№]:[№]],ACT[Total amount/ Общая стоимость (17*exchange rate/ обменный курс)
 USD],"",0,1)</f>
        <v>634.51</v>
      </c>
      <c r="X6" s="9" t="e" cm="1">
        <f t="array" ref="X6">IF(#REF!="",_xlfn.XLOOKUP("МАКС",#REF!,#REF!,,0,1),#REF!)</f>
        <v>#REF!</v>
      </c>
      <c r="Y6" s="12" t="e">
        <f>VLOOKUP(Шаблон_Формулы[[#This Row],[24]],#REF!,2,0)</f>
        <v>#REF!</v>
      </c>
      <c r="Z6" s="26" t="str">
        <f>IFERROR(Шаблон_Формулы[[#This Row],[23]]*Шаблон_Формулы[[#This Row],[25]],"")</f>
        <v/>
      </c>
      <c r="AA6" s="13" t="e" cm="1">
        <f t="array" ref="AA6">#REF!</f>
        <v>#REF!</v>
      </c>
    </row>
    <row r="7" spans="1:27" s="8" customFormat="1" ht="12">
      <c r="A7" s="11">
        <v>3</v>
      </c>
      <c r="B7" s="8" t="str" cm="1">
        <f t="array" ref="B7">_xlfn.XLOOKUP($A7,ACT[[№]:[№]],ACT[Container No/
№ Контейнера],"",0,1)</f>
        <v>TEMU6308573</v>
      </c>
      <c r="C7" s="8" t="str">
        <f t="shared" si="0"/>
        <v>UzAutoKorea</v>
      </c>
      <c r="D7" s="11" t="str" cm="1">
        <f t="array" ref="D7">_xlfn.XLOOKUP($A7,ACT[[№]:[№]],ACT[Container Type/ 
Тип контейнера],"",0,1)</f>
        <v>40'HC</v>
      </c>
      <c r="E7" s="21" cm="1">
        <f t="array" ref="E7">_xlfn.XLOOKUP($A7,ACT[[№]:[№]],ACT[Date of Dispatch/ 
Дата отгрузки],"",0,1)</f>
        <v>44965</v>
      </c>
      <c r="F7" s="22" t="str" cm="1">
        <f t="array" ref="F7">_xlfn.XLOOKUP($A7,ACT[[№]:[№]],ACT[Supplier/ Поставщик],"",0,1)</f>
        <v>Contitech Fluid</v>
      </c>
      <c r="G7" s="22" t="str" cm="1">
        <f t="array" ref="G7">_xlfn.XLOOKUP($A7,ACT[[№]:[№]],ACT[Supplier Invoice No/                          № Инвойса Поставщика],"",0,1)</f>
        <v>U230111A</v>
      </c>
      <c r="H7" s="23" cm="1">
        <f t="array" ref="H7">_xlfn.XLOOKUP($A7,ACT[[№]:[№]],ACT[CBM],"",0,1)</f>
        <v>49.658000000000001</v>
      </c>
      <c r="I7" s="23" cm="1">
        <f t="array" ref="I7">_xlfn.XLOOKUP($A7,ACT[[№]:[№]],ACT[Gross weight, kg/ Вес брутто, кг],"",0,1)</f>
        <v>1424.02</v>
      </c>
      <c r="J7" s="23" t="str" cm="1">
        <f t="array" ref="J7">_xlfn.XLOOKUP($A7,ACT[[№]:[№]],ACT[Delivery terms / Условия поставки],"",0,1)</f>
        <v>FCA</v>
      </c>
      <c r="K7" s="23" cm="1">
        <f t="array" ref="K7">_xlfn.XLOOKUP($A7,ACT[[№]:[№]],ACT[Container total CBM],"",0,1)</f>
        <v>66.114000000000004</v>
      </c>
      <c r="L7" s="24" cm="1">
        <f t="array" ref="L7">_xlfn.XLOOKUP($A7,ACT[[№]:[№]],ACT[FTL inland freight cost per Invoice Appendix/ Стоимость внутренней наземной перевозки за инвойс Приложение                     KRW],"",0,1)</f>
        <v>1333000</v>
      </c>
      <c r="M7" s="24" cm="1">
        <f t="array" ref="M7">_xlfn.XLOOKUP($A7,ACT[[№]:[№]],ACT[Consolidation Work, Loading, Unloading/ Работы по консолидации, Погрузка, Разгрузка (Rate/Тариф - 8000 per CBM)                   KRW],"",0,1)</f>
        <v>421596.42</v>
      </c>
      <c r="N7" s="24" cm="1">
        <f t="array" ref="N7">_xlfn.XLOOKUP($A7,ACT[[№]:[№]],ACT[Shoring, Banding, Sealing, Handling/ Крепление, Перевязка, Опечатование, Обработка
KRW],"",0,1)</f>
        <v>145562.51928487158</v>
      </c>
      <c r="O7" s="24" cm="1">
        <f t="array" ref="O7">_xlfn.XLOOKUP($A7,ACT[[№]:[№]],ACT[Documents Work/ Сбор за подготовку документов
KRW],"",0,1)</f>
        <v>37554.829536860576</v>
      </c>
      <c r="P7" s="24" cm="1">
        <f t="array" ref="P7">_xlfn.XLOOKUP($A7,ACT[[№]:[№]],ACT[THC/ Терминальная обработка
KRW],"",0,1)</f>
        <v>139253.307922679</v>
      </c>
      <c r="Q7" s="24" cm="1">
        <f t="array" ref="Q7">_xlfn.XLOOKUP($A7,ACT[[№]:[№]],ACT[Wharfage/ Портовая пошлина
KRW],"",0,1)</f>
        <v>6834.9789757086246</v>
      </c>
      <c r="R7" s="24" cm="1">
        <f t="array" ref="R7">_xlfn.XLOOKUP($A7,ACT[[№]:[№]],ACT[TRUCKING CHARGE],"",0,1)</f>
        <v>0</v>
      </c>
      <c r="S7" s="24" cm="1">
        <f t="array" ref="S7">_xlfn.XLOOKUP($A7,ACT[[№]:[№]],ACT[FCL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210682.59370178785</v>
      </c>
      <c r="T7" s="24" cm="1">
        <f t="array" ref="T7">_xlfn.XLOOKUP($A7,ACT[[№]:[№]],ACT[Special Wooden Shoring / Специальное деревянное крепление],"",0,1)</f>
        <v>0</v>
      </c>
      <c r="U7" s="9"/>
      <c r="V7" s="24" cm="1">
        <f t="array" ref="V7">_xlfn.XLOOKUP($A7,ACT[[№]:[№]],ACT[Total amount/ Общая стоимость KRW (10+11+12+13+14+15+16)],"",0,1)</f>
        <v>2294484.6494219075</v>
      </c>
      <c r="W7" s="24" cm="1">
        <f t="array" ref="W7">_xlfn.XLOOKUP($A7,ACT[[№]:[№]],ACT[Total amount/ Общая стоимость (17*exchange rate/ обменный курс)
 USD],"",0,1)</f>
        <v>1805.63</v>
      </c>
      <c r="X7" s="9" t="e" cm="1">
        <f t="array" ref="X7">IF(#REF!="",_xlfn.XLOOKUP("МАКС",#REF!,#REF!,,0,1),#REF!)</f>
        <v>#REF!</v>
      </c>
      <c r="Y7" s="12" t="e">
        <f>VLOOKUP(Шаблон_Формулы[[#This Row],[24]],#REF!,2,0)</f>
        <v>#REF!</v>
      </c>
      <c r="Z7" s="26" t="str">
        <f>IFERROR(Шаблон_Формулы[[#This Row],[23]]*Шаблон_Формулы[[#This Row],[25]],"")</f>
        <v/>
      </c>
      <c r="AA7" s="13" t="e" cm="1">
        <f t="array" ref="AA7">#REF!</f>
        <v>#REF!</v>
      </c>
    </row>
    <row r="8" spans="1:27" s="8" customFormat="1" ht="12">
      <c r="A8" s="11">
        <v>4</v>
      </c>
      <c r="B8" s="8" t="str" cm="1">
        <f t="array" ref="B8">_xlfn.XLOOKUP($A8,ACT[[№]:[№]],ACT[Container No/
№ Контейнера],"",0,1)</f>
        <v>TGHU6665886</v>
      </c>
      <c r="C8" s="8" t="str">
        <f t="shared" si="0"/>
        <v>UzAutoKorea</v>
      </c>
      <c r="D8" s="11" t="str" cm="1">
        <f t="array" ref="D8">_xlfn.XLOOKUP($A8,ACT[[№]:[№]],ACT[Container Type/ 
Тип контейнера],"",0,1)</f>
        <v>40'HC</v>
      </c>
      <c r="E8" s="21" cm="1">
        <f t="array" ref="E8">_xlfn.XLOOKUP($A8,ACT[[№]:[№]],ACT[Date of Dispatch/ 
Дата отгрузки],"",0,1)</f>
        <v>44965</v>
      </c>
      <c r="F8" s="22" t="str" cm="1">
        <f t="array" ref="F8">_xlfn.XLOOKUP($A8,ACT[[№]:[№]],ACT[Supplier/ Поставщик],"",0,1)</f>
        <v>Hanyang Precision</v>
      </c>
      <c r="G8" s="22" t="str" cm="1">
        <f t="array" ref="G8">_xlfn.XLOOKUP($A8,ACT[[№]:[№]],ACT[Supplier Invoice No/                          № Инвойса Поставщика],"",0,1)</f>
        <v>HY230109U(3)</v>
      </c>
      <c r="H8" s="23" cm="1">
        <f t="array" ref="H8">_xlfn.XLOOKUP($A8,ACT[[№]:[№]],ACT[CBM],"",0,1)</f>
        <v>7.48</v>
      </c>
      <c r="I8" s="23" cm="1">
        <f t="array" ref="I8">_xlfn.XLOOKUP($A8,ACT[[№]:[№]],ACT[Gross weight, kg/ Вес брутто, кг],"",0,1)</f>
        <v>5776.38</v>
      </c>
      <c r="J8" s="23" t="str" cm="1">
        <f t="array" ref="J8">_xlfn.XLOOKUP($A8,ACT[[№]:[№]],ACT[Delivery terms / Условия поставки],"",0,1)</f>
        <v>FCA</v>
      </c>
      <c r="K8" s="23" cm="1">
        <f t="array" ref="K8">_xlfn.XLOOKUP($A8,ACT[[№]:[№]],ACT[Container total CBM],"",0,1)</f>
        <v>66.114000000000004</v>
      </c>
      <c r="L8" s="24" cm="1">
        <f t="array" ref="L8">_xlfn.XLOOKUP($A8,ACT[[№]:[№]],ACT[FTL inland freight cost per Invoice Appendix/ Стоимость внутренней наземной перевозки за инвойс Приложение                     KRW],"",0,1)</f>
        <v>698500</v>
      </c>
      <c r="M8" s="24" cm="1">
        <f t="array" ref="M8">_xlfn.XLOOKUP($A8,ACT[[№]:[№]],ACT[Consolidation Work, Loading, Unloading/ Работы по консолидации, Погрузка, Разгрузка (Rate/Тариф - 8000 per CBM)                   KRW],"",0,1)</f>
        <v>63505.2</v>
      </c>
      <c r="N8" s="24" cm="1">
        <f t="array" ref="N8">_xlfn.XLOOKUP($A8,ACT[[№]:[№]],ACT[Shoring, Banding, Sealing, Handling/ Крепление, Перевязка, Опечатование, Обработка
KRW],"",0,1)</f>
        <v>21926.127597785638</v>
      </c>
      <c r="O8" s="24" cm="1">
        <f t="array" ref="O8">_xlfn.XLOOKUP($A8,ACT[[№]:[№]],ACT[Documents Work/ Сбор за подготовку документов
KRW],"",0,1)</f>
        <v>5656.8956650633754</v>
      </c>
      <c r="P8" s="24" cm="1">
        <f t="array" ref="P8">_xlfn.XLOOKUP($A8,ACT[[№]:[№]],ACT[THC/ Терминальная обработка
KRW],"",0,1)</f>
        <v>20975.769126054995</v>
      </c>
      <c r="Q8" s="24" cm="1">
        <f t="array" ref="Q8">_xlfn.XLOOKUP($A8,ACT[[№]:[№]],ACT[Wharfage/ Портовая пошлина
KRW],"",0,1)</f>
        <v>1029.5550110415345</v>
      </c>
      <c r="R8" s="24" cm="1">
        <f t="array" ref="R8">_xlfn.XLOOKUP($A8,ACT[[№]:[№]],ACT[TRUCKING CHARGE],"",0,1)</f>
        <v>0</v>
      </c>
      <c r="S8" s="24" cm="1">
        <f t="array" ref="S8">_xlfn.XLOOKUP($A8,ACT[[№]:[№]],ACT[FCL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31735.184681005536</v>
      </c>
      <c r="T8" s="24" cm="1">
        <f t="array" ref="T8">_xlfn.XLOOKUP($A8,ACT[[№]:[№]],ACT[Special Wooden Shoring / Специальное деревянное крепление],"",0,1)</f>
        <v>0</v>
      </c>
      <c r="U8" s="9"/>
      <c r="V8" s="24" cm="1">
        <f t="array" ref="V8">_xlfn.XLOOKUP($A8,ACT[[№]:[№]],ACT[Total amount/ Общая стоимость KRW (10+11+12+13+14+15+16)],"",0,1)</f>
        <v>843328.7320809511</v>
      </c>
      <c r="W8" s="24" cm="1">
        <f t="array" ref="W8">_xlfn.XLOOKUP($A8,ACT[[№]:[№]],ACT[Total amount/ Общая стоимость (17*exchange rate/ обменный курс)
 USD],"",0,1)</f>
        <v>663.65</v>
      </c>
      <c r="X8" s="9" t="e" cm="1">
        <f t="array" ref="X8">IF(#REF!="",_xlfn.XLOOKUP("МАКС",#REF!,#REF!,,0,1),#REF!)</f>
        <v>#REF!</v>
      </c>
      <c r="Y8" s="12" t="e">
        <f>VLOOKUP(Шаблон_Формулы[[#This Row],[24]],#REF!,2,0)</f>
        <v>#REF!</v>
      </c>
      <c r="Z8" s="26" t="str">
        <f>IFERROR(Шаблон_Формулы[[#This Row],[23]]*Шаблон_Формулы[[#This Row],[25]],"")</f>
        <v/>
      </c>
      <c r="AA8" s="13" t="e" cm="1">
        <f t="array" ref="AA8">#REF!</f>
        <v>#REF!</v>
      </c>
    </row>
    <row r="9" spans="1:27" s="8" customFormat="1" ht="12">
      <c r="A9" s="11">
        <v>5</v>
      </c>
      <c r="B9" s="8" t="str" cm="1">
        <f t="array" ref="B9">_xlfn.XLOOKUP($A9,ACT[[№]:[№]],ACT[Container No/
№ Контейнера],"",0,1)</f>
        <v>TGHU6665886</v>
      </c>
      <c r="C9" s="8" t="str">
        <f t="shared" si="0"/>
        <v>UzAutoKorea</v>
      </c>
      <c r="D9" s="11" t="str" cm="1">
        <f t="array" ref="D9">_xlfn.XLOOKUP($A9,ACT[[№]:[№]],ACT[Container Type/ 
Тип контейнера],"",0,1)</f>
        <v>40'HC</v>
      </c>
      <c r="E9" s="21" cm="1">
        <f t="array" ref="E9">_xlfn.XLOOKUP($A9,ACT[[№]:[№]],ACT[Date of Dispatch/ 
Дата отгрузки],"",0,1)</f>
        <v>44965</v>
      </c>
      <c r="F9" s="22" t="str" cm="1">
        <f t="array" ref="F9">_xlfn.XLOOKUP($A9,ACT[[№]:[№]],ACT[Supplier/ Поставщик],"",0,1)</f>
        <v>Hanyang Precision</v>
      </c>
      <c r="G9" s="22" t="str" cm="1">
        <f t="array" ref="G9">_xlfn.XLOOKUP($A9,ACT[[№]:[№]],ACT[Supplier Invoice No/                          № Инвойса Поставщика],"",0,1)</f>
        <v>HY230109U(4)</v>
      </c>
      <c r="H9" s="23" cm="1">
        <f t="array" ref="H9">_xlfn.XLOOKUP($A9,ACT[[№]:[№]],ACT[CBM],"",0,1)</f>
        <v>8.9760000000000009</v>
      </c>
      <c r="I9" s="23" cm="1">
        <f t="array" ref="I9">_xlfn.XLOOKUP($A9,ACT[[№]:[№]],ACT[Gross weight, kg/ Вес брутто, кг],"",0,1)</f>
        <v>3852</v>
      </c>
      <c r="J9" s="23" t="str" cm="1">
        <f t="array" ref="J9">_xlfn.XLOOKUP($A9,ACT[[№]:[№]],ACT[Delivery terms / Условия поставки],"",0,1)</f>
        <v>FCA</v>
      </c>
      <c r="K9" s="23" cm="1">
        <f t="array" ref="K9">_xlfn.XLOOKUP($A9,ACT[[№]:[№]],ACT[Container total CBM],"",0,1)</f>
        <v>66.114000000000004</v>
      </c>
      <c r="L9" s="24" cm="1">
        <f t="array" ref="L9">_xlfn.XLOOKUP($A9,ACT[[№]:[№]],ACT[FTL inland freight cost per Invoice Appendix/ Стоимость внутренней наземной перевозки за инвойс Приложение                     KRW],"",0,1)</f>
        <v>632500</v>
      </c>
      <c r="M9" s="24" cm="1">
        <f t="array" ref="M9">_xlfn.XLOOKUP($A9,ACT[[№]:[№]],ACT[Consolidation Work, Loading, Unloading/ Работы по консолидации, Погрузка, Разгрузка (Rate/Тариф - 8000 per CBM)                   KRW],"",0,1)</f>
        <v>76206.240000000005</v>
      </c>
      <c r="N9" s="24" cm="1">
        <f t="array" ref="N9">_xlfn.XLOOKUP($A9,ACT[[№]:[№]],ACT[Shoring, Banding, Sealing, Handling/ Крепление, Перевязка, Опечатование, Обработка
KRW],"",0,1)</f>
        <v>26311.353117342773</v>
      </c>
      <c r="O9" s="24" cm="1">
        <f t="array" ref="O9">_xlfn.XLOOKUP($A9,ACT[[№]:[№]],ACT[Documents Work/ Сбор за подготовку документов
KRW],"",0,1)</f>
        <v>6788.2747980760505</v>
      </c>
      <c r="P9" s="24" cm="1">
        <f t="array" ref="P9">_xlfn.XLOOKUP($A9,ACT[[№]:[№]],ACT[THC/ Терминальная обработка
KRW],"",0,1)</f>
        <v>25170.922951265995</v>
      </c>
      <c r="Q9" s="24" cm="1">
        <f t="array" ref="Q9">_xlfn.XLOOKUP($A9,ACT[[№]:[№]],ACT[Wharfage/ Портовая пошлина
KRW],"",0,1)</f>
        <v>1235.4660132498414</v>
      </c>
      <c r="R9" s="24" cm="1">
        <f t="array" ref="R9">_xlfn.XLOOKUP($A9,ACT[[№]:[№]],ACT[TRUCKING CHARGE],"",0,1)</f>
        <v>0</v>
      </c>
      <c r="S9" s="24" cm="1">
        <f t="array" ref="S9">_xlfn.XLOOKUP($A9,ACT[[№]:[№]],ACT[FCL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38082.221617206647</v>
      </c>
      <c r="T9" s="24" cm="1">
        <f t="array" ref="T9">_xlfn.XLOOKUP($A9,ACT[[№]:[№]],ACT[Special Wooden Shoring / Специальное деревянное крепление],"",0,1)</f>
        <v>0</v>
      </c>
      <c r="U9" s="9"/>
      <c r="V9" s="24" cm="1">
        <f t="array" ref="V9">_xlfn.XLOOKUP($A9,ACT[[№]:[№]],ACT[Total amount/ Общая стоимость KRW (10+11+12+13+14+15+16)],"",0,1)</f>
        <v>806294.47849714139</v>
      </c>
      <c r="W9" s="24" cm="1">
        <f t="array" ref="W9">_xlfn.XLOOKUP($A9,ACT[[№]:[№]],ACT[Total amount/ Общая стоимость (17*exchange rate/ обменный курс)
 USD],"",0,1)</f>
        <v>634.51</v>
      </c>
      <c r="X9" s="9" t="e" cm="1">
        <f t="array" ref="X9">IF(#REF!="",_xlfn.XLOOKUP("МАКС",#REF!,#REF!,,0,1),#REF!)</f>
        <v>#REF!</v>
      </c>
      <c r="Y9" s="12" t="e">
        <f>VLOOKUP(Шаблон_Формулы[[#This Row],[24]],#REF!,2,0)</f>
        <v>#REF!</v>
      </c>
      <c r="Z9" s="26" t="str">
        <f>IFERROR(Шаблон_Формулы[[#This Row],[23]]*Шаблон_Формулы[[#This Row],[25]],"")</f>
        <v/>
      </c>
      <c r="AA9" s="13" t="e" cm="1">
        <f t="array" ref="AA9">#REF!</f>
        <v>#REF!</v>
      </c>
    </row>
    <row r="10" spans="1:27" s="8" customFormat="1" ht="12">
      <c r="A10" s="11">
        <v>6</v>
      </c>
      <c r="B10" s="8" t="str" cm="1">
        <f t="array" ref="B10">_xlfn.XLOOKUP($A10,ACT[[№]:[№]],ACT[Container No/
№ Контейнера],"",0,1)</f>
        <v>TGHU6665886</v>
      </c>
      <c r="C10" s="8" t="str">
        <f t="shared" si="0"/>
        <v>UzAutoKorea</v>
      </c>
      <c r="D10" s="11" t="str" cm="1">
        <f t="array" ref="D10">_xlfn.XLOOKUP($A10,ACT[[№]:[№]],ACT[Container Type/ 
Тип контейнера],"",0,1)</f>
        <v>40'HC</v>
      </c>
      <c r="E10" s="21" cm="1">
        <f t="array" ref="E10">_xlfn.XLOOKUP($A10,ACT[[№]:[№]],ACT[Date of Dispatch/ 
Дата отгрузки],"",0,1)</f>
        <v>44965</v>
      </c>
      <c r="F10" s="22" t="str" cm="1">
        <f t="array" ref="F10">_xlfn.XLOOKUP($A10,ACT[[№]:[№]],ACT[Supplier/ Поставщик],"",0,1)</f>
        <v>Contitech Fluid</v>
      </c>
      <c r="G10" s="22" t="str" cm="1">
        <f t="array" ref="G10">_xlfn.XLOOKUP($A10,ACT[[№]:[№]],ACT[Supplier Invoice No/                          № Инвойса Поставщика],"",0,1)</f>
        <v>U230111B</v>
      </c>
      <c r="H10" s="23" cm="1">
        <f t="array" ref="H10">_xlfn.XLOOKUP($A10,ACT[[№]:[№]],ACT[CBM],"",0,1)</f>
        <v>49.658000000000001</v>
      </c>
      <c r="I10" s="23" cm="1">
        <f t="array" ref="I10">_xlfn.XLOOKUP($A10,ACT[[№]:[№]],ACT[Gross weight, kg/ Вес брутто, кг],"",0,1)</f>
        <v>3027.02</v>
      </c>
      <c r="J10" s="23" t="str" cm="1">
        <f t="array" ref="J10">_xlfn.XLOOKUP($A10,ACT[[№]:[№]],ACT[Delivery terms / Условия поставки],"",0,1)</f>
        <v>FCA</v>
      </c>
      <c r="K10" s="23" cm="1">
        <f t="array" ref="K10">_xlfn.XLOOKUP($A10,ACT[[№]:[№]],ACT[Container total CBM],"",0,1)</f>
        <v>66.114000000000004</v>
      </c>
      <c r="L10" s="24" cm="1">
        <f t="array" ref="L10">_xlfn.XLOOKUP($A10,ACT[[№]:[№]],ACT[FTL inland freight cost per Invoice Appendix/ Стоимость внутренней наземной перевозки за инвойс Приложение                     KRW],"",0,1)</f>
        <v>1333000</v>
      </c>
      <c r="M10" s="24" cm="1">
        <f t="array" ref="M10">_xlfn.XLOOKUP($A10,ACT[[№]:[№]],ACT[Consolidation Work, Loading, Unloading/ Работы по консолидации, Погрузка, Разгрузка (Rate/Тариф - 8000 per CBM)                   KRW],"",0,1)</f>
        <v>421596.42</v>
      </c>
      <c r="N10" s="24" cm="1">
        <f t="array" ref="N10">_xlfn.XLOOKUP($A10,ACT[[№]:[№]],ACT[Shoring, Banding, Sealing, Handling/ Крепление, Перевязка, Опечатование, Обработка
KRW],"",0,1)</f>
        <v>145562.51928487158</v>
      </c>
      <c r="O10" s="24" cm="1">
        <f t="array" ref="O10">_xlfn.XLOOKUP($A10,ACT[[№]:[№]],ACT[Documents Work/ Сбор за подготовку документов
KRW],"",0,1)</f>
        <v>37554.829536860576</v>
      </c>
      <c r="P10" s="24" cm="1">
        <f t="array" ref="P10">_xlfn.XLOOKUP($A10,ACT[[№]:[№]],ACT[THC/ Терминальная обработка
KRW],"",0,1)</f>
        <v>139253.307922679</v>
      </c>
      <c r="Q10" s="24" cm="1">
        <f t="array" ref="Q10">_xlfn.XLOOKUP($A10,ACT[[№]:[№]],ACT[Wharfage/ Портовая пошлина
KRW],"",0,1)</f>
        <v>6834.9789757086246</v>
      </c>
      <c r="R10" s="24" cm="1">
        <f t="array" ref="R10">_xlfn.XLOOKUP($A10,ACT[[№]:[№]],ACT[TRUCKING CHARGE],"",0,1)</f>
        <v>0</v>
      </c>
      <c r="S10" s="24" cm="1">
        <f t="array" ref="S10">_xlfn.XLOOKUP($A10,ACT[[№]:[№]],ACT[FCL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210682.59370178785</v>
      </c>
      <c r="T10" s="24" cm="1">
        <f t="array" ref="T10">_xlfn.XLOOKUP($A10,ACT[[№]:[№]],ACT[Special Wooden Shoring / Специальное деревянное крепление],"",0,1)</f>
        <v>0</v>
      </c>
      <c r="U10" s="9"/>
      <c r="V10" s="24" cm="1">
        <f t="array" ref="V10">_xlfn.XLOOKUP($A10,ACT[[№]:[№]],ACT[Total amount/ Общая стоимость KRW (10+11+12+13+14+15+16)],"",0,1)</f>
        <v>2294484.6494219075</v>
      </c>
      <c r="W10" s="24" cm="1">
        <f t="array" ref="W10">_xlfn.XLOOKUP($A10,ACT[[№]:[№]],ACT[Total amount/ Общая стоимость (17*exchange rate/ обменный курс)
 USD],"",0,1)</f>
        <v>1805.63</v>
      </c>
      <c r="X10" s="9" t="e" cm="1">
        <f t="array" ref="X10">IF(#REF!="",_xlfn.XLOOKUP("МАКС",#REF!,#REF!,,0,1),#REF!)</f>
        <v>#REF!</v>
      </c>
      <c r="Y10" s="12" t="e">
        <f>VLOOKUP(Шаблон_Формулы[[#This Row],[24]],#REF!,2,0)</f>
        <v>#REF!</v>
      </c>
      <c r="Z10" s="26" t="str">
        <f>IFERROR(Шаблон_Формулы[[#This Row],[23]]*Шаблон_Формулы[[#This Row],[25]],"")</f>
        <v/>
      </c>
      <c r="AA10" s="13" t="e" cm="1">
        <f t="array" ref="AA10">#REF!</f>
        <v>#REF!</v>
      </c>
    </row>
    <row r="11" spans="1:27" s="8" customFormat="1" ht="12">
      <c r="A11" s="11">
        <v>7</v>
      </c>
      <c r="B11" s="8" t="str" cm="1">
        <f t="array" ref="B11">_xlfn.XLOOKUP($A11,ACT[[№]:[№]],ACT[Container No/
№ Контейнера],"",0,1)</f>
        <v>CLHU8739534</v>
      </c>
      <c r="C11" s="8" t="str">
        <f t="shared" si="0"/>
        <v>UzAutoKorea</v>
      </c>
      <c r="D11" s="11" t="str" cm="1">
        <f t="array" ref="D11">_xlfn.XLOOKUP($A11,ACT[[№]:[№]],ACT[Container Type/ 
Тип контейнера],"",0,1)</f>
        <v>40'HC</v>
      </c>
      <c r="E11" s="21" cm="1">
        <f t="array" ref="E11">_xlfn.XLOOKUP($A11,ACT[[№]:[№]],ACT[Date of Dispatch/ 
Дата отгрузки],"",0,1)</f>
        <v>44965</v>
      </c>
      <c r="F11" s="22" t="str" cm="1">
        <f t="array" ref="F11">_xlfn.XLOOKUP($A11,ACT[[№]:[№]],ACT[Supplier/ Поставщик],"",0,1)</f>
        <v>Hanyang Precision</v>
      </c>
      <c r="G11" s="22" t="str" cm="1">
        <f t="array" ref="G11">_xlfn.XLOOKUP($A11,ACT[[№]:[№]],ACT[Supplier Invoice No/                          № Инвойса Поставщика],"",0,1)</f>
        <v>HY230109U(5)</v>
      </c>
      <c r="H11" s="23" cm="1">
        <f t="array" ref="H11">_xlfn.XLOOKUP($A11,ACT[[№]:[№]],ACT[CBM],"",0,1)</f>
        <v>7.48</v>
      </c>
      <c r="I11" s="23" cm="1">
        <f t="array" ref="I11">_xlfn.XLOOKUP($A11,ACT[[№]:[№]],ACT[Gross weight, kg/ Вес брутто, кг],"",0,1)</f>
        <v>5776.26</v>
      </c>
      <c r="J11" s="23" t="str" cm="1">
        <f t="array" ref="J11">_xlfn.XLOOKUP($A11,ACT[[№]:[№]],ACT[Delivery terms / Условия поставки],"",0,1)</f>
        <v>FCA</v>
      </c>
      <c r="K11" s="23" cm="1">
        <f t="array" ref="K11">_xlfn.XLOOKUP($A11,ACT[[№]:[№]],ACT[Container total CBM],"",0,1)</f>
        <v>66.114000000000004</v>
      </c>
      <c r="L11" s="24" cm="1">
        <f t="array" ref="L11">_xlfn.XLOOKUP($A11,ACT[[№]:[№]],ACT[FTL inland freight cost per Invoice Appendix/ Стоимость внутренней наземной перевозки за инвойс Приложение                     KRW],"",0,1)</f>
        <v>698500</v>
      </c>
      <c r="M11" s="24" cm="1">
        <f t="array" ref="M11">_xlfn.XLOOKUP($A11,ACT[[№]:[№]],ACT[Consolidation Work, Loading, Unloading/ Работы по консолидации, Погрузка, Разгрузка (Rate/Тариф - 8000 per CBM)                   KRW],"",0,1)</f>
        <v>63505.2</v>
      </c>
      <c r="N11" s="24" cm="1">
        <f t="array" ref="N11">_xlfn.XLOOKUP($A11,ACT[[№]:[№]],ACT[Shoring, Banding, Sealing, Handling/ Крепление, Перевязка, Опечатование, Обработка
KRW],"",0,1)</f>
        <v>21926.127597785638</v>
      </c>
      <c r="O11" s="24" cm="1">
        <f t="array" ref="O11">_xlfn.XLOOKUP($A11,ACT[[№]:[№]],ACT[Documents Work/ Сбор за подготовку документов
KRW],"",0,1)</f>
        <v>5656.8956650633754</v>
      </c>
      <c r="P11" s="24" cm="1">
        <f t="array" ref="P11">_xlfn.XLOOKUP($A11,ACT[[№]:[№]],ACT[THC/ Терминальная обработка
KRW],"",0,1)</f>
        <v>20975.769126054995</v>
      </c>
      <c r="Q11" s="24" cm="1">
        <f t="array" ref="Q11">_xlfn.XLOOKUP($A11,ACT[[№]:[№]],ACT[Wharfage/ Портовая пошлина
KRW],"",0,1)</f>
        <v>1029.5550110415345</v>
      </c>
      <c r="R11" s="24" cm="1">
        <f t="array" ref="R11">_xlfn.XLOOKUP($A11,ACT[[№]:[№]],ACT[TRUCKING CHARGE],"",0,1)</f>
        <v>0</v>
      </c>
      <c r="S11" s="24" cm="1">
        <f t="array" ref="S11">_xlfn.XLOOKUP($A11,ACT[[№]:[№]],ACT[FCL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31735.184681005536</v>
      </c>
      <c r="T11" s="24" cm="1">
        <f t="array" ref="T11">_xlfn.XLOOKUP($A11,ACT[[№]:[№]],ACT[Special Wooden Shoring / Специальное деревянное крепление],"",0,1)</f>
        <v>0</v>
      </c>
      <c r="U11" s="9"/>
      <c r="V11" s="24" cm="1">
        <f t="array" ref="V11">_xlfn.XLOOKUP($A11,ACT[[№]:[№]],ACT[Total amount/ Общая стоимость KRW (10+11+12+13+14+15+16)],"",0,1)</f>
        <v>843328.7320809511</v>
      </c>
      <c r="W11" s="24" cm="1">
        <f t="array" ref="W11">_xlfn.XLOOKUP($A11,ACT[[№]:[№]],ACT[Total amount/ Общая стоимость (17*exchange rate/ обменный курс)
 USD],"",0,1)</f>
        <v>663.65</v>
      </c>
      <c r="X11" s="9" t="e" cm="1">
        <f t="array" ref="X11">IF(#REF!="",_xlfn.XLOOKUP("МАКС",#REF!,#REF!,,0,1),#REF!)</f>
        <v>#REF!</v>
      </c>
      <c r="Y11" s="12" t="e">
        <f>VLOOKUP(Шаблон_Формулы[[#This Row],[24]],#REF!,2,0)</f>
        <v>#REF!</v>
      </c>
      <c r="Z11" s="26" t="str">
        <f>IFERROR(Шаблон_Формулы[[#This Row],[23]]*Шаблон_Формулы[[#This Row],[25]],"")</f>
        <v/>
      </c>
      <c r="AA11" s="13" t="e" cm="1">
        <f t="array" ref="AA11">#REF!</f>
        <v>#REF!</v>
      </c>
    </row>
    <row r="12" spans="1:27" s="8" customFormat="1" ht="12">
      <c r="A12" s="11">
        <v>8</v>
      </c>
      <c r="B12" s="8" t="str" cm="1">
        <f t="array" ref="B12">_xlfn.XLOOKUP($A12,ACT[[№]:[№]],ACT[Container No/
№ Контейнера],"",0,1)</f>
        <v>CLHU8739534</v>
      </c>
      <c r="C12" s="8" t="str">
        <f t="shared" si="0"/>
        <v>UzAutoKorea</v>
      </c>
      <c r="D12" s="11" t="str" cm="1">
        <f t="array" ref="D12">_xlfn.XLOOKUP($A12,ACT[[№]:[№]],ACT[Container Type/ 
Тип контейнера],"",0,1)</f>
        <v>40'HC</v>
      </c>
      <c r="E12" s="21" cm="1">
        <f t="array" ref="E12">_xlfn.XLOOKUP($A12,ACT[[№]:[№]],ACT[Date of Dispatch/ 
Дата отгрузки],"",0,1)</f>
        <v>44965</v>
      </c>
      <c r="F12" s="22" t="str" cm="1">
        <f t="array" ref="F12">_xlfn.XLOOKUP($A12,ACT[[№]:[№]],ACT[Supplier/ Поставщик],"",0,1)</f>
        <v>Hanyang Precision</v>
      </c>
      <c r="G12" s="22" t="str" cm="1">
        <f t="array" ref="G12">_xlfn.XLOOKUP($A12,ACT[[№]:[№]],ACT[Supplier Invoice No/                          № Инвойса Поставщика],"",0,1)</f>
        <v>HY230109U(6)</v>
      </c>
      <c r="H12" s="23" cm="1">
        <f t="array" ref="H12">_xlfn.XLOOKUP($A12,ACT[[№]:[№]],ACT[CBM],"",0,1)</f>
        <v>8.9760000000000009</v>
      </c>
      <c r="I12" s="23" cm="1">
        <f t="array" ref="I12">_xlfn.XLOOKUP($A12,ACT[[№]:[№]],ACT[Gross weight, kg/ Вес брутто, кг],"",0,1)</f>
        <v>3852</v>
      </c>
      <c r="J12" s="23" t="str" cm="1">
        <f t="array" ref="J12">_xlfn.XLOOKUP($A12,ACT[[№]:[№]],ACT[Delivery terms / Условия поставки],"",0,1)</f>
        <v>FCA</v>
      </c>
      <c r="K12" s="23" cm="1">
        <f t="array" ref="K12">_xlfn.XLOOKUP($A12,ACT[[№]:[№]],ACT[Container total CBM],"",0,1)</f>
        <v>66.114000000000004</v>
      </c>
      <c r="L12" s="24" cm="1">
        <f t="array" ref="L12">_xlfn.XLOOKUP($A12,ACT[[№]:[№]],ACT[FTL inland freight cost per Invoice Appendix/ Стоимость внутренней наземной перевозки за инвойс Приложение                     KRW],"",0,1)</f>
        <v>632500</v>
      </c>
      <c r="M12" s="24" cm="1">
        <f t="array" ref="M12">_xlfn.XLOOKUP($A12,ACT[[№]:[№]],ACT[Consolidation Work, Loading, Unloading/ Работы по консолидации, Погрузка, Разгрузка (Rate/Тариф - 8000 per CBM)                   KRW],"",0,1)</f>
        <v>76206.240000000005</v>
      </c>
      <c r="N12" s="24" cm="1">
        <f t="array" ref="N12">_xlfn.XLOOKUP($A12,ACT[[№]:[№]],ACT[Shoring, Banding, Sealing, Handling/ Крепление, Перевязка, Опечатование, Обработка
KRW],"",0,1)</f>
        <v>26311.353117342773</v>
      </c>
      <c r="O12" s="24" cm="1">
        <f t="array" ref="O12">_xlfn.XLOOKUP($A12,ACT[[№]:[№]],ACT[Documents Work/ Сбор за подготовку документов
KRW],"",0,1)</f>
        <v>6788.2747980760505</v>
      </c>
      <c r="P12" s="24" cm="1">
        <f t="array" ref="P12">_xlfn.XLOOKUP($A12,ACT[[№]:[№]],ACT[THC/ Терминальная обработка
KRW],"",0,1)</f>
        <v>25170.922951265995</v>
      </c>
      <c r="Q12" s="24" cm="1">
        <f t="array" ref="Q12">_xlfn.XLOOKUP($A12,ACT[[№]:[№]],ACT[Wharfage/ Портовая пошлина
KRW],"",0,1)</f>
        <v>1235.4660132498414</v>
      </c>
      <c r="R12" s="24" cm="1">
        <f t="array" ref="R12">_xlfn.XLOOKUP($A12,ACT[[№]:[№]],ACT[TRUCKING CHARGE],"",0,1)</f>
        <v>0</v>
      </c>
      <c r="S12" s="24" cm="1">
        <f t="array" ref="S12">_xlfn.XLOOKUP($A12,ACT[[№]:[№]],ACT[FCL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38082.221617206647</v>
      </c>
      <c r="T12" s="24" cm="1">
        <f t="array" ref="T12">_xlfn.XLOOKUP($A12,ACT[[№]:[№]],ACT[Special Wooden Shoring / Специальное деревянное крепление],"",0,1)</f>
        <v>0</v>
      </c>
      <c r="U12" s="9"/>
      <c r="V12" s="24" cm="1">
        <f t="array" ref="V12">_xlfn.XLOOKUP($A12,ACT[[№]:[№]],ACT[Total amount/ Общая стоимость KRW (10+11+12+13+14+15+16)],"",0,1)</f>
        <v>806294.47849714139</v>
      </c>
      <c r="W12" s="24" cm="1">
        <f t="array" ref="W12">_xlfn.XLOOKUP($A12,ACT[[№]:[№]],ACT[Total amount/ Общая стоимость (17*exchange rate/ обменный курс)
 USD],"",0,1)</f>
        <v>634.51</v>
      </c>
      <c r="X12" s="9" t="e" cm="1">
        <f t="array" ref="X12">IF(#REF!="",_xlfn.XLOOKUP("МАКС",#REF!,#REF!,,0,1),#REF!)</f>
        <v>#REF!</v>
      </c>
      <c r="Y12" s="12" t="e">
        <f>VLOOKUP(Шаблон_Формулы[[#This Row],[24]],#REF!,2,0)</f>
        <v>#REF!</v>
      </c>
      <c r="Z12" s="26" t="str">
        <f>IFERROR(Шаблон_Формулы[[#This Row],[23]]*Шаблон_Формулы[[#This Row],[25]],"")</f>
        <v/>
      </c>
      <c r="AA12" s="13" t="e" cm="1">
        <f t="array" ref="AA12">#REF!</f>
        <v>#REF!</v>
      </c>
    </row>
    <row r="13" spans="1:27" s="8" customFormat="1" ht="12">
      <c r="A13" s="11">
        <v>9</v>
      </c>
      <c r="B13" s="8" t="str" cm="1">
        <f t="array" ref="B13">_xlfn.XLOOKUP($A13,ACT[[№]:[№]],ACT[Container No/
№ Контейнера],"",0,1)</f>
        <v>CLHU8739534</v>
      </c>
      <c r="C13" s="8" t="str">
        <f t="shared" si="0"/>
        <v>UzAutoKorea</v>
      </c>
      <c r="D13" s="11" t="str" cm="1">
        <f t="array" ref="D13">_xlfn.XLOOKUP($A13,ACT[[№]:[№]],ACT[Container Type/ 
Тип контейнера],"",0,1)</f>
        <v>40'HC</v>
      </c>
      <c r="E13" s="21" cm="1">
        <f t="array" ref="E13">_xlfn.XLOOKUP($A13,ACT[[№]:[№]],ACT[Date of Dispatch/ 
Дата отгрузки],"",0,1)</f>
        <v>44965</v>
      </c>
      <c r="F13" s="22" t="str" cm="1">
        <f t="array" ref="F13">_xlfn.XLOOKUP($A13,ACT[[№]:[№]],ACT[Supplier/ Поставщик],"",0,1)</f>
        <v>Contitech Fluid</v>
      </c>
      <c r="G13" s="22" t="str" cm="1">
        <f t="array" ref="G13">_xlfn.XLOOKUP($A13,ACT[[№]:[№]],ACT[Supplier Invoice No/                          № Инвойса Поставщика],"",0,1)</f>
        <v>U230111C</v>
      </c>
      <c r="H13" s="23" cm="1">
        <f t="array" ref="H13">_xlfn.XLOOKUP($A13,ACT[[№]:[№]],ACT[CBM],"",0,1)</f>
        <v>49.658000000000001</v>
      </c>
      <c r="I13" s="23" cm="1">
        <f t="array" ref="I13">_xlfn.XLOOKUP($A13,ACT[[№]:[№]],ACT[Gross weight, kg/ Вес брутто, кг],"",0,1)</f>
        <v>2898.72</v>
      </c>
      <c r="J13" s="23" t="str" cm="1">
        <f t="array" ref="J13">_xlfn.XLOOKUP($A13,ACT[[№]:[№]],ACT[Delivery terms / Условия поставки],"",0,1)</f>
        <v>FCA</v>
      </c>
      <c r="K13" s="23" cm="1">
        <f t="array" ref="K13">_xlfn.XLOOKUP($A13,ACT[[№]:[№]],ACT[Container total CBM],"",0,1)</f>
        <v>66.114000000000004</v>
      </c>
      <c r="L13" s="24" cm="1">
        <f t="array" ref="L13">_xlfn.XLOOKUP($A13,ACT[[№]:[№]],ACT[FTL inland freight cost per Invoice Appendix/ Стоимость внутренней наземной перевозки за инвойс Приложение                     KRW],"",0,1)</f>
        <v>1333000</v>
      </c>
      <c r="M13" s="24" cm="1">
        <f t="array" ref="M13">_xlfn.XLOOKUP($A13,ACT[[№]:[№]],ACT[Consolidation Work, Loading, Unloading/ Работы по консолидации, Погрузка, Разгрузка (Rate/Тариф - 8000 per CBM)                   KRW],"",0,1)</f>
        <v>421596.42</v>
      </c>
      <c r="N13" s="24" cm="1">
        <f t="array" ref="N13">_xlfn.XLOOKUP($A13,ACT[[№]:[№]],ACT[Shoring, Banding, Sealing, Handling/ Крепление, Перевязка, Опечатование, Обработка
KRW],"",0,1)</f>
        <v>145562.51928487158</v>
      </c>
      <c r="O13" s="24" cm="1">
        <f t="array" ref="O13">_xlfn.XLOOKUP($A13,ACT[[№]:[№]],ACT[Documents Work/ Сбор за подготовку документов
KRW],"",0,1)</f>
        <v>37554.829536860576</v>
      </c>
      <c r="P13" s="24" cm="1">
        <f t="array" ref="P13">_xlfn.XLOOKUP($A13,ACT[[№]:[№]],ACT[THC/ Терминальная обработка
KRW],"",0,1)</f>
        <v>139253.307922679</v>
      </c>
      <c r="Q13" s="24" cm="1">
        <f t="array" ref="Q13">_xlfn.XLOOKUP($A13,ACT[[№]:[№]],ACT[Wharfage/ Портовая пошлина
KRW],"",0,1)</f>
        <v>6834.9789757086246</v>
      </c>
      <c r="R13" s="24" cm="1">
        <f t="array" ref="R13">_xlfn.XLOOKUP($A13,ACT[[№]:[№]],ACT[TRUCKING CHARGE],"",0,1)</f>
        <v>0</v>
      </c>
      <c r="S13" s="24" cm="1">
        <f t="array" ref="S13">_xlfn.XLOOKUP($A13,ACT[[№]:[№]],ACT[FCL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210682.59370178785</v>
      </c>
      <c r="T13" s="24" cm="1">
        <f t="array" ref="T13">_xlfn.XLOOKUP($A13,ACT[[№]:[№]],ACT[Special Wooden Shoring / Специальное деревянное крепление],"",0,1)</f>
        <v>0</v>
      </c>
      <c r="U13" s="9"/>
      <c r="V13" s="24" cm="1">
        <f t="array" ref="V13">_xlfn.XLOOKUP($A13,ACT[[№]:[№]],ACT[Total amount/ Общая стоимость KRW (10+11+12+13+14+15+16)],"",0,1)</f>
        <v>2294484.6494219075</v>
      </c>
      <c r="W13" s="24" cm="1">
        <f t="array" ref="W13">_xlfn.XLOOKUP($A13,ACT[[№]:[№]],ACT[Total amount/ Общая стоимость (17*exchange rate/ обменный курс)
 USD],"",0,1)</f>
        <v>1805.63</v>
      </c>
      <c r="X13" s="9" t="e" cm="1">
        <f t="array" ref="X13">IF(#REF!="",_xlfn.XLOOKUP("МАКС",#REF!,#REF!,,0,1),#REF!)</f>
        <v>#REF!</v>
      </c>
      <c r="Y13" s="12" t="e">
        <f>VLOOKUP(Шаблон_Формулы[[#This Row],[24]],#REF!,2,0)</f>
        <v>#REF!</v>
      </c>
      <c r="Z13" s="26" t="str">
        <f>IFERROR(Шаблон_Формулы[[#This Row],[23]]*Шаблон_Формулы[[#This Row],[25]],"")</f>
        <v/>
      </c>
      <c r="AA13" s="13" t="e" cm="1">
        <f t="array" ref="AA13">#REF!</f>
        <v>#REF!</v>
      </c>
    </row>
    <row r="14" spans="1:27" s="8" customFormat="1" ht="12">
      <c r="A14" s="11">
        <v>10</v>
      </c>
      <c r="B14" s="8" t="str" cm="1">
        <f t="array" ref="B14">_xlfn.XLOOKUP($A14,ACT[[№]:[№]],ACT[Container No/
№ Контейнера],"",0,1)</f>
        <v>OCGU8064575</v>
      </c>
      <c r="C14" s="8" t="str">
        <f t="shared" si="0"/>
        <v>UzAutoKorea</v>
      </c>
      <c r="D14" s="11" t="str" cm="1">
        <f t="array" ref="D14">_xlfn.XLOOKUP($A14,ACT[[№]:[№]],ACT[Container Type/ 
Тип контейнера],"",0,1)</f>
        <v>40'HC</v>
      </c>
      <c r="E14" s="21" cm="1">
        <f t="array" ref="E14">_xlfn.XLOOKUP($A14,ACT[[№]:[№]],ACT[Date of Dispatch/ 
Дата отгрузки],"",0,1)</f>
        <v>44965</v>
      </c>
      <c r="F14" s="22" t="str" cm="1">
        <f t="array" ref="F14">_xlfn.XLOOKUP($A14,ACT[[№]:[№]],ACT[Supplier/ Поставщик],"",0,1)</f>
        <v>Hanyang Precision</v>
      </c>
      <c r="G14" s="22" t="str" cm="1">
        <f t="array" ref="G14">_xlfn.XLOOKUP($A14,ACT[[№]:[№]],ACT[Supplier Invoice No/                          № Инвойса Поставщика],"",0,1)</f>
        <v>HY230109U(7)</v>
      </c>
      <c r="H14" s="23" cm="1">
        <f t="array" ref="H14">_xlfn.XLOOKUP($A14,ACT[[№]:[№]],ACT[CBM],"",0,1)</f>
        <v>7.48</v>
      </c>
      <c r="I14" s="23" cm="1">
        <f t="array" ref="I14">_xlfn.XLOOKUP($A14,ACT[[№]:[№]],ACT[Gross weight, kg/ Вес брутто, кг],"",0,1)</f>
        <v>5776</v>
      </c>
      <c r="J14" s="23" t="str" cm="1">
        <f t="array" ref="J14">_xlfn.XLOOKUP($A14,ACT[[№]:[№]],ACT[Delivery terms / Условия поставки],"",0,1)</f>
        <v>FCA</v>
      </c>
      <c r="K14" s="23" cm="1">
        <f t="array" ref="K14">_xlfn.XLOOKUP($A14,ACT[[№]:[№]],ACT[Container total CBM],"",0,1)</f>
        <v>66.114000000000004</v>
      </c>
      <c r="L14" s="24" cm="1">
        <f t="array" ref="L14">_xlfn.XLOOKUP($A14,ACT[[№]:[№]],ACT[FTL inland freight cost per Invoice Appendix/ Стоимость внутренней наземной перевозки за инвойс Приложение                     KRW],"",0,1)</f>
        <v>698500</v>
      </c>
      <c r="M14" s="24" cm="1">
        <f t="array" ref="M14">_xlfn.XLOOKUP($A14,ACT[[№]:[№]],ACT[Consolidation Work, Loading, Unloading/ Работы по консолидации, Погрузка, Разгрузка (Rate/Тариф - 8000 per CBM)                   KRW],"",0,1)</f>
        <v>63505.2</v>
      </c>
      <c r="N14" s="24" cm="1">
        <f t="array" ref="N14">_xlfn.XLOOKUP($A14,ACT[[№]:[№]],ACT[Shoring, Banding, Sealing, Handling/ Крепление, Перевязка, Опечатование, Обработка
KRW],"",0,1)</f>
        <v>21926.127597785638</v>
      </c>
      <c r="O14" s="24" cm="1">
        <f t="array" ref="O14">_xlfn.XLOOKUP($A14,ACT[[№]:[№]],ACT[Documents Work/ Сбор за подготовку документов
KRW],"",0,1)</f>
        <v>5656.8956650633754</v>
      </c>
      <c r="P14" s="24" cm="1">
        <f t="array" ref="P14">_xlfn.XLOOKUP($A14,ACT[[№]:[№]],ACT[THC/ Терминальная обработка
KRW],"",0,1)</f>
        <v>20975.769126054995</v>
      </c>
      <c r="Q14" s="24" cm="1">
        <f t="array" ref="Q14">_xlfn.XLOOKUP($A14,ACT[[№]:[№]],ACT[Wharfage/ Портовая пошлина
KRW],"",0,1)</f>
        <v>1029.5550110415345</v>
      </c>
      <c r="R14" s="24" cm="1">
        <f t="array" ref="R14">_xlfn.XLOOKUP($A14,ACT[[№]:[№]],ACT[TRUCKING CHARGE],"",0,1)</f>
        <v>0</v>
      </c>
      <c r="S14" s="24" cm="1">
        <f t="array" ref="S14">_xlfn.XLOOKUP($A14,ACT[[№]:[№]],ACT[FCL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31735.184681005536</v>
      </c>
      <c r="T14" s="24" cm="1">
        <f t="array" ref="T14">_xlfn.XLOOKUP($A14,ACT[[№]:[№]],ACT[Special Wooden Shoring / Специальное деревянное крепление],"",0,1)</f>
        <v>0</v>
      </c>
      <c r="U14" s="9"/>
      <c r="V14" s="24" cm="1">
        <f t="array" ref="V14">_xlfn.XLOOKUP($A14,ACT[[№]:[№]],ACT[Total amount/ Общая стоимость KRW (10+11+12+13+14+15+16)],"",0,1)</f>
        <v>843328.7320809511</v>
      </c>
      <c r="W14" s="24" cm="1">
        <f t="array" ref="W14">_xlfn.XLOOKUP($A14,ACT[[№]:[№]],ACT[Total amount/ Общая стоимость (17*exchange rate/ обменный курс)
 USD],"",0,1)</f>
        <v>663.65</v>
      </c>
      <c r="X14" s="9" t="e" cm="1">
        <f t="array" ref="X14">IF(#REF!="",_xlfn.XLOOKUP("МАКС",#REF!,#REF!,,0,1),#REF!)</f>
        <v>#REF!</v>
      </c>
      <c r="Y14" s="12" t="e">
        <f>VLOOKUP(Шаблон_Формулы[[#This Row],[24]],#REF!,2,0)</f>
        <v>#REF!</v>
      </c>
      <c r="Z14" s="26" t="str">
        <f>IFERROR(Шаблон_Формулы[[#This Row],[23]]*Шаблон_Формулы[[#This Row],[25]],"")</f>
        <v/>
      </c>
      <c r="AA14" s="13" t="e" cm="1">
        <f t="array" ref="AA14">#REF!</f>
        <v>#REF!</v>
      </c>
    </row>
    <row r="15" spans="1:27" s="8" customFormat="1" ht="12">
      <c r="A15" s="11">
        <v>11</v>
      </c>
      <c r="B15" s="8" t="str" cm="1">
        <f t="array" ref="B15">_xlfn.XLOOKUP($A15,ACT[[№]:[№]],ACT[Container No/
№ Контейнера],"",0,1)</f>
        <v>OCGU8064575</v>
      </c>
      <c r="C15" s="8" t="str">
        <f t="shared" si="0"/>
        <v>UzAutoKorea</v>
      </c>
      <c r="D15" s="11" t="str" cm="1">
        <f t="array" ref="D15">_xlfn.XLOOKUP($A15,ACT[[№]:[№]],ACT[Container Type/ 
Тип контейнера],"",0,1)</f>
        <v>40'HC</v>
      </c>
      <c r="E15" s="21" cm="1">
        <f t="array" ref="E15">_xlfn.XLOOKUP($A15,ACT[[№]:[№]],ACT[Date of Dispatch/ 
Дата отгрузки],"",0,1)</f>
        <v>44965</v>
      </c>
      <c r="F15" s="22" t="str" cm="1">
        <f t="array" ref="F15">_xlfn.XLOOKUP($A15,ACT[[№]:[№]],ACT[Supplier/ Поставщик],"",0,1)</f>
        <v>Hanyang Precision</v>
      </c>
      <c r="G15" s="22" t="str" cm="1">
        <f t="array" ref="G15">_xlfn.XLOOKUP($A15,ACT[[№]:[№]],ACT[Supplier Invoice No/                          № Инвойса Поставщика],"",0,1)</f>
        <v>HY230109U(8)</v>
      </c>
      <c r="H15" s="23" cm="1">
        <f t="array" ref="H15">_xlfn.XLOOKUP($A15,ACT[[№]:[№]],ACT[CBM],"",0,1)</f>
        <v>8.9760000000000009</v>
      </c>
      <c r="I15" s="23" cm="1">
        <f t="array" ref="I15">_xlfn.XLOOKUP($A15,ACT[[№]:[№]],ACT[Gross weight, kg/ Вес брутто, кг],"",0,1)</f>
        <v>3852</v>
      </c>
      <c r="J15" s="23" t="str" cm="1">
        <f t="array" ref="J15">_xlfn.XLOOKUP($A15,ACT[[№]:[№]],ACT[Delivery terms / Условия поставки],"",0,1)</f>
        <v>FCA</v>
      </c>
      <c r="K15" s="23" cm="1">
        <f t="array" ref="K15">_xlfn.XLOOKUP($A15,ACT[[№]:[№]],ACT[Container total CBM],"",0,1)</f>
        <v>66.114000000000004</v>
      </c>
      <c r="L15" s="24" cm="1">
        <f t="array" ref="L15">_xlfn.XLOOKUP($A15,ACT[[№]:[№]],ACT[FTL inland freight cost per Invoice Appendix/ Стоимость внутренней наземной перевозки за инвойс Приложение                     KRW],"",0,1)</f>
        <v>632500</v>
      </c>
      <c r="M15" s="24" cm="1">
        <f t="array" ref="M15">_xlfn.XLOOKUP($A15,ACT[[№]:[№]],ACT[Consolidation Work, Loading, Unloading/ Работы по консолидации, Погрузка, Разгрузка (Rate/Тариф - 8000 per CBM)                   KRW],"",0,1)</f>
        <v>76206.240000000005</v>
      </c>
      <c r="N15" s="24" cm="1">
        <f t="array" ref="N15">_xlfn.XLOOKUP($A15,ACT[[№]:[№]],ACT[Shoring, Banding, Sealing, Handling/ Крепление, Перевязка, Опечатование, Обработка
KRW],"",0,1)</f>
        <v>26311.353117342773</v>
      </c>
      <c r="O15" s="24" cm="1">
        <f t="array" ref="O15">_xlfn.XLOOKUP($A15,ACT[[№]:[№]],ACT[Documents Work/ Сбор за подготовку документов
KRW],"",0,1)</f>
        <v>6788.2747980760505</v>
      </c>
      <c r="P15" s="24" cm="1">
        <f t="array" ref="P15">_xlfn.XLOOKUP($A15,ACT[[№]:[№]],ACT[THC/ Терминальная обработка
KRW],"",0,1)</f>
        <v>25170.922951265995</v>
      </c>
      <c r="Q15" s="24" cm="1">
        <f t="array" ref="Q15">_xlfn.XLOOKUP($A15,ACT[[№]:[№]],ACT[Wharfage/ Портовая пошлина
KRW],"",0,1)</f>
        <v>1235.4660132498414</v>
      </c>
      <c r="R15" s="24" cm="1">
        <f t="array" ref="R15">_xlfn.XLOOKUP($A15,ACT[[№]:[№]],ACT[TRUCKING CHARGE],"",0,1)</f>
        <v>0</v>
      </c>
      <c r="S15" s="24" cm="1">
        <f t="array" ref="S15">_xlfn.XLOOKUP($A15,ACT[[№]:[№]],ACT[FCL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38082.221617206647</v>
      </c>
      <c r="T15" s="24" cm="1">
        <f t="array" ref="T15">_xlfn.XLOOKUP($A15,ACT[[№]:[№]],ACT[Special Wooden Shoring / Специальное деревянное крепление],"",0,1)</f>
        <v>0</v>
      </c>
      <c r="U15" s="9"/>
      <c r="V15" s="24" cm="1">
        <f t="array" ref="V15">_xlfn.XLOOKUP($A15,ACT[[№]:[№]],ACT[Total amount/ Общая стоимость KRW (10+11+12+13+14+15+16)],"",0,1)</f>
        <v>806294.47849714139</v>
      </c>
      <c r="W15" s="24" cm="1">
        <f t="array" ref="W15">_xlfn.XLOOKUP($A15,ACT[[№]:[№]],ACT[Total amount/ Общая стоимость (17*exchange rate/ обменный курс)
 USD],"",0,1)</f>
        <v>634.51</v>
      </c>
      <c r="X15" s="9" t="e" cm="1">
        <f t="array" ref="X15">IF(#REF!="",_xlfn.XLOOKUP("МАКС",#REF!,#REF!,,0,1),#REF!)</f>
        <v>#REF!</v>
      </c>
      <c r="Y15" s="12" t="e">
        <f>VLOOKUP(Шаблон_Формулы[[#This Row],[24]],#REF!,2,0)</f>
        <v>#REF!</v>
      </c>
      <c r="Z15" s="26" t="str">
        <f>IFERROR(Шаблон_Формулы[[#This Row],[23]]*Шаблон_Формулы[[#This Row],[25]],"")</f>
        <v/>
      </c>
      <c r="AA15" s="13" t="e" cm="1">
        <f t="array" ref="AA15">#REF!</f>
        <v>#REF!</v>
      </c>
    </row>
    <row r="16" spans="1:27" s="8" customFormat="1" ht="12">
      <c r="A16" s="11">
        <v>12</v>
      </c>
      <c r="B16" s="8" t="str" cm="1">
        <f t="array" ref="B16">_xlfn.XLOOKUP($A16,ACT[[№]:[№]],ACT[Container No/
№ Контейнера],"",0,1)</f>
        <v>OCGU8064575</v>
      </c>
      <c r="C16" s="8" t="str">
        <f t="shared" si="0"/>
        <v>UzAutoKorea</v>
      </c>
      <c r="D16" s="11" t="str" cm="1">
        <f t="array" ref="D16">_xlfn.XLOOKUP($A16,ACT[[№]:[№]],ACT[Container Type/ 
Тип контейнера],"",0,1)</f>
        <v>40'HC</v>
      </c>
      <c r="E16" s="21" cm="1">
        <f t="array" ref="E16">_xlfn.XLOOKUP($A16,ACT[[№]:[№]],ACT[Date of Dispatch/ 
Дата отгрузки],"",0,1)</f>
        <v>44965</v>
      </c>
      <c r="F16" s="22" t="str" cm="1">
        <f t="array" ref="F16">_xlfn.XLOOKUP($A16,ACT[[№]:[№]],ACT[Supplier/ Поставщик],"",0,1)</f>
        <v>Contitech Fluid</v>
      </c>
      <c r="G16" s="22" t="str" cm="1">
        <f t="array" ref="G16">_xlfn.XLOOKUP($A16,ACT[[№]:[№]],ACT[Supplier Invoice No/                          № Инвойса Поставщика],"",0,1)</f>
        <v>U230111D</v>
      </c>
      <c r="H16" s="23" cm="1">
        <f t="array" ref="H16">_xlfn.XLOOKUP($A16,ACT[[№]:[№]],ACT[CBM],"",0,1)</f>
        <v>49.658000000000001</v>
      </c>
      <c r="I16" s="23" cm="1">
        <f t="array" ref="I16">_xlfn.XLOOKUP($A16,ACT[[№]:[№]],ACT[Gross weight, kg/ Вес брутто, кг],"",0,1)</f>
        <v>2027.63</v>
      </c>
      <c r="J16" s="23" t="str" cm="1">
        <f t="array" ref="J16">_xlfn.XLOOKUP($A16,ACT[[№]:[№]],ACT[Delivery terms / Условия поставки],"",0,1)</f>
        <v>FCA</v>
      </c>
      <c r="K16" s="23" cm="1">
        <f t="array" ref="K16">_xlfn.XLOOKUP($A16,ACT[[№]:[№]],ACT[Container total CBM],"",0,1)</f>
        <v>66.114000000000004</v>
      </c>
      <c r="L16" s="24" cm="1">
        <f t="array" ref="L16">_xlfn.XLOOKUP($A16,ACT[[№]:[№]],ACT[FTL inland freight cost per Invoice Appendix/ Стоимость внутренней наземной перевозки за инвойс Приложение                     KRW],"",0,1)</f>
        <v>1333000</v>
      </c>
      <c r="M16" s="24" cm="1">
        <f t="array" ref="M16">_xlfn.XLOOKUP($A16,ACT[[№]:[№]],ACT[Consolidation Work, Loading, Unloading/ Работы по консолидации, Погрузка, Разгрузка (Rate/Тариф - 8000 per CBM)                   KRW],"",0,1)</f>
        <v>421596.42</v>
      </c>
      <c r="N16" s="24" cm="1">
        <f t="array" ref="N16">_xlfn.XLOOKUP($A16,ACT[[№]:[№]],ACT[Shoring, Banding, Sealing, Handling/ Крепление, Перевязка, Опечатование, Обработка
KRW],"",0,1)</f>
        <v>145562.51928487158</v>
      </c>
      <c r="O16" s="24" cm="1">
        <f t="array" ref="O16">_xlfn.XLOOKUP($A16,ACT[[№]:[№]],ACT[Documents Work/ Сбор за подготовку документов
KRW],"",0,1)</f>
        <v>37554.829536860576</v>
      </c>
      <c r="P16" s="24" cm="1">
        <f t="array" ref="P16">_xlfn.XLOOKUP($A16,ACT[[№]:[№]],ACT[THC/ Терминальная обработка
KRW],"",0,1)</f>
        <v>139253.307922679</v>
      </c>
      <c r="Q16" s="24" cm="1">
        <f t="array" ref="Q16">_xlfn.XLOOKUP($A16,ACT[[№]:[№]],ACT[Wharfage/ Портовая пошлина
KRW],"",0,1)</f>
        <v>6834.9789757086246</v>
      </c>
      <c r="R16" s="24" cm="1">
        <f t="array" ref="R16">_xlfn.XLOOKUP($A16,ACT[[№]:[№]],ACT[TRUCKING CHARGE],"",0,1)</f>
        <v>0</v>
      </c>
      <c r="S16" s="24" cm="1">
        <f t="array" ref="S16">_xlfn.XLOOKUP($A16,ACT[[№]:[№]],ACT[FCL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210682.59370178785</v>
      </c>
      <c r="T16" s="24" cm="1">
        <f t="array" ref="T16">_xlfn.XLOOKUP($A16,ACT[[№]:[№]],ACT[Special Wooden Shoring / Специальное деревянное крепление],"",0,1)</f>
        <v>0</v>
      </c>
      <c r="U16" s="9"/>
      <c r="V16" s="24" cm="1">
        <f t="array" ref="V16">_xlfn.XLOOKUP($A16,ACT[[№]:[№]],ACT[Total amount/ Общая стоимость KRW (10+11+12+13+14+15+16)],"",0,1)</f>
        <v>2294484.6494219075</v>
      </c>
      <c r="W16" s="24" cm="1">
        <f t="array" ref="W16">_xlfn.XLOOKUP($A16,ACT[[№]:[№]],ACT[Total amount/ Общая стоимость (17*exchange rate/ обменный курс)
 USD],"",0,1)</f>
        <v>1805.63</v>
      </c>
      <c r="X16" s="9" t="e" cm="1">
        <f t="array" ref="X16">IF(#REF!="",_xlfn.XLOOKUP("МАКС",#REF!,#REF!,,0,1),#REF!)</f>
        <v>#REF!</v>
      </c>
      <c r="Y16" s="12" t="e">
        <f>VLOOKUP(Шаблон_Формулы[[#This Row],[24]],#REF!,2,0)</f>
        <v>#REF!</v>
      </c>
      <c r="Z16" s="26" t="str">
        <f>IFERROR(Шаблон_Формулы[[#This Row],[23]]*Шаблон_Формулы[[#This Row],[25]],"")</f>
        <v/>
      </c>
      <c r="AA16" s="13" t="e" cm="1">
        <f t="array" ref="AA16">#REF!</f>
        <v>#REF!</v>
      </c>
    </row>
    <row r="17" spans="1:27" s="8" customFormat="1" ht="12">
      <c r="A17" s="11">
        <v>13</v>
      </c>
      <c r="B17" s="8" t="str" cm="1">
        <f t="array" ref="B17">_xlfn.XLOOKUP($A17,ACT[[№]:[№]],ACT[Container No/
№ Контейнера],"",0,1)</f>
        <v>DFSU6235562</v>
      </c>
      <c r="C17" s="8" t="str">
        <f t="shared" si="0"/>
        <v>UzAutoKorea</v>
      </c>
      <c r="D17" s="11" t="str" cm="1">
        <f t="array" ref="D17">_xlfn.XLOOKUP($A17,ACT[[№]:[№]],ACT[Container Type/ 
Тип контейнера],"",0,1)</f>
        <v>40'HC</v>
      </c>
      <c r="E17" s="21" cm="1">
        <f t="array" ref="E17">_xlfn.XLOOKUP($A17,ACT[[№]:[№]],ACT[Date of Dispatch/ 
Дата отгрузки],"",0,1)</f>
        <v>44965</v>
      </c>
      <c r="F17" s="22" t="str" cm="1">
        <f t="array" ref="F17">_xlfn.XLOOKUP($A17,ACT[[№]:[№]],ACT[Supplier/ Поставщик],"",0,1)</f>
        <v>Hanyang Precision</v>
      </c>
      <c r="G17" s="22" t="str" cm="1">
        <f t="array" ref="G17">_xlfn.XLOOKUP($A17,ACT[[№]:[№]],ACT[Supplier Invoice No/                          № Инвойса Поставщика],"",0,1)</f>
        <v>HY230109U(9)</v>
      </c>
      <c r="H17" s="23" cm="1">
        <f t="array" ref="H17">_xlfn.XLOOKUP($A17,ACT[[№]:[№]],ACT[CBM],"",0,1)</f>
        <v>23.936</v>
      </c>
      <c r="I17" s="23" cm="1">
        <f t="array" ref="I17">_xlfn.XLOOKUP($A17,ACT[[№]:[№]],ACT[Gross weight, kg/ Вес брутто, кг],"",0,1)</f>
        <v>18484</v>
      </c>
      <c r="J17" s="23" t="str" cm="1">
        <f t="array" ref="J17">_xlfn.XLOOKUP($A17,ACT[[№]:[№]],ACT[Delivery terms / Условия поставки],"",0,1)</f>
        <v>FCA</v>
      </c>
      <c r="K17" s="23" cm="1">
        <f t="array" ref="K17">_xlfn.XLOOKUP($A17,ACT[[№]:[№]],ACT[Container total CBM],"",0,1)</f>
        <v>52.676000000000002</v>
      </c>
      <c r="L17" s="24" cm="1">
        <f t="array" ref="L17">_xlfn.XLOOKUP($A17,ACT[[№]:[№]],ACT[FTL inland freight cost per Invoice Appendix/ Стоимость внутренней наземной перевозки за инвойс Приложение                     KRW],"",0,1)</f>
        <v>1450500</v>
      </c>
      <c r="M17" s="24" cm="1">
        <f t="array" ref="M17">_xlfn.XLOOKUP($A17,ACT[[№]:[№]],ACT[Consolidation Work, Loading, Unloading/ Работы по консолидации, Погрузка, Разгрузка (Rate/Тариф - 8000 per CBM)                   KRW],"",0,1)</f>
        <v>203216.64000000001</v>
      </c>
      <c r="N17" s="24" cm="1">
        <f t="array" ref="N17">_xlfn.XLOOKUP($A17,ACT[[№]:[№]],ACT[Shoring, Banding, Sealing, Handling/ Крепление, Перевязка, Опечатование, Обработка
KRW],"",0,1)</f>
        <v>88062.814184828007</v>
      </c>
      <c r="O17" s="24" cm="1">
        <f t="array" ref="O17">_xlfn.XLOOKUP($A17,ACT[[№]:[№]],ACT[Documents Work/ Сбор за подготовку документов
KRW],"",0,1)</f>
        <v>22720.02429949123</v>
      </c>
      <c r="P17" s="24" cm="1">
        <f t="array" ref="P17">_xlfn.XLOOKUP($A17,ACT[[№]:[№]],ACT[THC/ Терминальная обработка
KRW],"",0,1)</f>
        <v>84245.850102513476</v>
      </c>
      <c r="Q17" s="24" cm="1">
        <f t="array" ref="Q17">_xlfn.XLOOKUP($A17,ACT[[№]:[№]],ACT[Wharfage/ Портовая пошлина
KRW],"",0,1)</f>
        <v>4135.0444225074034</v>
      </c>
      <c r="R17" s="24" cm="1">
        <f t="array" ref="R17">_xlfn.XLOOKUP($A17,ACT[[№]:[№]],ACT[TRUCKING CHARGE],"",0,1)</f>
        <v>0</v>
      </c>
      <c r="S17" s="24" cm="1">
        <f t="array" ref="S17">_xlfn.XLOOKUP($A17,ACT[[№]:[№]],ACT[FCL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127459.3363201458</v>
      </c>
      <c r="T17" s="24" cm="1">
        <f t="array" ref="T17">_xlfn.XLOOKUP($A17,ACT[[№]:[№]],ACT[Special Wooden Shoring / Специальное деревянное крепление],"",0,1)</f>
        <v>0</v>
      </c>
      <c r="U17" s="9"/>
      <c r="V17" s="24" cm="1">
        <f t="array" ref="V17">_xlfn.XLOOKUP($A17,ACT[[№]:[№]],ACT[Total amount/ Общая стоимость KRW (10+11+12+13+14+15+16)],"",0,1)</f>
        <v>1980339.7093294859</v>
      </c>
      <c r="W17" s="24" cm="1">
        <f t="array" ref="W17">_xlfn.XLOOKUP($A17,ACT[[№]:[№]],ACT[Total amount/ Общая стоимость (17*exchange rate/ обменный курс)
 USD],"",0,1)</f>
        <v>1558.41</v>
      </c>
      <c r="X17" s="9" t="e" cm="1">
        <f t="array" ref="X17">IF(#REF!="",_xlfn.XLOOKUP("МАКС",#REF!,#REF!,,0,1),#REF!)</f>
        <v>#REF!</v>
      </c>
      <c r="Y17" s="12" t="e">
        <f>VLOOKUP(Шаблон_Формулы[[#This Row],[24]],#REF!,2,0)</f>
        <v>#REF!</v>
      </c>
      <c r="Z17" s="26" t="str">
        <f>IFERROR(Шаблон_Формулы[[#This Row],[23]]*Шаблон_Формулы[[#This Row],[25]],"")</f>
        <v/>
      </c>
      <c r="AA17" s="13" t="e" cm="1">
        <f t="array" ref="AA17">#REF!</f>
        <v>#REF!</v>
      </c>
    </row>
    <row r="18" spans="1:27" s="8" customFormat="1" ht="12">
      <c r="A18" s="11">
        <v>14</v>
      </c>
      <c r="B18" s="8" t="str" cm="1">
        <f t="array" ref="B18">_xlfn.XLOOKUP($A18,ACT[[№]:[№]],ACT[Container No/
№ Контейнера],"",0,1)</f>
        <v>DFSU6235562</v>
      </c>
      <c r="C18" s="8" t="str">
        <f t="shared" si="0"/>
        <v>UzAutoKorea</v>
      </c>
      <c r="D18" s="11" t="str" cm="1">
        <f t="array" ref="D18">_xlfn.XLOOKUP($A18,ACT[[№]:[№]],ACT[Container Type/ 
Тип контейнера],"",0,1)</f>
        <v>40'HC</v>
      </c>
      <c r="E18" s="21" cm="1">
        <f t="array" ref="E18">_xlfn.XLOOKUP($A18,ACT[[№]:[№]],ACT[Date of Dispatch/ 
Дата отгрузки],"",0,1)</f>
        <v>44965</v>
      </c>
      <c r="F18" s="22" t="str" cm="1">
        <f t="array" ref="F18">_xlfn.XLOOKUP($A18,ACT[[№]:[№]],ACT[Supplier/ Поставщик],"",0,1)</f>
        <v>Daewon Chemical by CREA</v>
      </c>
      <c r="G18" s="22" t="str" cm="1">
        <f t="array" ref="G18">_xlfn.XLOOKUP($A18,ACT[[№]:[№]],ACT[Supplier Invoice No/                          № Инвойса Поставщика],"",0,1)</f>
        <v>230112UZP</v>
      </c>
      <c r="H18" s="23" cm="1">
        <f t="array" ref="H18">_xlfn.XLOOKUP($A18,ACT[[№]:[№]],ACT[CBM],"",0,1)</f>
        <v>16.64</v>
      </c>
      <c r="I18" s="23" cm="1">
        <f t="array" ref="I18">_xlfn.XLOOKUP($A18,ACT[[№]:[№]],ACT[Gross weight, kg/ Вес брутто, кг],"",0,1)</f>
        <v>2026.88</v>
      </c>
      <c r="J18" s="23" t="str" cm="1">
        <f t="array" ref="J18">_xlfn.XLOOKUP($A18,ACT[[№]:[№]],ACT[Delivery terms / Условия поставки],"",0,1)</f>
        <v>FCA</v>
      </c>
      <c r="K18" s="23" cm="1">
        <f t="array" ref="K18">_xlfn.XLOOKUP($A18,ACT[[№]:[№]],ACT[Container total CBM],"",0,1)</f>
        <v>52.676000000000002</v>
      </c>
      <c r="L18" s="24" cm="1">
        <f t="array" ref="L18">_xlfn.XLOOKUP($A18,ACT[[№]:[№]],ACT[FTL inland freight cost per Invoice Appendix/ Стоимость внутренней наземной перевозки за инвойс Приложение                     KRW],"",0,1)</f>
        <v>640000</v>
      </c>
      <c r="M18" s="24" cm="1">
        <f t="array" ref="M18">_xlfn.XLOOKUP($A18,ACT[[№]:[№]],ACT[Consolidation Work, Loading, Unloading/ Работы по консолидации, Погрузка, Разгрузка (Rate/Тариф - 8000 per CBM)                   KRW],"",0,1)</f>
        <v>141273.60000000001</v>
      </c>
      <c r="N18" s="24" cm="1">
        <f t="array" ref="N18">_xlfn.XLOOKUP($A18,ACT[[№]:[№]],ACT[Shoring, Banding, Sealing, Handling/ Крепление, Перевязка, Опечатование, Обработка
KRW],"",0,1)</f>
        <v>61220.138203356371</v>
      </c>
      <c r="O18" s="24" cm="1">
        <f t="array" ref="O18">_xlfn.XLOOKUP($A18,ACT[[№]:[№]],ACT[Documents Work/ Сбор за подготовку документов
KRW],"",0,1)</f>
        <v>15794.669299111549</v>
      </c>
      <c r="P18" s="24" cm="1">
        <f t="array" ref="P18">_xlfn.XLOOKUP($A18,ACT[[№]:[№]],ACT[THC/ Терминальная обработка
KRW],"",0,1)</f>
        <v>58566.633761105622</v>
      </c>
      <c r="Q18" s="24" cm="1">
        <f t="array" ref="Q18">_xlfn.XLOOKUP($A18,ACT[[№]:[№]],ACT[Wharfage/ Портовая пошлина
KRW],"",0,1)</f>
        <v>2874.629812438302</v>
      </c>
      <c r="R18" s="24" cm="1">
        <f t="array" ref="R18">_xlfn.XLOOKUP($A18,ACT[[№]:[№]],ACT[TRUCKING CHARGE],"",0,1)</f>
        <v>0</v>
      </c>
      <c r="S18" s="24" cm="1">
        <f t="array" ref="S18">_xlfn.XLOOKUP($A18,ACT[[№]:[№]],ACT[FCL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88608.094768015799</v>
      </c>
      <c r="T18" s="24" cm="1">
        <f t="array" ref="T18">_xlfn.XLOOKUP($A18,ACT[[№]:[№]],ACT[Special Wooden Shoring / Специальное деревянное крепление],"",0,1)</f>
        <v>0</v>
      </c>
      <c r="U18" s="9"/>
      <c r="V18" s="24" cm="1">
        <f t="array" ref="V18">_xlfn.XLOOKUP($A18,ACT[[№]:[№]],ACT[Total amount/ Общая стоимость KRW (10+11+12+13+14+15+16)],"",0,1)</f>
        <v>1008337.7658440276</v>
      </c>
      <c r="W18" s="24" cm="1">
        <f t="array" ref="W18">_xlfn.XLOOKUP($A18,ACT[[№]:[№]],ACT[Total amount/ Общая стоимость (17*exchange rate/ обменный курс)
 USD],"",0,1)</f>
        <v>793.5</v>
      </c>
      <c r="X18" s="9" t="e" cm="1">
        <f t="array" ref="X18">IF(#REF!="",_xlfn.XLOOKUP("МАКС",#REF!,#REF!,,0,1),#REF!)</f>
        <v>#REF!</v>
      </c>
      <c r="Y18" s="12" t="e">
        <f>VLOOKUP(Шаблон_Формулы[[#This Row],[24]],#REF!,2,0)</f>
        <v>#REF!</v>
      </c>
      <c r="Z18" s="26" t="str">
        <f>IFERROR(Шаблон_Формулы[[#This Row],[23]]*Шаблон_Формулы[[#This Row],[25]],"")</f>
        <v/>
      </c>
      <c r="AA18" s="13" t="e" cm="1">
        <f t="array" ref="AA18">#REF!</f>
        <v>#REF!</v>
      </c>
    </row>
    <row r="19" spans="1:27" s="8" customFormat="1" ht="12">
      <c r="A19" s="11">
        <v>15</v>
      </c>
      <c r="B19" s="8" t="str" cm="1">
        <f t="array" ref="B19">_xlfn.XLOOKUP($A19,ACT[[№]:[№]],ACT[Container No/
№ Контейнера],"",0,1)</f>
        <v>DFSU6235562</v>
      </c>
      <c r="C19" s="8" t="str">
        <f t="shared" si="0"/>
        <v>UzAutoKorea</v>
      </c>
      <c r="D19" s="11" t="str" cm="1">
        <f t="array" ref="D19">_xlfn.XLOOKUP($A19,ACT[[№]:[№]],ACT[Container Type/ 
Тип контейнера],"",0,1)</f>
        <v>40'HC</v>
      </c>
      <c r="E19" s="21" cm="1">
        <f t="array" ref="E19">_xlfn.XLOOKUP($A19,ACT[[№]:[№]],ACT[Date of Dispatch/ 
Дата отгрузки],"",0,1)</f>
        <v>44965</v>
      </c>
      <c r="F19" s="22" t="str" cm="1">
        <f t="array" ref="F19">_xlfn.XLOOKUP($A19,ACT[[№]:[№]],ACT[Supplier/ Поставщик],"",0,1)</f>
        <v>Hwaseung R&amp;A</v>
      </c>
      <c r="G19" s="22" t="str" cm="1">
        <f t="array" ref="G19">_xlfn.XLOOKUP($A19,ACT[[№]:[№]],ACT[Supplier Invoice No/                          № Инвойса Поставщика],"",0,1)</f>
        <v>J23011213</v>
      </c>
      <c r="H19" s="23" cm="1">
        <f t="array" ref="H19">_xlfn.XLOOKUP($A19,ACT[[№]:[№]],ACT[CBM],"",0,1)</f>
        <v>4.9000000000000004</v>
      </c>
      <c r="I19" s="23" cm="1">
        <f t="array" ref="I19">_xlfn.XLOOKUP($A19,ACT[[№]:[№]],ACT[Gross weight, kg/ Вес брутто, кг],"",0,1)</f>
        <v>1315</v>
      </c>
      <c r="J19" s="23" t="str" cm="1">
        <f t="array" ref="J19">_xlfn.XLOOKUP($A19,ACT[[№]:[№]],ACT[Delivery terms / Условия поставки],"",0,1)</f>
        <v>FCA</v>
      </c>
      <c r="K19" s="23" cm="1">
        <f t="array" ref="K19">_xlfn.XLOOKUP($A19,ACT[[№]:[№]],ACT[Container total CBM],"",0,1)</f>
        <v>52.676000000000002</v>
      </c>
      <c r="L19" s="24" cm="1">
        <f t="array" ref="L19">_xlfn.XLOOKUP($A19,ACT[[№]:[№]],ACT[FTL inland freight cost per Invoice Appendix/ Стоимость внутренней наземной перевозки за инвойс Приложение                     KRW],"",0,1)</f>
        <v>147000</v>
      </c>
      <c r="M19" s="24" cm="1">
        <f t="array" ref="M19">_xlfn.XLOOKUP($A19,ACT[[№]:[№]],ACT[Consolidation Work, Loading, Unloading/ Работы по консолидации, Погрузка, Разгрузка (Rate/Тариф - 8000 per CBM)                   KRW],"",0,1)</f>
        <v>41601</v>
      </c>
      <c r="N19" s="24" cm="1">
        <f t="array" ref="N19">_xlfn.XLOOKUP($A19,ACT[[№]:[№]],ACT[Shoring, Banding, Sealing, Handling/ Крепление, Перевязка, Опечатование, Обработка
KRW],"",0,1)</f>
        <v>18027.56473536335</v>
      </c>
      <c r="O19" s="24" cm="1">
        <f t="array" ref="O19">_xlfn.XLOOKUP($A19,ACT[[№]:[№]],ACT[Documents Work/ Сбор за подготовку документов
KRW],"",0,1)</f>
        <v>4651.0744931278005</v>
      </c>
      <c r="P19" s="24" cm="1">
        <f t="array" ref="P19">_xlfn.XLOOKUP($A19,ACT[[№]:[№]],ACT[THC/ Терминальная обработка
KRW],"",0,1)</f>
        <v>17246.184220517884</v>
      </c>
      <c r="Q19" s="24" cm="1">
        <f t="array" ref="Q19">_xlfn.XLOOKUP($A19,ACT[[№]:[№]],ACT[Wharfage/ Портовая пошлина
KRW],"",0,1)</f>
        <v>846.49555774925966</v>
      </c>
      <c r="R19" s="24" cm="1">
        <f t="array" ref="R19">_xlfn.XLOOKUP($A19,ACT[[№]:[№]],ACT[TRUCKING CHARGE],"",0,1)</f>
        <v>0</v>
      </c>
      <c r="S19" s="24" cm="1">
        <f t="array" ref="S19">_xlfn.XLOOKUP($A19,ACT[[№]:[№]],ACT[FCL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26092.527906446961</v>
      </c>
      <c r="T19" s="24" cm="1">
        <f t="array" ref="T19">_xlfn.XLOOKUP($A19,ACT[[№]:[№]],ACT[Special Wooden Shoring / Специальное деревянное крепление],"",0,1)</f>
        <v>0</v>
      </c>
      <c r="U19" s="9"/>
      <c r="V19" s="24" cm="1">
        <f t="array" ref="V19">_xlfn.XLOOKUP($A19,ACT[[№]:[№]],ACT[Total amount/ Общая стоимость KRW (10+11+12+13+14+15+16)],"",0,1)</f>
        <v>255464.84691320529</v>
      </c>
      <c r="W19" s="24" cm="1">
        <f t="array" ref="W19">_xlfn.XLOOKUP($A19,ACT[[№]:[№]],ACT[Total amount/ Общая стоимость (17*exchange rate/ обменный курс)
 USD],"",0,1)</f>
        <v>201.04</v>
      </c>
      <c r="X19" s="9" t="e" cm="1">
        <f t="array" ref="X19">IF(#REF!="",_xlfn.XLOOKUP("МАКС",#REF!,#REF!,,0,1),#REF!)</f>
        <v>#REF!</v>
      </c>
      <c r="Y19" s="12" t="e">
        <f>VLOOKUP(Шаблон_Формулы[[#This Row],[24]],#REF!,2,0)</f>
        <v>#REF!</v>
      </c>
      <c r="Z19" s="26" t="str">
        <f>IFERROR(Шаблон_Формулы[[#This Row],[23]]*Шаблон_Формулы[[#This Row],[25]],"")</f>
        <v/>
      </c>
      <c r="AA19" s="13" t="e" cm="1">
        <f t="array" ref="AA19">#REF!</f>
        <v>#REF!</v>
      </c>
    </row>
    <row r="20" spans="1:27" s="8" customFormat="1" ht="12">
      <c r="A20" s="11">
        <v>16</v>
      </c>
      <c r="B20" s="8" t="str" cm="1">
        <f t="array" ref="B20">_xlfn.XLOOKUP($A20,ACT[[№]:[№]],ACT[Container No/
№ Контейнера],"",0,1)</f>
        <v>DFSU6235562</v>
      </c>
      <c r="C20" s="8" t="str">
        <f t="shared" si="0"/>
        <v>UzAutoKorea</v>
      </c>
      <c r="D20" s="11" t="str" cm="1">
        <f t="array" ref="D20">_xlfn.XLOOKUP($A20,ACT[[№]:[№]],ACT[Container Type/ 
Тип контейнера],"",0,1)</f>
        <v>40'HC</v>
      </c>
      <c r="E20" s="21" cm="1">
        <f t="array" ref="E20">_xlfn.XLOOKUP($A20,ACT[[№]:[№]],ACT[Date of Dispatch/ 
Дата отгрузки],"",0,1)</f>
        <v>44965</v>
      </c>
      <c r="F20" s="22" t="str" cm="1">
        <f t="array" ref="F20">_xlfn.XLOOKUP($A20,ACT[[№]:[№]],ACT[Supplier/ Поставщик],"",0,1)</f>
        <v>Hwaseung R&amp;A</v>
      </c>
      <c r="G20" s="22" t="str" cm="1">
        <f t="array" ref="G20">_xlfn.XLOOKUP($A20,ACT[[№]:[№]],ACT[Supplier Invoice No/                          № Инвойса Поставщика],"",0,1)</f>
        <v>J23011214</v>
      </c>
      <c r="H20" s="23" cm="1">
        <f t="array" ref="H20">_xlfn.XLOOKUP($A20,ACT[[№]:[№]],ACT[CBM],"",0,1)</f>
        <v>7.2</v>
      </c>
      <c r="I20" s="23" cm="1">
        <f t="array" ref="I20">_xlfn.XLOOKUP($A20,ACT[[№]:[№]],ACT[Gross weight, kg/ Вес брутто, кг],"",0,1)</f>
        <v>672</v>
      </c>
      <c r="J20" s="23" t="str" cm="1">
        <f t="array" ref="J20">_xlfn.XLOOKUP($A20,ACT[[№]:[№]],ACT[Delivery terms / Условия поставки],"",0,1)</f>
        <v>FCA</v>
      </c>
      <c r="K20" s="23" cm="1">
        <f t="array" ref="K20">_xlfn.XLOOKUP($A20,ACT[[№]:[№]],ACT[Container total CBM],"",0,1)</f>
        <v>52.676000000000002</v>
      </c>
      <c r="L20" s="24" cm="1">
        <f t="array" ref="L20">_xlfn.XLOOKUP($A20,ACT[[№]:[№]],ACT[FTL inland freight cost per Invoice Appendix/ Стоимость внутренней наземной перевозки за инвойс Приложение                     KRW],"",0,1)</f>
        <v>232000</v>
      </c>
      <c r="M20" s="24" cm="1">
        <f t="array" ref="M20">_xlfn.XLOOKUP($A20,ACT[[№]:[№]],ACT[Consolidation Work, Loading, Unloading/ Работы по консолидации, Погрузка, Разгрузка (Rate/Тариф - 8000 per CBM)                   KRW],"",0,1)</f>
        <v>61128</v>
      </c>
      <c r="N20" s="24" cm="1">
        <f t="array" ref="N20">_xlfn.XLOOKUP($A20,ACT[[№]:[№]],ACT[Shoring, Banding, Sealing, Handling/ Крепление, Перевязка, Опечатование, Обработка
KRW],"",0,1)</f>
        <v>26489.482876452275</v>
      </c>
      <c r="O20" s="24" cm="1">
        <f t="array" ref="O20">_xlfn.XLOOKUP($A20,ACT[[№]:[№]],ACT[Documents Work/ Сбор за подготовку документов
KRW],"",0,1)</f>
        <v>6834.2319082694212</v>
      </c>
      <c r="P20" s="24" cm="1">
        <f t="array" ref="P20">_xlfn.XLOOKUP($A20,ACT[[№]:[№]],ACT[THC/ Терминальная обработка
KRW],"",0,1)</f>
        <v>25341.331915863015</v>
      </c>
      <c r="Q20" s="24" cm="1">
        <f t="array" ref="Q20">_xlfn.XLOOKUP($A20,ACT[[№]:[№]],ACT[Wharfage/ Портовая пошлина
KRW],"",0,1)</f>
        <v>1243.8302073050347</v>
      </c>
      <c r="R20" s="24" cm="1">
        <f t="array" ref="R20">_xlfn.XLOOKUP($A20,ACT[[№]:[№]],ACT[TRUCKING CHARGE],"",0,1)</f>
        <v>0</v>
      </c>
      <c r="S20" s="24" cm="1">
        <f t="array" ref="S20">_xlfn.XLOOKUP($A20,ACT[[№]:[№]],ACT[FCL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38340.041005391453</v>
      </c>
      <c r="T20" s="24" cm="1">
        <f t="array" ref="T20">_xlfn.XLOOKUP($A20,ACT[[№]:[№]],ACT[Special Wooden Shoring / Специальное деревянное крепление],"",0,1)</f>
        <v>0</v>
      </c>
      <c r="U20" s="9"/>
      <c r="V20" s="24" cm="1">
        <f t="array" ref="V20">_xlfn.XLOOKUP($A20,ACT[[№]:[№]],ACT[Total amount/ Общая стоимость KRW (10+11+12+13+14+15+16)],"",0,1)</f>
        <v>391376.91791328118</v>
      </c>
      <c r="W20" s="24" cm="1">
        <f t="array" ref="W20">_xlfn.XLOOKUP($A20,ACT[[№]:[№]],ACT[Total amount/ Общая стоимость (17*exchange rate/ обменный курс)
 USD],"",0,1)</f>
        <v>307.99</v>
      </c>
      <c r="X20" s="9" t="e" cm="1">
        <f t="array" ref="X20">IF(#REF!="",_xlfn.XLOOKUP("МАКС",#REF!,#REF!,,0,1),#REF!)</f>
        <v>#REF!</v>
      </c>
      <c r="Y20" s="12" t="e">
        <f>VLOOKUP(Шаблон_Формулы[[#This Row],[24]],#REF!,2,0)</f>
        <v>#REF!</v>
      </c>
      <c r="Z20" s="26" t="str">
        <f>IFERROR(Шаблон_Формулы[[#This Row],[23]]*Шаблон_Формулы[[#This Row],[25]],"")</f>
        <v/>
      </c>
      <c r="AA20" s="13" t="e" cm="1">
        <f t="array" ref="AA20">#REF!</f>
        <v>#REF!</v>
      </c>
    </row>
    <row r="21" spans="1:27" s="8" customFormat="1" ht="12">
      <c r="A21" s="11">
        <v>17</v>
      </c>
      <c r="B21" s="8" t="str" cm="1">
        <f t="array" ref="B21">_xlfn.XLOOKUP($A21,ACT[[№]:[№]],ACT[Container No/
№ Контейнера],"",0,1)</f>
        <v>TGHU6814001</v>
      </c>
      <c r="C21" s="8" t="str">
        <f t="shared" si="0"/>
        <v>UzAutoKorea</v>
      </c>
      <c r="D21" s="11" t="str" cm="1">
        <f t="array" ref="D21">_xlfn.XLOOKUP($A21,ACT[[№]:[№]],ACT[Container Type/ 
Тип контейнера],"",0,1)</f>
        <v>40'HC</v>
      </c>
      <c r="E21" s="21" cm="1">
        <f t="array" ref="E21">_xlfn.XLOOKUP($A21,ACT[[№]:[№]],ACT[Date of Dispatch/ 
Дата отгрузки],"",0,1)</f>
        <v>44965</v>
      </c>
      <c r="F21" s="22" t="str" cm="1">
        <f t="array" ref="F21">_xlfn.XLOOKUP($A21,ACT[[№]:[№]],ACT[Supplier/ Поставщик],"",0,1)</f>
        <v>Hanyang Precision</v>
      </c>
      <c r="G21" s="22" t="str" cm="1">
        <f t="array" ref="G21">_xlfn.XLOOKUP($A21,ACT[[№]:[№]],ACT[Supplier Invoice No/                          № Инвойса Поставщика],"",0,1)</f>
        <v>HY230109U(10)</v>
      </c>
      <c r="H21" s="23" cm="1">
        <f t="array" ref="H21">_xlfn.XLOOKUP($A21,ACT[[№]:[№]],ACT[CBM],"",0,1)</f>
        <v>23.936</v>
      </c>
      <c r="I21" s="23" cm="1">
        <f t="array" ref="I21">_xlfn.XLOOKUP($A21,ACT[[№]:[№]],ACT[Gross weight, kg/ Вес брутто, кг],"",0,1)</f>
        <v>18484</v>
      </c>
      <c r="J21" s="23" t="str" cm="1">
        <f t="array" ref="J21">_xlfn.XLOOKUP($A21,ACT[[№]:[№]],ACT[Delivery terms / Условия поставки],"",0,1)</f>
        <v>FCA</v>
      </c>
      <c r="K21" s="23" cm="1">
        <f t="array" ref="K21">_xlfn.XLOOKUP($A21,ACT[[№]:[№]],ACT[Container total CBM],"",0,1)</f>
        <v>47.129000000000005</v>
      </c>
      <c r="L21" s="24" cm="1">
        <f t="array" ref="L21">_xlfn.XLOOKUP($A21,ACT[[№]:[№]],ACT[FTL inland freight cost per Invoice Appendix/ Стоимость внутренней наземной перевозки за инвойс Приложение                     KRW],"",0,1)</f>
        <v>1450500</v>
      </c>
      <c r="M21" s="24" cm="1">
        <f t="array" ref="M21">_xlfn.XLOOKUP($A21,ACT[[№]:[№]],ACT[Consolidation Work, Loading, Unloading/ Работы по консолидации, Погрузка, Разгрузка (Rate/Тариф - 8000 per CBM)                   KRW],"",0,1)</f>
        <v>203216.64000000001</v>
      </c>
      <c r="N21" s="24" cm="1">
        <f t="array" ref="N21">_xlfn.XLOOKUP($A21,ACT[[№]:[№]],ACT[Shoring, Banding, Sealing, Handling/ Крепление, Перевязка, Опечатование, Обработка
KRW],"",0,1)</f>
        <v>98427.651764306458</v>
      </c>
      <c r="O21" s="24" cm="1">
        <f t="array" ref="O21">_xlfn.XLOOKUP($A21,ACT[[№]:[№]],ACT[Documents Work/ Сбор за подготовку документов
KRW],"",0,1)</f>
        <v>25394.131002143051</v>
      </c>
      <c r="P21" s="24" cm="1">
        <f t="array" ref="P21">_xlfn.XLOOKUP($A21,ACT[[№]:[№]],ACT[THC/ Терминальная обработка
KRW],"",0,1)</f>
        <v>94161.437755946434</v>
      </c>
      <c r="Q21" s="24" cm="1">
        <f t="array" ref="Q21">_xlfn.XLOOKUP($A21,ACT[[№]:[№]],ACT[Wharfage/ Портовая пошлина
KRW],"",0,1)</f>
        <v>4621.7318423900351</v>
      </c>
      <c r="R21" s="24" cm="1">
        <f t="array" ref="R21">_xlfn.XLOOKUP($A21,ACT[[№]:[№]],ACT[TRUCKING CHARGE],"",0,1)</f>
        <v>0</v>
      </c>
      <c r="S21" s="24" cm="1">
        <f t="array" ref="S21">_xlfn.XLOOKUP($A21,ACT[[№]:[№]],ACT[FCL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142461.0749220225</v>
      </c>
      <c r="T21" s="24" cm="1">
        <f t="array" ref="T21">_xlfn.XLOOKUP($A21,ACT[[№]:[№]],ACT[Special Wooden Shoring / Специальное деревянное крепление],"",0,1)</f>
        <v>0</v>
      </c>
      <c r="U21" s="9"/>
      <c r="V21" s="24" cm="1">
        <f t="array" ref="V21">_xlfn.XLOOKUP($A21,ACT[[№]:[№]],ACT[Total amount/ Общая стоимость KRW (10+11+12+13+14+15+16)],"",0,1)</f>
        <v>2018782.6672868088</v>
      </c>
      <c r="W21" s="24" cm="1">
        <f t="array" ref="W21">_xlfn.XLOOKUP($A21,ACT[[№]:[№]],ACT[Total amount/ Общая стоимость (17*exchange rate/ обменный курс)
 USD],"",0,1)</f>
        <v>1588.67</v>
      </c>
      <c r="X21" s="9" t="e" cm="1">
        <f t="array" ref="X21">IF(#REF!="",_xlfn.XLOOKUP("МАКС",#REF!,#REF!,,0,1),#REF!)</f>
        <v>#REF!</v>
      </c>
      <c r="Y21" s="12" t="e">
        <f>VLOOKUP(Шаблон_Формулы[[#This Row],[24]],#REF!,2,0)</f>
        <v>#REF!</v>
      </c>
      <c r="Z21" s="26" t="str">
        <f>IFERROR(Шаблон_Формулы[[#This Row],[23]]*Шаблон_Формулы[[#This Row],[25]],"")</f>
        <v/>
      </c>
      <c r="AA21" s="13" t="e" cm="1">
        <f t="array" ref="AA21">#REF!</f>
        <v>#REF!</v>
      </c>
    </row>
    <row r="22" spans="1:27" s="8" customFormat="1" ht="12">
      <c r="A22" s="11">
        <v>18</v>
      </c>
      <c r="B22" s="8" t="str" cm="1">
        <f t="array" ref="B22">_xlfn.XLOOKUP($A22,ACT[[№]:[№]],ACT[Container No/
№ Контейнера],"",0,1)</f>
        <v>TGHU6814001</v>
      </c>
      <c r="C22" s="8" t="str">
        <f t="shared" si="0"/>
        <v>UzAutoKorea</v>
      </c>
      <c r="D22" s="11" t="str" cm="1">
        <f t="array" ref="D22">_xlfn.XLOOKUP($A22,ACT[[№]:[№]],ACT[Container Type/ 
Тип контейнера],"",0,1)</f>
        <v>40'HC</v>
      </c>
      <c r="E22" s="21" cm="1">
        <f t="array" ref="E22">_xlfn.XLOOKUP($A22,ACT[[№]:[№]],ACT[Date of Dispatch/ 
Дата отгрузки],"",0,1)</f>
        <v>44965</v>
      </c>
      <c r="F22" s="22" t="str" cm="1">
        <f t="array" ref="F22">_xlfn.XLOOKUP($A22,ACT[[№]:[№]],ACT[Supplier/ Поставщик],"",0,1)</f>
        <v>Humax Automotive</v>
      </c>
      <c r="G22" s="22" t="str" cm="1">
        <f t="array" ref="G22">_xlfn.XLOOKUP($A22,ACT[[№]:[№]],ACT[Supplier Invoice No/                          № Инвойса Поставщика],"",0,1)</f>
        <v>IN80472369</v>
      </c>
      <c r="H22" s="23" cm="1">
        <f t="array" ref="H22">_xlfn.XLOOKUP($A22,ACT[[№]:[№]],ACT[CBM],"",0,1)</f>
        <v>20.21</v>
      </c>
      <c r="I22" s="23" cm="1">
        <f t="array" ref="I22">_xlfn.XLOOKUP($A22,ACT[[№]:[№]],ACT[Gross weight, kg/ Вес брутто, кг],"",0,1)</f>
        <v>2669.28</v>
      </c>
      <c r="J22" s="23" t="str" cm="1">
        <f t="array" ref="J22">_xlfn.XLOOKUP($A22,ACT[[№]:[№]],ACT[Delivery terms / Условия поставки],"",0,1)</f>
        <v>FCA</v>
      </c>
      <c r="K22" s="23" cm="1">
        <f t="array" ref="K22">_xlfn.XLOOKUP($A22,ACT[[№]:[№]],ACT[Container total CBM],"",0,1)</f>
        <v>47.129000000000005</v>
      </c>
      <c r="L22" s="24" cm="1">
        <f t="array" ref="L22">_xlfn.XLOOKUP($A22,ACT[[№]:[№]],ACT[FTL inland freight cost per Invoice Appendix/ Стоимость внутренней наземной перевозки за инвойс Приложение                     KRW],"",0,1)</f>
        <v>532000</v>
      </c>
      <c r="M22" s="24" cm="1">
        <f t="array" ref="M22">_xlfn.XLOOKUP($A22,ACT[[№]:[№]],ACT[Consolidation Work, Loading, Unloading/ Работы по консолидации, Погрузка, Разгрузка (Rate/Тариф - 8000 per CBM)                   KRW],"",0,1)</f>
        <v>171582.9</v>
      </c>
      <c r="N22" s="24" cm="1">
        <f t="array" ref="N22">_xlfn.XLOOKUP($A22,ACT[[№]:[№]],ACT[Shoring, Banding, Sealing, Handling/ Крепление, Перевязка, Опечатование, Обработка
KRW],"",0,1)</f>
        <v>83105.900825394128</v>
      </c>
      <c r="O22" s="24" cm="1">
        <f t="array" ref="O22">_xlfn.XLOOKUP($A22,ACT[[№]:[№]],ACT[Documents Work/ Сбор за подготовку документов
KRW],"",0,1)</f>
        <v>21441.150883744613</v>
      </c>
      <c r="P22" s="24" cm="1">
        <f t="array" ref="P22">_xlfn.XLOOKUP($A22,ACT[[№]:[№]],ACT[THC/ Терминальная обработка
KRW],"",0,1)</f>
        <v>79503.787476925034</v>
      </c>
      <c r="Q22" s="24" cm="1">
        <f t="array" ref="Q22">_xlfn.XLOOKUP($A22,ACT[[№]:[№]],ACT[Wharfage/ Портовая пошлина
KRW],"",0,1)</f>
        <v>3902.2894608415199</v>
      </c>
      <c r="R22" s="24" cm="1">
        <f t="array" ref="R22">_xlfn.XLOOKUP($A22,ACT[[№]:[№]],ACT[TRUCKING CHARGE],"",0,1)</f>
        <v>0</v>
      </c>
      <c r="S22" s="24" cm="1">
        <f t="array" ref="S22">_xlfn.XLOOKUP($A22,ACT[[№]:[№]],ACT[FCL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120284.85645780728</v>
      </c>
      <c r="T22" s="24" cm="1">
        <f t="array" ref="T22">_xlfn.XLOOKUP($A22,ACT[[№]:[№]],ACT[Special Wooden Shoring / Специальное деревянное крепление],"",0,1)</f>
        <v>0</v>
      </c>
      <c r="U22" s="9"/>
      <c r="V22" s="24" cm="1">
        <f t="array" ref="V22">_xlfn.XLOOKUP($A22,ACT[[№]:[№]],ACT[Total amount/ Общая стоимость KRW (10+11+12+13+14+15+16)],"",0,1)</f>
        <v>1011820.8851047126</v>
      </c>
      <c r="W22" s="24" cm="1">
        <f t="array" ref="W22">_xlfn.XLOOKUP($A22,ACT[[№]:[№]],ACT[Total amount/ Общая стоимость (17*exchange rate/ обменный курс)
 USD],"",0,1)</f>
        <v>796.25</v>
      </c>
      <c r="X22" s="9" t="e" cm="1">
        <f t="array" ref="X22">IF(#REF!="",_xlfn.XLOOKUP("МАКС",#REF!,#REF!,,0,1),#REF!)</f>
        <v>#REF!</v>
      </c>
      <c r="Y22" s="12" t="e">
        <f>VLOOKUP(Шаблон_Формулы[[#This Row],[24]],#REF!,2,0)</f>
        <v>#REF!</v>
      </c>
      <c r="Z22" s="26" t="str">
        <f>IFERROR(Шаблон_Формулы[[#This Row],[23]]*Шаблон_Формулы[[#This Row],[25]],"")</f>
        <v/>
      </c>
      <c r="AA22" s="13" t="e" cm="1">
        <f t="array" ref="AA22">#REF!</f>
        <v>#REF!</v>
      </c>
    </row>
    <row r="23" spans="1:27" s="8" customFormat="1" ht="12">
      <c r="A23" s="11">
        <v>19</v>
      </c>
      <c r="B23" s="8" t="str" cm="1">
        <f t="array" ref="B23">_xlfn.XLOOKUP($A23,ACT[[№]:[№]],ACT[Container No/
№ Контейнера],"",0,1)</f>
        <v>TGHU6814001</v>
      </c>
      <c r="C23" s="8" t="str">
        <f t="shared" si="0"/>
        <v>UzAutoKorea</v>
      </c>
      <c r="D23" s="11" t="str" cm="1">
        <f t="array" ref="D23">_xlfn.XLOOKUP($A23,ACT[[№]:[№]],ACT[Container Type/ 
Тип контейнера],"",0,1)</f>
        <v>40'HC</v>
      </c>
      <c r="E23" s="21" cm="1">
        <f t="array" ref="E23">_xlfn.XLOOKUP($A23,ACT[[№]:[№]],ACT[Date of Dispatch/ 
Дата отгрузки],"",0,1)</f>
        <v>44965</v>
      </c>
      <c r="F23" s="22" t="str" cm="1">
        <f t="array" ref="F23">_xlfn.XLOOKUP($A23,ACT[[№]:[№]],ACT[Supplier/ Поставщик],"",0,1)</f>
        <v>Samshin for UzKoram</v>
      </c>
      <c r="G23" s="22" t="str" cm="1">
        <f t="array" ref="G23">_xlfn.XLOOKUP($A23,ACT[[№]:[№]],ACT[Supplier Invoice No/                          № Инвойса Поставщика],"",0,1)</f>
        <v>SUZ-2023-0105-2</v>
      </c>
      <c r="H23" s="23" cm="1">
        <f t="array" ref="H23">_xlfn.XLOOKUP($A23,ACT[[№]:[№]],ACT[CBM],"",0,1)</f>
        <v>2.5270000000000001</v>
      </c>
      <c r="I23" s="23" cm="1">
        <f t="array" ref="I23">_xlfn.XLOOKUP($A23,ACT[[№]:[№]],ACT[Gross weight, kg/ Вес брутто, кг],"",0,1)</f>
        <v>250</v>
      </c>
      <c r="J23" s="23" t="str" cm="1">
        <f t="array" ref="J23">_xlfn.XLOOKUP($A23,ACT[[№]:[№]],ACT[Delivery terms / Условия поставки],"",0,1)</f>
        <v>FCA</v>
      </c>
      <c r="K23" s="23" cm="1">
        <f t="array" ref="K23">_xlfn.XLOOKUP($A23,ACT[[№]:[№]],ACT[Container total CBM],"",0,1)</f>
        <v>47.129000000000005</v>
      </c>
      <c r="L23" s="24" cm="1">
        <f t="array" ref="L23">_xlfn.XLOOKUP($A23,ACT[[№]:[№]],ACT[FTL inland freight cost per Invoice Appendix/ Стоимость внутренней наземной перевозки за инвойс Приложение                     KRW],"",0,1)</f>
        <v>288000</v>
      </c>
      <c r="M23" s="24" cm="1">
        <f t="array" ref="M23">_xlfn.XLOOKUP($A23,ACT[[№]:[№]],ACT[Consolidation Work, Loading, Unloading/ Работы по консолидации, Погрузка, Разгрузка (Rate/Тариф - 8000 per CBM)                   KRW],"",0,1)</f>
        <v>21454.23</v>
      </c>
      <c r="N23" s="24" cm="1">
        <f t="array" ref="N23">_xlfn.XLOOKUP($A23,ACT[[№]:[№]],ACT[Shoring, Banding, Sealing, Handling/ Крепление, Перевязка, Опечатование, Обработка
KRW],"",0,1)</f>
        <v>10391.321691527508</v>
      </c>
      <c r="O23" s="24" cm="1">
        <f t="array" ref="O23">_xlfn.XLOOKUP($A23,ACT[[№]:[№]],ACT[Documents Work/ Сбор за подготовку документов
KRW],"",0,1)</f>
        <v>2680.9395488977061</v>
      </c>
      <c r="P23" s="24" cm="1">
        <f t="array" ref="P23">_xlfn.XLOOKUP($A23,ACT[[№]:[№]],ACT[THC/ Терминальная обработка
KRW],"",0,1)</f>
        <v>9940.9238473126934</v>
      </c>
      <c r="Q23" s="24" cm="1">
        <f t="array" ref="Q23">_xlfn.XLOOKUP($A23,ACT[[№]:[№]],ACT[Wharfage/ Портовая пошлина
KRW],"",0,1)</f>
        <v>487.93099789938248</v>
      </c>
      <c r="R23" s="24" cm="1">
        <f t="array" ref="R23">_xlfn.XLOOKUP($A23,ACT[[№]:[№]],ACT[TRUCKING CHARGE],"",0,1)</f>
        <v>0</v>
      </c>
      <c r="S23" s="24" cm="1">
        <f t="array" ref="S23">_xlfn.XLOOKUP($A23,ACT[[№]:[№]],ACT[FCL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15040.07086931613</v>
      </c>
      <c r="T23" s="24" cm="1">
        <f t="array" ref="T23">_xlfn.XLOOKUP($A23,ACT[[№]:[№]],ACT[Special Wooden Shoring / Специальное деревянное крепление],"",0,1)</f>
        <v>0</v>
      </c>
      <c r="U23" s="9"/>
      <c r="V23" s="24" cm="1">
        <f t="array" ref="V23">_xlfn.XLOOKUP($A23,ACT[[№]:[№]],ACT[Total amount/ Общая стоимость KRW (10+11+12+13+14+15+16)],"",0,1)</f>
        <v>347995.4169549534</v>
      </c>
      <c r="W23" s="24" cm="1">
        <f t="array" ref="W23">_xlfn.XLOOKUP($A23,ACT[[№]:[№]],ACT[Total amount/ Общая стоимость (17*exchange rate/ обменный курс)
 USD],"",0,1)</f>
        <v>273.85000000000002</v>
      </c>
      <c r="X23" s="9" t="e" cm="1">
        <f t="array" ref="X23">IF(#REF!="",_xlfn.XLOOKUP("МАКС",#REF!,#REF!,,0,1),#REF!)</f>
        <v>#REF!</v>
      </c>
      <c r="Y23" s="12" t="e">
        <f>VLOOKUP(Шаблон_Формулы[[#This Row],[24]],#REF!,2,0)</f>
        <v>#REF!</v>
      </c>
      <c r="Z23" s="26" t="str">
        <f>IFERROR(Шаблон_Формулы[[#This Row],[23]]*Шаблон_Формулы[[#This Row],[25]],"")</f>
        <v/>
      </c>
      <c r="AA23" s="13" t="e" cm="1">
        <f t="array" ref="AA23">#REF!</f>
        <v>#REF!</v>
      </c>
    </row>
    <row r="24" spans="1:27" s="8" customFormat="1" ht="12">
      <c r="A24" s="11">
        <v>20</v>
      </c>
      <c r="B24" s="8" t="str" cm="1">
        <f t="array" ref="B24">_xlfn.XLOOKUP($A24,ACT[[№]:[№]],ACT[Container No/
№ Контейнера],"",0,1)</f>
        <v>TGHU6814001</v>
      </c>
      <c r="C24" s="8" t="str">
        <f t="shared" si="0"/>
        <v>UzAutoKorea</v>
      </c>
      <c r="D24" s="11" t="str" cm="1">
        <f t="array" ref="D24">_xlfn.XLOOKUP($A24,ACT[[№]:[№]],ACT[Container Type/ 
Тип контейнера],"",0,1)</f>
        <v>40'HC</v>
      </c>
      <c r="E24" s="21" cm="1">
        <f t="array" ref="E24">_xlfn.XLOOKUP($A24,ACT[[№]:[№]],ACT[Date of Dispatch/ 
Дата отгрузки],"",0,1)</f>
        <v>44965</v>
      </c>
      <c r="F24" s="22" t="str" cm="1">
        <f t="array" ref="F24">_xlfn.XLOOKUP($A24,ACT[[№]:[№]],ACT[Supplier/ Поставщик],"",0,1)</f>
        <v>ALPS</v>
      </c>
      <c r="G24" s="22" t="str" cm="1">
        <f t="array" ref="G24">_xlfn.XLOOKUP($A24,ACT[[№]:[№]],ACT[Supplier Invoice No/                          № Инвойса Поставщика],"",0,1)</f>
        <v>61339711</v>
      </c>
      <c r="H24" s="23" cm="1">
        <f t="array" ref="H24">_xlfn.XLOOKUP($A24,ACT[[№]:[№]],ACT[CBM],"",0,1)</f>
        <v>0.45600000000000002</v>
      </c>
      <c r="I24" s="23" cm="1">
        <f t="array" ref="I24">_xlfn.XLOOKUP($A24,ACT[[№]:[№]],ACT[Gross weight, kg/ Вес брутто, кг],"",0,1)</f>
        <v>85</v>
      </c>
      <c r="J24" s="23" t="str" cm="1">
        <f t="array" ref="J24">_xlfn.XLOOKUP($A24,ACT[[№]:[№]],ACT[Delivery terms / Условия поставки],"",0,1)</f>
        <v>FCA</v>
      </c>
      <c r="K24" s="23" cm="1">
        <f t="array" ref="K24">_xlfn.XLOOKUP($A24,ACT[[№]:[№]],ACT[Container total CBM],"",0,1)</f>
        <v>47.129000000000005</v>
      </c>
      <c r="L24" s="24" cm="1">
        <f t="array" ref="L24">_xlfn.XLOOKUP($A24,ACT[[№]:[№]],ACT[FTL inland freight cost per Invoice Appendix/ Стоимость внутренней наземной перевозки за инвойс Приложение                     KRW],"",0,1)</f>
        <v>265000</v>
      </c>
      <c r="M24" s="24" cm="1">
        <f t="array" ref="M24">_xlfn.XLOOKUP($A24,ACT[[№]:[№]],ACT[Consolidation Work, Loading, Unloading/ Работы по консолидации, Погрузка, Разгрузка (Rate/Тариф - 8000 per CBM)                   KRW],"",0,1)</f>
        <v>3871.44</v>
      </c>
      <c r="N24" s="24" cm="1">
        <f t="array" ref="N24">_xlfn.XLOOKUP($A24,ACT[[№]:[№]],ACT[Shoring, Banding, Sealing, Handling/ Крепление, Перевязка, Опечатование, Обработка
KRW],"",0,1)</f>
        <v>1875.1257187718816</v>
      </c>
      <c r="O24" s="24" cm="1">
        <f t="array" ref="O24">_xlfn.XLOOKUP($A24,ACT[[№]:[№]],ACT[Documents Work/ Сбор за подготовку документов
KRW],"",0,1)</f>
        <v>483.77856521462365</v>
      </c>
      <c r="P24" s="24" cm="1">
        <f t="array" ref="P24">_xlfn.XLOOKUP($A24,ACT[[№]:[№]],ACT[THC/ Терминальная обработка
KRW],"",0,1)</f>
        <v>1793.8509198158249</v>
      </c>
      <c r="Q24" s="24" cm="1">
        <f t="array" ref="Q24">_xlfn.XLOOKUP($A24,ACT[[№]:[№]],ACT[Wharfage/ Портовая пошлина
KRW],"",0,1)</f>
        <v>88.04769886906152</v>
      </c>
      <c r="R24" s="24" cm="1">
        <f t="array" ref="R24">_xlfn.XLOOKUP($A24,ACT[[№]:[№]],ACT[TRUCKING CHARGE],"",0,1)</f>
        <v>0</v>
      </c>
      <c r="S24" s="24" cm="1">
        <f t="array" ref="S24">_xlfn.XLOOKUP($A24,ACT[[№]:[№]],ACT[FCL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2713.9977508540392</v>
      </c>
      <c r="T24" s="24" cm="1">
        <f t="array" ref="T24">_xlfn.XLOOKUP($A24,ACT[[№]:[№]],ACT[Special Wooden Shoring / Специальное деревянное крепление],"",0,1)</f>
        <v>0</v>
      </c>
      <c r="U24" s="9"/>
      <c r="V24" s="24" cm="1">
        <f t="array" ref="V24">_xlfn.XLOOKUP($A24,ACT[[№]:[№]],ACT[Total amount/ Общая стоимость KRW (10+11+12+13+14+15+16)],"",0,1)</f>
        <v>275826.24065352546</v>
      </c>
      <c r="W24" s="24" cm="1">
        <f t="array" ref="W24">_xlfn.XLOOKUP($A24,ACT[[№]:[№]],ACT[Total amount/ Общая стоимость (17*exchange rate/ обменный курс)
 USD],"",0,1)</f>
        <v>217.06</v>
      </c>
      <c r="X24" s="9" t="e" cm="1">
        <f t="array" ref="X24">IF(#REF!="",_xlfn.XLOOKUP("МАКС",#REF!,#REF!,,0,1),#REF!)</f>
        <v>#REF!</v>
      </c>
      <c r="Y24" s="12" t="e">
        <f>VLOOKUP(Шаблон_Формулы[[#This Row],[24]],#REF!,2,0)</f>
        <v>#REF!</v>
      </c>
      <c r="Z24" s="26" t="str">
        <f>IFERROR(Шаблон_Формулы[[#This Row],[23]]*Шаблон_Формулы[[#This Row],[25]],"")</f>
        <v/>
      </c>
      <c r="AA24" s="13" t="e" cm="1">
        <f t="array" ref="AA24">#REF!</f>
        <v>#REF!</v>
      </c>
    </row>
    <row r="25" spans="1:27" s="8" customFormat="1" ht="12">
      <c r="A25" s="11">
        <v>21</v>
      </c>
      <c r="B25" s="8" t="str" cm="1">
        <f t="array" ref="B25">_xlfn.XLOOKUP($A25,ACT[[№]:[№]],ACT[Container No/
№ Контейнера],"",0,1)</f>
        <v>TCNU6180796</v>
      </c>
      <c r="C25" s="8" t="str">
        <f t="shared" si="0"/>
        <v>UzAutoKorea</v>
      </c>
      <c r="D25" s="11" t="str" cm="1">
        <f t="array" ref="D25">_xlfn.XLOOKUP($A25,ACT[[№]:[№]],ACT[Container Type/ 
Тип контейнера],"",0,1)</f>
        <v>40'HC</v>
      </c>
      <c r="E25" s="21" cm="1">
        <f t="array" ref="E25">_xlfn.XLOOKUP($A25,ACT[[№]:[№]],ACT[Date of Dispatch/ 
Дата отгрузки],"",0,1)</f>
        <v>44965</v>
      </c>
      <c r="F25" s="22" t="str" cm="1">
        <f t="array" ref="F25">_xlfn.XLOOKUP($A25,ACT[[№]:[№]],ACT[Supplier/ Поставщик],"",0,1)</f>
        <v>Hanyang Precision</v>
      </c>
      <c r="G25" s="22" t="str" cm="1">
        <f t="array" ref="G25">_xlfn.XLOOKUP($A25,ACT[[№]:[№]],ACT[Supplier Invoice No/                          № Инвойса Поставщика],"",0,1)</f>
        <v>HY230109U(11)</v>
      </c>
      <c r="H25" s="23" cm="1">
        <f t="array" ref="H25">_xlfn.XLOOKUP($A25,ACT[[№]:[№]],ACT[CBM],"",0,1)</f>
        <v>17.952000000000002</v>
      </c>
      <c r="I25" s="23" cm="1">
        <f t="array" ref="I25">_xlfn.XLOOKUP($A25,ACT[[№]:[№]],ACT[Gross weight, kg/ Вес брутто, кг],"",0,1)</f>
        <v>13863</v>
      </c>
      <c r="J25" s="23" t="str" cm="1">
        <f t="array" ref="J25">_xlfn.XLOOKUP($A25,ACT[[№]:[№]],ACT[Delivery terms / Условия поставки],"",0,1)</f>
        <v>FCA</v>
      </c>
      <c r="K25" s="23" cm="1">
        <f t="array" ref="K25">_xlfn.XLOOKUP($A25,ACT[[№]:[№]],ACT[Container total CBM],"",0,1)</f>
        <v>51.385000000000005</v>
      </c>
      <c r="L25" s="24" cm="1">
        <f t="array" ref="L25">_xlfn.XLOOKUP($A25,ACT[[№]:[№]],ACT[FTL inland freight cost per Invoice Appendix/ Стоимость внутренней наземной перевозки за инвойс Приложение                     KRW],"",0,1)</f>
        <v>1384500</v>
      </c>
      <c r="M25" s="24" cm="1">
        <f t="array" ref="M25">_xlfn.XLOOKUP($A25,ACT[[№]:[№]],ACT[Consolidation Work, Loading, Unloading/ Работы по консолидации, Погрузка, Разгрузка (Rate/Тариф - 8000 per CBM)                   KRW],"",0,1)</f>
        <v>152412.48000000001</v>
      </c>
      <c r="N25" s="24" cm="1">
        <f t="array" ref="N25">_xlfn.XLOOKUP($A25,ACT[[№]:[№]],ACT[Shoring, Banding, Sealing, Handling/ Крепление, Перевязка, Опечатование, Обработка
KRW],"",0,1)</f>
        <v>67706.482436508712</v>
      </c>
      <c r="O25" s="24" cm="1">
        <f t="array" ref="O25">_xlfn.XLOOKUP($A25,ACT[[№]:[№]],ACT[Documents Work/ Сбор за подготовку документов
KRW],"",0,1)</f>
        <v>17468.132723557457</v>
      </c>
      <c r="P25" s="24" cm="1">
        <f t="array" ref="P25">_xlfn.XLOOKUP($A25,ACT[[№]:[№]],ACT[THC/ Терминальная обработка
KRW],"",0,1)</f>
        <v>64771.836138951054</v>
      </c>
      <c r="Q25" s="24" cm="1">
        <f t="array" ref="Q25">_xlfn.XLOOKUP($A25,ACT[[№]:[№]],ACT[Wharfage/ Портовая пошлина
KRW],"",0,1)</f>
        <v>3179.2001556874575</v>
      </c>
      <c r="R25" s="24" cm="1">
        <f t="array" ref="R25">_xlfn.XLOOKUP($A25,ACT[[№]:[№]],ACT[TRUCKING CHARGE],"",0,1)</f>
        <v>0</v>
      </c>
      <c r="S25" s="24" cm="1">
        <f t="array" ref="S25">_xlfn.XLOOKUP($A25,ACT[[№]:[№]],ACT[FCL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97996.224579157337</v>
      </c>
      <c r="T25" s="24" cm="1">
        <f t="array" ref="T25">_xlfn.XLOOKUP($A25,ACT[[№]:[№]],ACT[Special Wooden Shoring / Специальное деревянное крепление],"",0,1)</f>
        <v>0</v>
      </c>
      <c r="U25" s="9"/>
      <c r="V25" s="24" cm="1">
        <f t="array" ref="V25">_xlfn.XLOOKUP($A25,ACT[[№]:[№]],ACT[Total amount/ Общая стоимость KRW (10+11+12+13+14+15+16)],"",0,1)</f>
        <v>1788034.3560338621</v>
      </c>
      <c r="W25" s="24" cm="1">
        <f t="array" ref="W25">_xlfn.XLOOKUP($A25,ACT[[№]:[№]],ACT[Total amount/ Общая стоимость (17*exchange rate/ обменный курс)
 USD],"",0,1)</f>
        <v>1407.08</v>
      </c>
      <c r="X25" s="9" t="e" cm="1">
        <f t="array" ref="X25">IF(#REF!="",_xlfn.XLOOKUP("МАКС",#REF!,#REF!,,0,1),#REF!)</f>
        <v>#REF!</v>
      </c>
      <c r="Y25" s="12" t="e">
        <f>VLOOKUP(Шаблон_Формулы[[#This Row],[24]],#REF!,2,0)</f>
        <v>#REF!</v>
      </c>
      <c r="Z25" s="26" t="str">
        <f>IFERROR(Шаблон_Формулы[[#This Row],[23]]*Шаблон_Формулы[[#This Row],[25]],"")</f>
        <v/>
      </c>
      <c r="AA25" s="13" t="e" cm="1">
        <f t="array" ref="AA25">#REF!</f>
        <v>#REF!</v>
      </c>
    </row>
    <row r="26" spans="1:27" s="8" customFormat="1" ht="12">
      <c r="A26" s="11">
        <v>22</v>
      </c>
      <c r="B26" s="8" t="str" cm="1">
        <f t="array" ref="B26">_xlfn.XLOOKUP($A26,ACT[[№]:[№]],ACT[Container No/
№ Контейнера],"",0,1)</f>
        <v>TCNU6180796</v>
      </c>
      <c r="C26" s="8" t="str">
        <f t="shared" si="0"/>
        <v>UzAutoKorea</v>
      </c>
      <c r="D26" s="11" t="str" cm="1">
        <f t="array" ref="D26">_xlfn.XLOOKUP($A26,ACT[[№]:[№]],ACT[Container Type/ 
Тип контейнера],"",0,1)</f>
        <v>40'HC</v>
      </c>
      <c r="E26" s="21" cm="1">
        <f t="array" ref="E26">_xlfn.XLOOKUP($A26,ACT[[№]:[№]],ACT[Date of Dispatch/ 
Дата отгрузки],"",0,1)</f>
        <v>44965</v>
      </c>
      <c r="F26" s="22" t="str" cm="1">
        <f t="array" ref="F26">_xlfn.XLOOKUP($A26,ACT[[№]:[№]],ACT[Supplier/ Поставщик],"",0,1)</f>
        <v>Daedong System</v>
      </c>
      <c r="G26" s="22" t="str" cm="1">
        <f t="array" ref="G26">_xlfn.XLOOKUP($A26,ACT[[№]:[№]],ACT[Supplier Invoice No/                          № Инвойса Поставщика],"",0,1)</f>
        <v>UZA23002</v>
      </c>
      <c r="H26" s="23" cm="1">
        <f t="array" ref="H26">_xlfn.XLOOKUP($A26,ACT[[№]:[№]],ACT[CBM],"",0,1)</f>
        <v>30.751000000000001</v>
      </c>
      <c r="I26" s="23" cm="1">
        <f t="array" ref="I26">_xlfn.XLOOKUP($A26,ACT[[№]:[№]],ACT[Gross weight, kg/ Вес брутто, кг],"",0,1)</f>
        <v>5519</v>
      </c>
      <c r="J26" s="23" t="str" cm="1">
        <f t="array" ref="J26">_xlfn.XLOOKUP($A26,ACT[[№]:[№]],ACT[Delivery terms / Условия поставки],"",0,1)</f>
        <v>FCA</v>
      </c>
      <c r="K26" s="23" cm="1">
        <f t="array" ref="K26">_xlfn.XLOOKUP($A26,ACT[[№]:[№]],ACT[Container total CBM],"",0,1)</f>
        <v>51.385000000000005</v>
      </c>
      <c r="L26" s="24" cm="1">
        <f t="array" ref="L26">_xlfn.XLOOKUP($A26,ACT[[№]:[№]],ACT[FTL inland freight cost per Invoice Appendix/ Стоимость внутренней наземной перевозки за инвойс Приложение                     KRW],"",0,1)</f>
        <v>635000</v>
      </c>
      <c r="M26" s="24" cm="1">
        <f t="array" ref="M26">_xlfn.XLOOKUP($A26,ACT[[№]:[№]],ACT[Consolidation Work, Loading, Unloading/ Работы по консолидации, Погрузка, Разгрузка (Rate/Тариф - 8000 per CBM)                   KRW],"",0,1)</f>
        <v>261075.99</v>
      </c>
      <c r="N26" s="24" cm="1">
        <f t="array" ref="N26">_xlfn.XLOOKUP($A26,ACT[[№]:[№]],ACT[Shoring, Banding, Sealing, Handling/ Крепление, Перевязка, Опечатование, Обработка
KRW],"",0,1)</f>
        <v>115978.2777075022</v>
      </c>
      <c r="O26" s="24" cm="1">
        <f t="array" ref="O26">_xlfn.XLOOKUP($A26,ACT[[№]:[№]],ACT[Documents Work/ Сбор за подготовку документов
KRW],"",0,1)</f>
        <v>29922.156271285396</v>
      </c>
      <c r="P26" s="24" cm="1">
        <f t="array" ref="P26">_xlfn.XLOOKUP($A26,ACT[[№]:[№]],ACT[THC/ Терминальная обработка
KRW],"",0,1)</f>
        <v>110951.35545392624</v>
      </c>
      <c r="Q26" s="24" cm="1">
        <f t="array" ref="Q26">_xlfn.XLOOKUP($A26,ACT[[№]:[№]],ACT[Wharfage/ Портовая пошлина
KRW],"",0,1)</f>
        <v>5445.8324413739419</v>
      </c>
      <c r="R26" s="24" cm="1">
        <f t="array" ref="R26">_xlfn.XLOOKUP($A26,ACT[[№]:[№]],ACT[TRUCKING CHARGE],"",0,1)</f>
        <v>0</v>
      </c>
      <c r="S26" s="24" cm="1">
        <f t="array" ref="S26">_xlfn.XLOOKUP($A26,ACT[[№]:[№]],ACT[FCL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167863.29668191107</v>
      </c>
      <c r="T26" s="24" cm="1">
        <f t="array" ref="T26">_xlfn.XLOOKUP($A26,ACT[[№]:[№]],ACT[Special Wooden Shoring / Специальное деревянное крепление],"",0,1)</f>
        <v>0</v>
      </c>
      <c r="U26" s="9"/>
      <c r="V26" s="24" cm="1">
        <f t="array" ref="V26">_xlfn.XLOOKUP($A26,ACT[[№]:[№]],ACT[Total amount/ Общая стоимость KRW (10+11+12+13+14+15+16)],"",0,1)</f>
        <v>1326236.9085559987</v>
      </c>
      <c r="W26" s="24" cm="1">
        <f t="array" ref="W26">_xlfn.XLOOKUP($A26,ACT[[№]:[№]],ACT[Total amount/ Общая стоимость (17*exchange rate/ обменный курс)
 USD],"",0,1)</f>
        <v>1043.67</v>
      </c>
      <c r="X26" s="9" t="e" cm="1">
        <f t="array" ref="X26">IF(#REF!="",_xlfn.XLOOKUP("МАКС",#REF!,#REF!,,0,1),#REF!)</f>
        <v>#REF!</v>
      </c>
      <c r="Y26" s="12" t="e">
        <f>VLOOKUP(Шаблон_Формулы[[#This Row],[24]],#REF!,2,0)</f>
        <v>#REF!</v>
      </c>
      <c r="Z26" s="26" t="str">
        <f>IFERROR(Шаблон_Формулы[[#This Row],[23]]*Шаблон_Формулы[[#This Row],[25]],"")</f>
        <v/>
      </c>
      <c r="AA26" s="13" t="e" cm="1">
        <f t="array" ref="AA26">#REF!</f>
        <v>#REF!</v>
      </c>
    </row>
    <row r="27" spans="1:27" s="8" customFormat="1" ht="12">
      <c r="A27" s="11">
        <v>23</v>
      </c>
      <c r="B27" s="8" t="str" cm="1">
        <f t="array" ref="B27">_xlfn.XLOOKUP($A27,ACT[[№]:[№]],ACT[Container No/
№ Контейнера],"",0,1)</f>
        <v>TCNU6180796</v>
      </c>
      <c r="C27" s="8" t="str">
        <f t="shared" si="0"/>
        <v>UzAutoKorea</v>
      </c>
      <c r="D27" s="11" t="str" cm="1">
        <f t="array" ref="D27">_xlfn.XLOOKUP($A27,ACT[[№]:[№]],ACT[Container Type/ 
Тип контейнера],"",0,1)</f>
        <v>40'HC</v>
      </c>
      <c r="E27" s="21" cm="1">
        <f t="array" ref="E27">_xlfn.XLOOKUP($A27,ACT[[№]:[№]],ACT[Date of Dispatch/ 
Дата отгрузки],"",0,1)</f>
        <v>44965</v>
      </c>
      <c r="F27" s="22" t="str" cm="1">
        <f t="array" ref="F27">_xlfn.XLOOKUP($A27,ACT[[№]:[№]],ACT[Supplier/ Поставщик],"",0,1)</f>
        <v>KDS</v>
      </c>
      <c r="G27" s="22" t="str" cm="1">
        <f t="array" ref="G27">_xlfn.XLOOKUP($A27,ACT[[№]:[№]],ACT[Supplier Invoice No/                          № Инвойса Поставщика],"",0,1)</f>
        <v>UZ3011267</v>
      </c>
      <c r="H27" s="23" cm="1">
        <f t="array" ref="H27">_xlfn.XLOOKUP($A27,ACT[[№]:[№]],ACT[CBM],"",0,1)</f>
        <v>2.6819999999999999</v>
      </c>
      <c r="I27" s="23" cm="1">
        <f t="array" ref="I27">_xlfn.XLOOKUP($A27,ACT[[№]:[№]],ACT[Gross weight, kg/ Вес брутто, кг],"",0,1)</f>
        <v>1632</v>
      </c>
      <c r="J27" s="23" t="str" cm="1">
        <f t="array" ref="J27">_xlfn.XLOOKUP($A27,ACT[[№]:[№]],ACT[Delivery terms / Условия поставки],"",0,1)</f>
        <v>FCA</v>
      </c>
      <c r="K27" s="23" cm="1">
        <f t="array" ref="K27">_xlfn.XLOOKUP($A27,ACT[[№]:[№]],ACT[Container total CBM],"",0,1)</f>
        <v>51.385000000000005</v>
      </c>
      <c r="L27" s="24" cm="1">
        <f t="array" ref="L27">_xlfn.XLOOKUP($A27,ACT[[№]:[№]],ACT[FTL inland freight cost per Invoice Appendix/ Стоимость внутренней наземной перевозки за инвойс Приложение                     KRW],"",0,1)</f>
        <v>221000</v>
      </c>
      <c r="M27" s="24" cm="1">
        <f t="array" ref="M27">_xlfn.XLOOKUP($A27,ACT[[№]:[№]],ACT[Consolidation Work, Loading, Unloading/ Работы по консолидации, Погрузка, Разгрузка (Rate/Тариф - 8000 per CBM)                   KRW],"",0,1)</f>
        <v>22770.18</v>
      </c>
      <c r="N27" s="24" cm="1">
        <f t="array" ref="N27">_xlfn.XLOOKUP($A27,ACT[[№]:[№]],ACT[Shoring, Banding, Sealing, Handling/ Крепление, Перевязка, Опечатование, Обработка
KRW],"",0,1)</f>
        <v>10115.239855989101</v>
      </c>
      <c r="O27" s="24" cm="1">
        <f t="array" ref="O27">_xlfn.XLOOKUP($A27,ACT[[№]:[№]],ACT[Documents Work/ Сбор за подготовку документов
KRW],"",0,1)</f>
        <v>2609.7110051571467</v>
      </c>
      <c r="P27" s="24" cm="1">
        <f t="array" ref="P27">_xlfn.XLOOKUP($A27,ACT[[№]:[№]],ACT[THC/ Терминальная обработка
KRW],"",0,1)</f>
        <v>9676.8084071226986</v>
      </c>
      <c r="Q27" s="24" cm="1">
        <f t="array" ref="Q27">_xlfn.XLOOKUP($A27,ACT[[№]:[№]],ACT[Wharfage/ Портовая пошлина
KRW],"",0,1)</f>
        <v>474.96740293860074</v>
      </c>
      <c r="R27" s="24" cm="1">
        <f t="array" ref="R27">_xlfn.XLOOKUP($A27,ACT[[№]:[№]],ACT[TRUCKING CHARGE],"",0,1)</f>
        <v>0</v>
      </c>
      <c r="S27" s="24" cm="1">
        <f t="array" ref="S27">_xlfn.XLOOKUP($A27,ACT[[№]:[№]],ACT[FCL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14640.478738931592</v>
      </c>
      <c r="T27" s="24" cm="1">
        <f t="array" ref="T27">_xlfn.XLOOKUP($A27,ACT[[№]:[№]],ACT[Special Wooden Shoring / Специальное деревянное крепление],"",0,1)</f>
        <v>0</v>
      </c>
      <c r="U27" s="9"/>
      <c r="V27" s="24" cm="1">
        <f t="array" ref="V27">_xlfn.XLOOKUP($A27,ACT[[№]:[№]],ACT[Total amount/ Общая стоимость KRW (10+11+12+13+14+15+16)],"",0,1)</f>
        <v>281287.3854101391</v>
      </c>
      <c r="W27" s="24" cm="1">
        <f t="array" ref="W27">_xlfn.XLOOKUP($A27,ACT[[№]:[№]],ACT[Total amount/ Общая стоимость (17*exchange rate/ обменный курс)
 USD],"",0,1)</f>
        <v>221.36</v>
      </c>
      <c r="X27" s="9" t="e" cm="1">
        <f t="array" ref="X27">IF(#REF!="",_xlfn.XLOOKUP("МАКС",#REF!,#REF!,,0,1),#REF!)</f>
        <v>#REF!</v>
      </c>
      <c r="Y27" s="12" t="e">
        <f>VLOOKUP(Шаблон_Формулы[[#This Row],[24]],#REF!,2,0)</f>
        <v>#REF!</v>
      </c>
      <c r="Z27" s="26" t="str">
        <f>IFERROR(Шаблон_Формулы[[#This Row],[23]]*Шаблон_Формулы[[#This Row],[25]],"")</f>
        <v/>
      </c>
      <c r="AA27" s="13" t="e" cm="1">
        <f t="array" ref="AA27">#REF!</f>
        <v>#REF!</v>
      </c>
    </row>
    <row r="28" spans="1:27" s="8" customFormat="1" ht="12">
      <c r="A28" s="11">
        <v>24</v>
      </c>
      <c r="B28" s="8" t="str" cm="1">
        <f t="array" ref="B28">_xlfn.XLOOKUP($A28,ACT[[№]:[№]],ACT[Container No/
№ Контейнера],"",0,1)</f>
        <v>OCGU8061832</v>
      </c>
      <c r="C28" s="8" t="str">
        <f t="shared" si="0"/>
        <v>UzAutoKorea</v>
      </c>
      <c r="D28" s="11" t="str" cm="1">
        <f t="array" ref="D28">_xlfn.XLOOKUP($A28,ACT[[№]:[№]],ACT[Container Type/ 
Тип контейнера],"",0,1)</f>
        <v>40'HC</v>
      </c>
      <c r="E28" s="21" cm="1">
        <f t="array" ref="E28">_xlfn.XLOOKUP($A28,ACT[[№]:[№]],ACT[Date of Dispatch/ 
Дата отгрузки],"",0,1)</f>
        <v>44965</v>
      </c>
      <c r="F28" s="22" t="str" cm="1">
        <f t="array" ref="F28">_xlfn.XLOOKUP($A28,ACT[[№]:[№]],ACT[Supplier/ Поставщик],"",0,1)</f>
        <v>Hanyang Precision</v>
      </c>
      <c r="G28" s="22" t="str" cm="1">
        <f t="array" ref="G28">_xlfn.XLOOKUP($A28,ACT[[№]:[№]],ACT[Supplier Invoice No/                          № Инвойса Поставщика],"",0,1)</f>
        <v>HY230109U(12)</v>
      </c>
      <c r="H28" s="23" cm="1">
        <f t="array" ref="H28">_xlfn.XLOOKUP($A28,ACT[[№]:[№]],ACT[CBM],"",0,1)</f>
        <v>17.448</v>
      </c>
      <c r="I28" s="23" cm="1">
        <f t="array" ref="I28">_xlfn.XLOOKUP($A28,ACT[[№]:[№]],ACT[Gross weight, kg/ Вес брутто, кг],"",0,1)</f>
        <v>7853</v>
      </c>
      <c r="J28" s="23" t="str" cm="1">
        <f t="array" ref="J28">_xlfn.XLOOKUP($A28,ACT[[№]:[№]],ACT[Delivery terms / Условия поставки],"",0,1)</f>
        <v>FCA</v>
      </c>
      <c r="K28" s="23" cm="1">
        <f t="array" ref="K28">_xlfn.XLOOKUP($A28,ACT[[№]:[№]],ACT[Container total CBM],"",0,1)</f>
        <v>61.037999999999997</v>
      </c>
      <c r="L28" s="24" cm="1">
        <f t="array" ref="L28">_xlfn.XLOOKUP($A28,ACT[[№]:[№]],ACT[FTL inland freight cost per Invoice Appendix/ Стоимость внутренней наземной перевозки за инвойс Приложение                     KRW],"",0,1)</f>
        <v>698500</v>
      </c>
      <c r="M28" s="24" cm="1">
        <f t="array" ref="M28">_xlfn.XLOOKUP($A28,ACT[[№]:[№]],ACT[Consolidation Work, Loading, Unloading/ Работы по консолидации, Погрузка, Разгрузка (Rate/Тариф - 8000 per CBM)                   KRW],"",0,1)</f>
        <v>148133.51999999999</v>
      </c>
      <c r="N28" s="24" cm="1">
        <f t="array" ref="N28">_xlfn.XLOOKUP($A28,ACT[[№]:[№]],ACT[Shoring, Banding, Sealing, Handling/ Крепление, Перевязка, Опечатование, Обработка
KRW],"",0,1)</f>
        <v>55398.643468003538</v>
      </c>
      <c r="O28" s="24" cm="1">
        <f t="array" ref="O28">_xlfn.XLOOKUP($A28,ACT[[№]:[№]],ACT[Documents Work/ Сбор за подготовку документов
KRW],"",0,1)</f>
        <v>14292.73567285953</v>
      </c>
      <c r="P28" s="24" cm="1">
        <f t="array" ref="P28">_xlfn.XLOOKUP($A28,ACT[[№]:[№]],ACT[THC/ Терминальная обработка
KRW],"",0,1)</f>
        <v>52997.463874963134</v>
      </c>
      <c r="Q28" s="24" cm="1">
        <f t="array" ref="Q28">_xlfn.XLOOKUP($A28,ACT[[№]:[№]],ACT[Wharfage/ Портовая пошлина
KRW],"",0,1)</f>
        <v>2601.2778924604345</v>
      </c>
      <c r="R28" s="24" cm="1">
        <f t="array" ref="R28">_xlfn.XLOOKUP($A28,ACT[[№]:[№]],ACT[TRUCKING CHARGE],"",0,1)</f>
        <v>0</v>
      </c>
      <c r="S28" s="24" cm="1">
        <f t="array" ref="S28">_xlfn.XLOOKUP($A28,ACT[[№]:[№]],ACT[FCL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80182.24712474196</v>
      </c>
      <c r="T28" s="24" cm="1">
        <f t="array" ref="T28">_xlfn.XLOOKUP($A28,ACT[[№]:[№]],ACT[Special Wooden Shoring / Специальное деревянное крепление],"",0,1)</f>
        <v>0</v>
      </c>
      <c r="U28" s="9"/>
      <c r="V28" s="24" cm="1">
        <f t="array" ref="V28">_xlfn.XLOOKUP($A28,ACT[[№]:[№]],ACT[Total amount/ Общая стоимость KRW (10+11+12+13+14+15+16)],"",0,1)</f>
        <v>1052105.8880330285</v>
      </c>
      <c r="W28" s="24" cm="1">
        <f t="array" ref="W28">_xlfn.XLOOKUP($A28,ACT[[№]:[№]],ACT[Total amount/ Общая стоимость (17*exchange rate/ обменный курс)
 USD],"",0,1)</f>
        <v>827.95</v>
      </c>
      <c r="X28" s="9" t="e" cm="1">
        <f t="array" ref="X28">IF(#REF!="",_xlfn.XLOOKUP("МАКС",#REF!,#REF!,,0,1),#REF!)</f>
        <v>#REF!</v>
      </c>
      <c r="Y28" s="12" t="e">
        <f>VLOOKUP(Шаблон_Формулы[[#This Row],[24]],#REF!,2,0)</f>
        <v>#REF!</v>
      </c>
      <c r="Z28" s="26" t="str">
        <f>IFERROR(Шаблон_Формулы[[#This Row],[23]]*Шаблон_Формулы[[#This Row],[25]],"")</f>
        <v/>
      </c>
      <c r="AA28" s="13" t="e" cm="1">
        <f t="array" ref="AA28">#REF!</f>
        <v>#REF!</v>
      </c>
    </row>
    <row r="29" spans="1:27" s="8" customFormat="1" ht="12">
      <c r="A29" s="11">
        <v>25</v>
      </c>
      <c r="B29" s="8" t="str" cm="1">
        <f t="array" ref="B29">_xlfn.XLOOKUP($A29,ACT[[№]:[№]],ACT[Container No/
№ Контейнера],"",0,1)</f>
        <v>OCGU8061832</v>
      </c>
      <c r="C29" s="8" t="str">
        <f t="shared" si="0"/>
        <v>UzAutoKorea</v>
      </c>
      <c r="D29" s="11" t="str" cm="1">
        <f t="array" ref="D29">_xlfn.XLOOKUP($A29,ACT[[№]:[№]],ACT[Container Type/ 
Тип контейнера],"",0,1)</f>
        <v>40'HC</v>
      </c>
      <c r="E29" s="21" cm="1">
        <f t="array" ref="E29">_xlfn.XLOOKUP($A29,ACT[[№]:[№]],ACT[Date of Dispatch/ 
Дата отгрузки],"",0,1)</f>
        <v>44965</v>
      </c>
      <c r="F29" s="22" t="str" cm="1">
        <f t="array" ref="F29">_xlfn.XLOOKUP($A29,ACT[[№]:[№]],ACT[Supplier/ Поставщик],"",0,1)</f>
        <v>Mando Iksan</v>
      </c>
      <c r="G29" s="22" t="str" cm="1">
        <f t="array" ref="G29">_xlfn.XLOOKUP($A29,ACT[[№]:[№]],ACT[Supplier Invoice No/                          № Инвойса Поставщика],"",0,1)</f>
        <v>CKSS2301034</v>
      </c>
      <c r="H29" s="23" cm="1">
        <f t="array" ref="H29">_xlfn.XLOOKUP($A29,ACT[[№]:[№]],ACT[CBM],"",0,1)</f>
        <v>43.59</v>
      </c>
      <c r="I29" s="23" cm="1">
        <f t="array" ref="I29">_xlfn.XLOOKUP($A29,ACT[[№]:[№]],ACT[Gross weight, kg/ Вес брутто, кг],"",0,1)</f>
        <v>14638</v>
      </c>
      <c r="J29" s="23" t="str" cm="1">
        <f t="array" ref="J29">_xlfn.XLOOKUP($A29,ACT[[№]:[№]],ACT[Delivery terms / Условия поставки],"",0,1)</f>
        <v>FCA</v>
      </c>
      <c r="K29" s="23" cm="1">
        <f t="array" ref="K29">_xlfn.XLOOKUP($A29,ACT[[№]:[№]],ACT[Container total CBM],"",0,1)</f>
        <v>61.037999999999997</v>
      </c>
      <c r="L29" s="24" cm="1">
        <f t="array" ref="L29">_xlfn.XLOOKUP($A29,ACT[[№]:[№]],ACT[FTL inland freight cost per Invoice Appendix/ Стоимость внутренней наземной перевозки за инвойс Приложение                     KRW],"",0,1)</f>
        <v>952000</v>
      </c>
      <c r="M29" s="24" cm="1">
        <f t="array" ref="M29">_xlfn.XLOOKUP($A29,ACT[[№]:[№]],ACT[Consolidation Work, Loading, Unloading/ Работы по консолидации, Погрузка, Разгрузка (Rate/Тариф - 8000 per CBM)                   KRW],"",0,1)</f>
        <v>370079.1</v>
      </c>
      <c r="N29" s="24" cm="1">
        <f t="array" ref="N29">_xlfn.XLOOKUP($A29,ACT[[№]:[№]],ACT[Shoring, Banding, Sealing, Handling/ Крепление, Перевязка, Опечатование, Обработка
KRW],"",0,1)</f>
        <v>138401.35653199643</v>
      </c>
      <c r="O29" s="24" cm="1">
        <f t="array" ref="O29">_xlfn.XLOOKUP($A29,ACT[[№]:[№]],ACT[Documents Work/ Сбор за подготовку документов
KRW],"",0,1)</f>
        <v>35707.264327140467</v>
      </c>
      <c r="P29" s="24" cm="1">
        <f t="array" ref="P29">_xlfn.XLOOKUP($A29,ACT[[№]:[№]],ACT[THC/ Терминальная обработка
KRW],"",0,1)</f>
        <v>132402.53612503686</v>
      </c>
      <c r="Q29" s="24" cm="1">
        <f t="array" ref="Q29">_xlfn.XLOOKUP($A29,ACT[[№]:[№]],ACT[Wharfage/ Портовая пошлина
KRW],"",0,1)</f>
        <v>6498.7221075395655</v>
      </c>
      <c r="R29" s="24" cm="1">
        <f t="array" ref="R29">_xlfn.XLOOKUP($A29,ACT[[№]:[№]],ACT[TRUCKING CHARGE],"",0,1)</f>
        <v>0</v>
      </c>
      <c r="S29" s="24" cm="1">
        <f t="array" ref="S29">_xlfn.XLOOKUP($A29,ACT[[№]:[№]],ACT[FCL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200317.75287525804</v>
      </c>
      <c r="T29" s="24" cm="1">
        <f t="array" ref="T29">_xlfn.XLOOKUP($A29,ACT[[№]:[№]],ACT[Special Wooden Shoring / Специальное деревянное крепление],"",0,1)</f>
        <v>0</v>
      </c>
      <c r="U29" s="9"/>
      <c r="V29" s="24" cm="1">
        <f t="array" ref="V29">_xlfn.XLOOKUP($A29,ACT[[№]:[№]],ACT[Total amount/ Общая стоимость KRW (10+11+12+13+14+15+16)],"",0,1)</f>
        <v>1835406.7319669717</v>
      </c>
      <c r="W29" s="24" cm="1">
        <f t="array" ref="W29">_xlfn.XLOOKUP($A29,ACT[[№]:[№]],ACT[Total amount/ Общая стоимость (17*exchange rate/ обменный курс)
 USD],"",0,1)</f>
        <v>1444.36</v>
      </c>
      <c r="X29" s="9" t="e" cm="1">
        <f t="array" ref="X29">IF(#REF!="",_xlfn.XLOOKUP("МАКС",#REF!,#REF!,,0,1),#REF!)</f>
        <v>#REF!</v>
      </c>
      <c r="Y29" s="12" t="e">
        <f>VLOOKUP(Шаблон_Формулы[[#This Row],[24]],#REF!,2,0)</f>
        <v>#REF!</v>
      </c>
      <c r="Z29" s="26" t="str">
        <f>IFERROR(Шаблон_Формулы[[#This Row],[23]]*Шаблон_Формулы[[#This Row],[25]],"")</f>
        <v/>
      </c>
      <c r="AA29" s="13" t="e" cm="1">
        <f t="array" ref="AA29">#REF!</f>
        <v>#REF!</v>
      </c>
    </row>
    <row r="30" spans="1:27" s="8" customFormat="1" ht="12">
      <c r="A30" s="11">
        <v>26</v>
      </c>
      <c r="B30" s="8" t="str" cm="1">
        <f t="array" ref="B30">_xlfn.XLOOKUP($A30,ACT[[№]:[№]],ACT[Container No/
№ Контейнера],"",0,1)</f>
        <v>OFSU6081235</v>
      </c>
      <c r="C30" s="8" t="str">
        <f t="shared" si="0"/>
        <v>UzAutoKorea</v>
      </c>
      <c r="D30" s="11" t="str" cm="1">
        <f t="array" ref="D30">_xlfn.XLOOKUP($A30,ACT[[№]:[№]],ACT[Container Type/ 
Тип контейнера],"",0,1)</f>
        <v>40'HC</v>
      </c>
      <c r="E30" s="21" cm="1">
        <f t="array" ref="E30">_xlfn.XLOOKUP($A30,ACT[[№]:[№]],ACT[Date of Dispatch/ 
Дата отгрузки],"",0,1)</f>
        <v>44965</v>
      </c>
      <c r="F30" s="22" t="str" cm="1">
        <f t="array" ref="F30">_xlfn.XLOOKUP($A30,ACT[[№]:[№]],ACT[Supplier/ Поставщик],"",0,1)</f>
        <v>Hanyang Precision</v>
      </c>
      <c r="G30" s="22" t="str" cm="1">
        <f t="array" ref="G30">_xlfn.XLOOKUP($A30,ACT[[№]:[№]],ACT[Supplier Invoice No/                          № Инвойса Поставщика],"",0,1)</f>
        <v>HY230109U(13)</v>
      </c>
      <c r="H30" s="23" cm="1">
        <f t="array" ref="H30">_xlfn.XLOOKUP($A30,ACT[[№]:[№]],ACT[CBM],"",0,1)</f>
        <v>10.178000000000001</v>
      </c>
      <c r="I30" s="23" cm="1">
        <f t="array" ref="I30">_xlfn.XLOOKUP($A30,ACT[[№]:[№]],ACT[Gross weight, kg/ Вес брутто, кг],"",0,1)</f>
        <v>4580.9399999999996</v>
      </c>
      <c r="J30" s="23" t="str" cm="1">
        <f t="array" ref="J30">_xlfn.XLOOKUP($A30,ACT[[№]:[№]],ACT[Delivery terms / Условия поставки],"",0,1)</f>
        <v>FCA</v>
      </c>
      <c r="K30" s="23" cm="1">
        <f t="array" ref="K30">_xlfn.XLOOKUP($A30,ACT[[№]:[№]],ACT[Container total CBM],"",0,1)</f>
        <v>57.357999999999997</v>
      </c>
      <c r="L30" s="24" cm="1">
        <f t="array" ref="L30">_xlfn.XLOOKUP($A30,ACT[[№]:[№]],ACT[FTL inland freight cost per Invoice Appendix/ Стоимость внутренней наземной перевозки за инвойс Приложение                     KRW],"",0,1)</f>
        <v>632500</v>
      </c>
      <c r="M30" s="24" cm="1">
        <f t="array" ref="M30">_xlfn.XLOOKUP($A30,ACT[[№]:[№]],ACT[Consolidation Work, Loading, Unloading/ Работы по консолидации, Погрузка, Разгрузка (Rate/Тариф - 8000 per CBM)                   KRW],"",0,1)</f>
        <v>86411.22</v>
      </c>
      <c r="N30" s="24" cm="1">
        <f t="array" ref="N30">_xlfn.XLOOKUP($A30,ACT[[№]:[№]],ACT[Shoring, Banding, Sealing, Handling/ Крепление, Перевязка, Опечатование, Обработка
KRW],"",0,1)</f>
        <v>34389.211618257264</v>
      </c>
      <c r="O30" s="24" cm="1">
        <f t="array" ref="O30">_xlfn.XLOOKUP($A30,ACT[[№]:[№]],ACT[Documents Work/ Сбор за подготовку документов
KRW],"",0,1)</f>
        <v>8872.3456187454231</v>
      </c>
      <c r="P30" s="24" cm="1">
        <f t="array" ref="P30">_xlfn.XLOOKUP($A30,ACT[[№]:[№]],ACT[THC/ Терминальная обработка
KRW],"",0,1)</f>
        <v>32898.657554308033</v>
      </c>
      <c r="Q30" s="24" cm="1">
        <f t="array" ref="Q30">_xlfn.XLOOKUP($A30,ACT[[№]:[№]],ACT[Wharfage/ Портовая пошлина
KRW],"",0,1)</f>
        <v>1614.7669026116671</v>
      </c>
      <c r="R30" s="24" cm="1">
        <f t="array" ref="R30">_xlfn.XLOOKUP($A30,ACT[[№]:[№]],ACT[TRUCKING CHARGE],"",0,1)</f>
        <v>0</v>
      </c>
      <c r="S30" s="24" cm="1">
        <f t="array" ref="S30">_xlfn.XLOOKUP($A30,ACT[[№]:[№]],ACT[FCL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49773.858921161831</v>
      </c>
      <c r="T30" s="24" cm="1">
        <f t="array" ref="T30">_xlfn.XLOOKUP($A30,ACT[[№]:[№]],ACT[Special Wooden Shoring / Специальное деревянное крепление],"",0,1)</f>
        <v>0</v>
      </c>
      <c r="U30" s="9"/>
      <c r="V30" s="24" cm="1">
        <f t="array" ref="V30">_xlfn.XLOOKUP($A30,ACT[[№]:[№]],ACT[Total amount/ Общая стоимость KRW (10+11+12+13+14+15+16)],"",0,1)</f>
        <v>846460.06061508437</v>
      </c>
      <c r="W30" s="24" cm="1">
        <f t="array" ref="W30">_xlfn.XLOOKUP($A30,ACT[[№]:[№]],ACT[Total amount/ Общая стоимость (17*exchange rate/ обменный курс)
 USD],"",0,1)</f>
        <v>666.12</v>
      </c>
      <c r="X30" s="9" t="e" cm="1">
        <f t="array" ref="X30">IF(#REF!="",_xlfn.XLOOKUP("МАКС",#REF!,#REF!,,0,1),#REF!)</f>
        <v>#REF!</v>
      </c>
      <c r="Y30" s="12" t="e">
        <f>VLOOKUP(Шаблон_Формулы[[#This Row],[24]],#REF!,2,0)</f>
        <v>#REF!</v>
      </c>
      <c r="Z30" s="26" t="str">
        <f>IFERROR(Шаблон_Формулы[[#This Row],[23]]*Шаблон_Формулы[[#This Row],[25]],"")</f>
        <v/>
      </c>
      <c r="AA30" s="13" t="e" cm="1">
        <f t="array" ref="AA30">#REF!</f>
        <v>#REF!</v>
      </c>
    </row>
    <row r="31" spans="1:27" s="8" customFormat="1" ht="12">
      <c r="A31" s="11">
        <v>27</v>
      </c>
      <c r="B31" s="8" t="str" cm="1">
        <f t="array" ref="B31">_xlfn.XLOOKUP($A31,ACT[[№]:[№]],ACT[Container No/
№ Контейнера],"",0,1)</f>
        <v>OFSU6081235</v>
      </c>
      <c r="C31" s="8" t="str">
        <f t="shared" si="0"/>
        <v>UzAutoKorea</v>
      </c>
      <c r="D31" s="11" t="str" cm="1">
        <f t="array" ref="D31">_xlfn.XLOOKUP($A31,ACT[[№]:[№]],ACT[Container Type/ 
Тип контейнера],"",0,1)</f>
        <v>40'HC</v>
      </c>
      <c r="E31" s="21" cm="1">
        <f t="array" ref="E31">_xlfn.XLOOKUP($A31,ACT[[№]:[№]],ACT[Date of Dispatch/ 
Дата отгрузки],"",0,1)</f>
        <v>44965</v>
      </c>
      <c r="F31" s="22" t="str" cm="1">
        <f t="array" ref="F31">_xlfn.XLOOKUP($A31,ACT[[№]:[№]],ACT[Supplier/ Поставщик],"",0,1)</f>
        <v>Namyang NEXMO</v>
      </c>
      <c r="G31" s="22" t="str" cm="1">
        <f t="array" ref="G31">_xlfn.XLOOKUP($A31,ACT[[№]:[№]],ACT[Supplier Invoice No/                          № Инвойса Поставщика],"",0,1)</f>
        <v>GMUZ409</v>
      </c>
      <c r="H31" s="23" cm="1">
        <f t="array" ref="H31">_xlfn.XLOOKUP($A31,ACT[[№]:[№]],ACT[CBM],"",0,1)</f>
        <v>47.18</v>
      </c>
      <c r="I31" s="23" cm="1">
        <f t="array" ref="I31">_xlfn.XLOOKUP($A31,ACT[[№]:[№]],ACT[Gross weight, kg/ Вес брутто, кг],"",0,1)</f>
        <v>9489</v>
      </c>
      <c r="J31" s="23" t="str" cm="1">
        <f t="array" ref="J31">_xlfn.XLOOKUP($A31,ACT[[№]:[№]],ACT[Delivery terms / Условия поставки],"",0,1)</f>
        <v>FCA</v>
      </c>
      <c r="K31" s="23" cm="1">
        <f t="array" ref="K31">_xlfn.XLOOKUP($A31,ACT[[№]:[№]],ACT[Container total CBM],"",0,1)</f>
        <v>57.357999999999997</v>
      </c>
      <c r="L31" s="24" cm="1">
        <f t="array" ref="L31">_xlfn.XLOOKUP($A31,ACT[[№]:[№]],ACT[FTL inland freight cost per Invoice Appendix/ Стоимость внутренней наземной перевозки за инвойс Приложение                     KRW],"",0,1)</f>
        <v>1101000</v>
      </c>
      <c r="M31" s="24" cm="1">
        <f t="array" ref="M31">_xlfn.XLOOKUP($A31,ACT[[№]:[№]],ACT[Consolidation Work, Loading, Unloading/ Работы по консолидации, Погрузка, Разгрузка (Rate/Тариф - 8000 per CBM)                   KRW],"",0,1)</f>
        <v>400558.2</v>
      </c>
      <c r="N31" s="24" cm="1">
        <f t="array" ref="N31">_xlfn.XLOOKUP($A31,ACT[[№]:[№]],ACT[Shoring, Banding, Sealing, Handling/ Крепление, Перевязка, Опечатование, Обработка
KRW],"",0,1)</f>
        <v>159410.78838174272</v>
      </c>
      <c r="O31" s="24" cm="1">
        <f t="array" ref="O31">_xlfn.XLOOKUP($A31,ACT[[№]:[№]],ACT[Documents Work/ Сбор за подготовку документов
KRW],"",0,1)</f>
        <v>41127.654381254571</v>
      </c>
      <c r="P31" s="24" cm="1">
        <f t="array" ref="P31">_xlfn.XLOOKUP($A31,ACT[[№]:[№]],ACT[THC/ Терминальная обработка
KRW],"",0,1)</f>
        <v>152501.34244569196</v>
      </c>
      <c r="Q31" s="24" cm="1">
        <f t="array" ref="Q31">_xlfn.XLOOKUP($A31,ACT[[№]:[№]],ACT[Wharfage/ Портовая пошлина
KRW],"",0,1)</f>
        <v>7485.2330973883327</v>
      </c>
      <c r="R31" s="24" cm="1">
        <f t="array" ref="R31">_xlfn.XLOOKUP($A31,ACT[[№]:[№]],ACT[TRUCKING CHARGE],"",0,1)</f>
        <v>0</v>
      </c>
      <c r="S31" s="24" cm="1">
        <f t="array" ref="S31">_xlfn.XLOOKUP($A31,ACT[[№]:[№]],ACT[FCL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230726.14107883815</v>
      </c>
      <c r="T31" s="24" cm="1">
        <f t="array" ref="T31">_xlfn.XLOOKUP($A31,ACT[[№]:[№]],ACT[Special Wooden Shoring / Специальное деревянное крепление],"",0,1)</f>
        <v>0</v>
      </c>
      <c r="U31" s="9"/>
      <c r="V31" s="24" cm="1">
        <f t="array" ref="V31">_xlfn.XLOOKUP($A31,ACT[[№]:[№]],ACT[Total amount/ Общая стоимость KRW (10+11+12+13+14+15+16)],"",0,1)</f>
        <v>2092809.359384916</v>
      </c>
      <c r="W31" s="24" cm="1">
        <f t="array" ref="W31">_xlfn.XLOOKUP($A31,ACT[[№]:[№]],ACT[Total amount/ Общая стоимость (17*exchange rate/ обменный курс)
 USD],"",0,1)</f>
        <v>1646.92</v>
      </c>
      <c r="X31" s="9" t="e" cm="1">
        <f t="array" ref="X31">IF(#REF!="",_xlfn.XLOOKUP("МАКС",#REF!,#REF!,,0,1),#REF!)</f>
        <v>#REF!</v>
      </c>
      <c r="Y31" s="12" t="e">
        <f>VLOOKUP(Шаблон_Формулы[[#This Row],[24]],#REF!,2,0)</f>
        <v>#REF!</v>
      </c>
      <c r="Z31" s="26" t="str">
        <f>IFERROR(Шаблон_Формулы[[#This Row],[23]]*Шаблон_Формулы[[#This Row],[25]],"")</f>
        <v/>
      </c>
      <c r="AA31" s="13" t="e" cm="1">
        <f t="array" ref="AA31">#REF!</f>
        <v>#REF!</v>
      </c>
    </row>
    <row r="32" spans="1:27" s="8" customFormat="1" ht="12">
      <c r="A32" s="11">
        <v>28</v>
      </c>
      <c r="B32" s="8" t="str" cm="1">
        <f t="array" ref="B32">_xlfn.XLOOKUP($A32,ACT[[№]:[№]],ACT[Container No/
№ Контейнера],"",0,1)</f>
        <v>ECMU9498627</v>
      </c>
      <c r="C32" s="8" t="str">
        <f t="shared" si="0"/>
        <v>UzAutoKorea</v>
      </c>
      <c r="D32" s="11" t="str" cm="1">
        <f t="array" ref="D32">_xlfn.XLOOKUP($A32,ACT[[№]:[№]],ACT[Container Type/ 
Тип контейнера],"",0,1)</f>
        <v>40'HC</v>
      </c>
      <c r="E32" s="21" cm="1">
        <f t="array" ref="E32">_xlfn.XLOOKUP($A32,ACT[[№]:[№]],ACT[Date of Dispatch/ 
Дата отгрузки],"",0,1)</f>
        <v>44965</v>
      </c>
      <c r="F32" s="22" t="str" cm="1">
        <f t="array" ref="F32">_xlfn.XLOOKUP($A32,ACT[[№]:[№]],ACT[Supplier/ Поставщик],"",0,1)</f>
        <v>Hanyang Precision</v>
      </c>
      <c r="G32" s="22" t="str" cm="1">
        <f t="array" ref="G32">_xlfn.XLOOKUP($A32,ACT[[№]:[№]],ACT[Supplier Invoice No/                          № Инвойса Поставщика],"",0,1)</f>
        <v>HY230109U(14)</v>
      </c>
      <c r="H32" s="23" cm="1">
        <f t="array" ref="H32">_xlfn.XLOOKUP($A32,ACT[[№]:[№]],ACT[CBM],"",0,1)</f>
        <v>17.448</v>
      </c>
      <c r="I32" s="23" cm="1">
        <f t="array" ref="I32">_xlfn.XLOOKUP($A32,ACT[[№]:[№]],ACT[Gross weight, kg/ Вес брутто, кг],"",0,1)</f>
        <v>7853.04</v>
      </c>
      <c r="J32" s="23" t="str" cm="1">
        <f t="array" ref="J32">_xlfn.XLOOKUP($A32,ACT[[№]:[№]],ACT[Delivery terms / Условия поставки],"",0,1)</f>
        <v>FCA</v>
      </c>
      <c r="K32" s="23" cm="1">
        <f t="array" ref="K32">_xlfn.XLOOKUP($A32,ACT[[№]:[№]],ACT[Container total CBM],"",0,1)</f>
        <v>56.303999999999995</v>
      </c>
      <c r="L32" s="24" cm="1">
        <f t="array" ref="L32">_xlfn.XLOOKUP($A32,ACT[[№]:[№]],ACT[FTL inland freight cost per Invoice Appendix/ Стоимость внутренней наземной перевозки за инвойс Приложение                     KRW],"",0,1)</f>
        <v>698500</v>
      </c>
      <c r="M32" s="24" cm="1">
        <f t="array" ref="M32">_xlfn.XLOOKUP($A32,ACT[[№]:[№]],ACT[Consolidation Work, Loading, Unloading/ Работы по консолидации, Погрузка, Разгрузка (Rate/Тариф - 8000 per CBM)                   KRW],"",0,1)</f>
        <v>148133.51999999999</v>
      </c>
      <c r="N32" s="24" cm="1">
        <f t="array" ref="N32">_xlfn.XLOOKUP($A32,ACT[[№]:[№]],ACT[Shoring, Banding, Sealing, Handling/ Крепление, Перевязка, Опечатование, Обработка
KRW],"",0,1)</f>
        <v>60056.52173913044</v>
      </c>
      <c r="O32" s="24" cm="1">
        <f t="array" ref="O32">_xlfn.XLOOKUP($A32,ACT[[№]:[№]],ACT[Documents Work/ Сбор за подготовку документов
KRW],"",0,1)</f>
        <v>15494.45865302643</v>
      </c>
      <c r="P32" s="24" cm="1">
        <f t="array" ref="P32">_xlfn.XLOOKUP($A32,ACT[[№]:[№]],ACT[THC/ Терминальная обработка
KRW],"",0,1)</f>
        <v>57453.452685422002</v>
      </c>
      <c r="Q32" s="24" cm="1">
        <f t="array" ref="Q32">_xlfn.XLOOKUP($A32,ACT[[№]:[№]],ACT[Wharfage/ Портовая пошлина
KRW],"",0,1)</f>
        <v>2819.9914748508104</v>
      </c>
      <c r="R32" s="24" cm="1">
        <f t="array" ref="R32">_xlfn.XLOOKUP($A32,ACT[[№]:[№]],ACT[TRUCKING CHARGE],"",0,1)</f>
        <v>0</v>
      </c>
      <c r="S32" s="24" cm="1">
        <f t="array" ref="S32">_xlfn.XLOOKUP($A32,ACT[[№]:[№]],ACT[FCL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86923.913043478271</v>
      </c>
      <c r="T32" s="24" cm="1">
        <f t="array" ref="T32">_xlfn.XLOOKUP($A32,ACT[[№]:[№]],ACT[Special Wooden Shoring / Специальное деревянное крепление],"",0,1)</f>
        <v>0</v>
      </c>
      <c r="U32" s="9"/>
      <c r="V32" s="24" cm="1">
        <f t="array" ref="V32">_xlfn.XLOOKUP($A32,ACT[[№]:[№]],ACT[Total amount/ Общая стоимость KRW (10+11+12+13+14+15+16)],"",0,1)</f>
        <v>1069381.857595908</v>
      </c>
      <c r="W32" s="24" cm="1">
        <f t="array" ref="W32">_xlfn.XLOOKUP($A32,ACT[[№]:[№]],ACT[Total amount/ Общая стоимость (17*exchange rate/ обменный курс)
 USD],"",0,1)</f>
        <v>841.54</v>
      </c>
      <c r="X32" s="9" t="e" cm="1">
        <f t="array" ref="X32">IF(#REF!="",_xlfn.XLOOKUP("МАКС",#REF!,#REF!,,0,1),#REF!)</f>
        <v>#REF!</v>
      </c>
      <c r="Y32" s="12" t="e">
        <f>VLOOKUP(Шаблон_Формулы[[#This Row],[24]],#REF!,2,0)</f>
        <v>#REF!</v>
      </c>
      <c r="Z32" s="26" t="str">
        <f>IFERROR(Шаблон_Формулы[[#This Row],[23]]*Шаблон_Формулы[[#This Row],[25]],"")</f>
        <v/>
      </c>
      <c r="AA32" s="13" t="e" cm="1">
        <f t="array" ref="AA32">#REF!</f>
        <v>#REF!</v>
      </c>
    </row>
    <row r="33" spans="1:27" s="8" customFormat="1" ht="12">
      <c r="A33" s="11">
        <v>29</v>
      </c>
      <c r="B33" s="8" t="str" cm="1">
        <f t="array" ref="B33">_xlfn.XLOOKUP($A33,ACT[[№]:[№]],ACT[Container No/
№ Контейнера],"",0,1)</f>
        <v>ECMU9498627</v>
      </c>
      <c r="C33" s="8" t="str">
        <f t="shared" si="0"/>
        <v>UzAutoKorea</v>
      </c>
      <c r="D33" s="11" t="str" cm="1">
        <f t="array" ref="D33">_xlfn.XLOOKUP($A33,ACT[[№]:[№]],ACT[Container Type/ 
Тип контейнера],"",0,1)</f>
        <v>40'HC</v>
      </c>
      <c r="E33" s="21" cm="1">
        <f t="array" ref="E33">_xlfn.XLOOKUP($A33,ACT[[№]:[№]],ACT[Date of Dispatch/ 
Дата отгрузки],"",0,1)</f>
        <v>44965</v>
      </c>
      <c r="F33" s="22" t="str" cm="1">
        <f t="array" ref="F33">_xlfn.XLOOKUP($A33,ACT[[№]:[№]],ACT[Supplier/ Поставщик],"",0,1)</f>
        <v>Central</v>
      </c>
      <c r="G33" s="22" t="str" cm="1">
        <f t="array" ref="G33">_xlfn.XLOOKUP($A33,ACT[[№]:[№]],ACT[Supplier Invoice No/                          № Инвойса Поставщика],"",0,1)</f>
        <v>UZA230112</v>
      </c>
      <c r="H33" s="23" cm="1">
        <f t="array" ref="H33">_xlfn.XLOOKUP($A33,ACT[[№]:[№]],ACT[CBM],"",0,1)</f>
        <v>4.6360000000000001</v>
      </c>
      <c r="I33" s="23" cm="1">
        <f t="array" ref="I33">_xlfn.XLOOKUP($A33,ACT[[№]:[№]],ACT[Gross weight, kg/ Вес брутто, кг],"",0,1)</f>
        <v>1621.65</v>
      </c>
      <c r="J33" s="23" t="str" cm="1">
        <f t="array" ref="J33">_xlfn.XLOOKUP($A33,ACT[[№]:[№]],ACT[Delivery terms / Условия поставки],"",0,1)</f>
        <v>FOB</v>
      </c>
      <c r="K33" s="23" cm="1">
        <f t="array" ref="K33">_xlfn.XLOOKUP($A33,ACT[[№]:[№]],ACT[Container total CBM],"",0,1)</f>
        <v>56.303999999999995</v>
      </c>
      <c r="L33" s="24" cm="1">
        <f t="array" ref="L33">_xlfn.XLOOKUP($A33,ACT[[№]:[№]],ACT[FTL inland freight cost per Invoice Appendix/ Стоимость внутренней наземной перевозки за инвойс Приложение                     KRW],"",0,1)</f>
        <v>0</v>
      </c>
      <c r="M33" s="24" cm="1">
        <f t="array" ref="M33">_xlfn.XLOOKUP($A33,ACT[[№]:[№]],ACT[Consolidation Work, Loading, Unloading/ Работы по консолидации, Погрузка, Разгрузка (Rate/Тариф - 8000 per CBM)                   KRW],"",0,1)</f>
        <v>0</v>
      </c>
      <c r="N33" s="24" cm="1">
        <f t="array" ref="N33">_xlfn.XLOOKUP($A33,ACT[[№]:[№]],ACT[Shoring, Banding, Sealing, Handling/ Крепление, Перевязка, Опечатование, Обработка
KRW],"",0,1)</f>
        <v>0</v>
      </c>
      <c r="O33" s="24" cm="1">
        <f t="array" ref="O33">_xlfn.XLOOKUP($A33,ACT[[№]:[№]],ACT[Documents Work/ Сбор за подготовку документов
KRW],"",0,1)</f>
        <v>0</v>
      </c>
      <c r="P33" s="24" cm="1">
        <f t="array" ref="P33">_xlfn.XLOOKUP($A33,ACT[[№]:[№]],ACT[THC/ Терминальная обработка
KRW],"",0,1)</f>
        <v>0</v>
      </c>
      <c r="Q33" s="24" cm="1">
        <f t="array" ref="Q33">_xlfn.XLOOKUP($A33,ACT[[№]:[№]],ACT[Wharfage/ Портовая пошлина
KRW],"",0,1)</f>
        <v>0</v>
      </c>
      <c r="R33" s="24" cm="1">
        <f t="array" ref="R33">_xlfn.XLOOKUP($A33,ACT[[№]:[№]],ACT[TRUCKING CHARGE],"",0,1)</f>
        <v>0</v>
      </c>
      <c r="S33" s="24" cm="1">
        <f t="array" ref="S33">_xlfn.XLOOKUP($A33,ACT[[№]:[№]],ACT[FCL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33" s="24" cm="1">
        <f t="array" ref="T33">_xlfn.XLOOKUP($A33,ACT[[№]:[№]],ACT[Special Wooden Shoring / Специальное деревянное крепление],"",0,1)</f>
        <v>0</v>
      </c>
      <c r="U33" s="9"/>
      <c r="V33" s="24" cm="1">
        <f t="array" ref="V33">_xlfn.XLOOKUP($A33,ACT[[№]:[№]],ACT[Total amount/ Общая стоимость KRW (10+11+12+13+14+15+16)],"",0,1)</f>
        <v>0</v>
      </c>
      <c r="W33" s="24" cm="1">
        <f t="array" ref="W33">_xlfn.XLOOKUP($A33,ACT[[№]:[№]],ACT[Total amount/ Общая стоимость (17*exchange rate/ обменный курс)
 USD],"",0,1)</f>
        <v>0</v>
      </c>
      <c r="X33" s="9" t="e" cm="1">
        <f t="array" ref="X33">IF(#REF!="",_xlfn.XLOOKUP("МАКС",#REF!,#REF!,,0,1),#REF!)</f>
        <v>#REF!</v>
      </c>
      <c r="Y33" s="12" t="e">
        <f>VLOOKUP(Шаблон_Формулы[[#This Row],[24]],#REF!,2,0)</f>
        <v>#REF!</v>
      </c>
      <c r="Z33" s="26" t="str">
        <f>IFERROR(Шаблон_Формулы[[#This Row],[23]]*Шаблон_Формулы[[#This Row],[25]],"")</f>
        <v/>
      </c>
      <c r="AA33" s="13" t="e" cm="1">
        <f t="array" ref="AA33">#REF!</f>
        <v>#REF!</v>
      </c>
    </row>
    <row r="34" spans="1:27" s="8" customFormat="1" ht="12">
      <c r="A34" s="11">
        <v>30</v>
      </c>
      <c r="B34" s="8" t="str" cm="1">
        <f t="array" ref="B34">_xlfn.XLOOKUP($A34,ACT[[№]:[№]],ACT[Container No/
№ Контейнера],"",0,1)</f>
        <v>ECMU9498627</v>
      </c>
      <c r="C34" s="8" t="str">
        <f t="shared" si="0"/>
        <v>UzAutoKorea</v>
      </c>
      <c r="D34" s="11" t="str" cm="1">
        <f t="array" ref="D34">_xlfn.XLOOKUP($A34,ACT[[№]:[№]],ACT[Container Type/ 
Тип контейнера],"",0,1)</f>
        <v>40'HC</v>
      </c>
      <c r="E34" s="21" cm="1">
        <f t="array" ref="E34">_xlfn.XLOOKUP($A34,ACT[[№]:[№]],ACT[Date of Dispatch/ 
Дата отгрузки],"",0,1)</f>
        <v>44965</v>
      </c>
      <c r="F34" s="22" t="str" cm="1">
        <f t="array" ref="F34">_xlfn.XLOOKUP($A34,ACT[[№]:[№]],ACT[Supplier/ Поставщик],"",0,1)</f>
        <v>DAESHIN</v>
      </c>
      <c r="G34" s="22" t="str" cm="1">
        <f t="array" ref="G34">_xlfn.XLOOKUP($A34,ACT[[№]:[№]],ACT[Supplier Invoice No/                          № Инвойса Поставщика],"",0,1)</f>
        <v>U23011201</v>
      </c>
      <c r="H34" s="23" cm="1">
        <f t="array" ref="H34">_xlfn.XLOOKUP($A34,ACT[[№]:[№]],ACT[CBM],"",0,1)</f>
        <v>10.201000000000001</v>
      </c>
      <c r="I34" s="23" cm="1">
        <f t="array" ref="I34">_xlfn.XLOOKUP($A34,ACT[[№]:[№]],ACT[Gross weight, kg/ Вес брутто, кг],"",0,1)</f>
        <v>778.8</v>
      </c>
      <c r="J34" s="23" t="str" cm="1">
        <f t="array" ref="J34">_xlfn.XLOOKUP($A34,ACT[[№]:[№]],ACT[Delivery terms / Условия поставки],"",0,1)</f>
        <v>FCA</v>
      </c>
      <c r="K34" s="23" cm="1">
        <f t="array" ref="K34">_xlfn.XLOOKUP($A34,ACT[[№]:[№]],ACT[Container total CBM],"",0,1)</f>
        <v>56.303999999999995</v>
      </c>
      <c r="L34" s="24" cm="1">
        <f t="array" ref="L34">_xlfn.XLOOKUP($A34,ACT[[№]:[№]],ACT[FTL inland freight cost per Invoice Appendix/ Стоимость внутренней наземной перевозки за инвойс Приложение                     KRW],"",0,1)</f>
        <v>448000</v>
      </c>
      <c r="M34" s="24" cm="1">
        <f t="array" ref="M34">_xlfn.XLOOKUP($A34,ACT[[№]:[№]],ACT[Consolidation Work, Loading, Unloading/ Работы по консолидации, Погрузка, Разгрузка (Rate/Тариф - 8000 per CBM)                   KRW],"",0,1)</f>
        <v>86606.49</v>
      </c>
      <c r="N34" s="24" cm="1">
        <f t="array" ref="N34">_xlfn.XLOOKUP($A34,ACT[[№]:[№]],ACT[Shoring, Banding, Sealing, Handling/ Крепление, Перевязка, Опечатование, Обработка
KRW],"",0,1)</f>
        <v>35112.137681159424</v>
      </c>
      <c r="O34" s="24" cm="1">
        <f t="array" ref="O34">_xlfn.XLOOKUP($A34,ACT[[№]:[№]],ACT[Documents Work/ Сбор за подготовку документов
KRW],"",0,1)</f>
        <v>9058.8590508667239</v>
      </c>
      <c r="P34" s="24" cm="1">
        <f t="array" ref="P34">_xlfn.XLOOKUP($A34,ACT[[№]:[№]],ACT[THC/ Терминальная обработка
KRW],"",0,1)</f>
        <v>33590.249360613816</v>
      </c>
      <c r="Q34" s="24" cm="1">
        <f t="array" ref="Q34">_xlfn.XLOOKUP($A34,ACT[[№]:[№]],ACT[Wharfage/ Портовая пошлина
KRW],"",0,1)</f>
        <v>1648.7123472577441</v>
      </c>
      <c r="R34" s="24" cm="1">
        <f t="array" ref="R34">_xlfn.XLOOKUP($A34,ACT[[№]:[№]],ACT[TRUCKING CHARGE],"",0,1)</f>
        <v>0</v>
      </c>
      <c r="S34" s="24" cm="1">
        <f t="array" ref="S34">_xlfn.XLOOKUP($A34,ACT[[№]:[№]],ACT[FCL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50820.199275362327</v>
      </c>
      <c r="T34" s="24" cm="1">
        <f t="array" ref="T34">_xlfn.XLOOKUP($A34,ACT[[№]:[№]],ACT[Special Wooden Shoring / Специальное деревянное крепление],"",0,1)</f>
        <v>0</v>
      </c>
      <c r="U34" s="9"/>
      <c r="V34" s="24" cm="1">
        <f t="array" ref="V34">_xlfn.XLOOKUP($A34,ACT[[№]:[№]],ACT[Total amount/ Общая стоимость KRW (10+11+12+13+14+15+16)],"",0,1)</f>
        <v>664836.64771525993</v>
      </c>
      <c r="W34" s="24" cm="1">
        <f t="array" ref="W34">_xlfn.XLOOKUP($A34,ACT[[№]:[№]],ACT[Total amount/ Общая стоимость (17*exchange rate/ обменный курс)
 USD],"",0,1)</f>
        <v>523.19000000000005</v>
      </c>
      <c r="X34" s="9" t="e" cm="1">
        <f t="array" ref="X34">IF(#REF!="",_xlfn.XLOOKUP("МАКС",#REF!,#REF!,,0,1),#REF!)</f>
        <v>#REF!</v>
      </c>
      <c r="Y34" s="12" t="e">
        <f>VLOOKUP(Шаблон_Формулы[[#This Row],[24]],#REF!,2,0)</f>
        <v>#REF!</v>
      </c>
      <c r="Z34" s="26" t="str">
        <f>IFERROR(Шаблон_Формулы[[#This Row],[23]]*Шаблон_Формулы[[#This Row],[25]],"")</f>
        <v/>
      </c>
      <c r="AA34" s="13" t="e" cm="1">
        <f t="array" ref="AA34">#REF!</f>
        <v>#REF!</v>
      </c>
    </row>
    <row r="35" spans="1:27" s="8" customFormat="1" ht="12">
      <c r="A35" s="11">
        <v>31</v>
      </c>
      <c r="B35" s="8" t="str" cm="1">
        <f t="array" ref="B35">_xlfn.XLOOKUP($A35,ACT[[№]:[№]],ACT[Container No/
№ Контейнера],"",0,1)</f>
        <v>ECMU9498627</v>
      </c>
      <c r="C35" s="8" t="str">
        <f t="shared" si="0"/>
        <v>UzAutoKorea</v>
      </c>
      <c r="D35" s="11" t="str" cm="1">
        <f t="array" ref="D35">_xlfn.XLOOKUP($A35,ACT[[№]:[№]],ACT[Container Type/ 
Тип контейнера],"",0,1)</f>
        <v>40'HC</v>
      </c>
      <c r="E35" s="21" cm="1">
        <f t="array" ref="E35">_xlfn.XLOOKUP($A35,ACT[[№]:[№]],ACT[Date of Dispatch/ 
Дата отгрузки],"",0,1)</f>
        <v>44965</v>
      </c>
      <c r="F35" s="22" t="str" cm="1">
        <f t="array" ref="F35">_xlfn.XLOOKUP($A35,ACT[[№]:[№]],ACT[Supplier/ Поставщик],"",0,1)</f>
        <v>Pyeonghwa</v>
      </c>
      <c r="G35" s="22" t="str" cm="1">
        <f t="array" ref="G35">_xlfn.XLOOKUP($A35,ACT[[№]:[№]],ACT[Supplier Invoice No/                          № Инвойса Поставщика],"",0,1)</f>
        <v>F230112U1</v>
      </c>
      <c r="H35" s="23" cm="1">
        <f t="array" ref="H35">_xlfn.XLOOKUP($A35,ACT[[№]:[№]],ACT[CBM],"",0,1)</f>
        <v>8.407</v>
      </c>
      <c r="I35" s="23" cm="1">
        <f t="array" ref="I35">_xlfn.XLOOKUP($A35,ACT[[№]:[№]],ACT[Gross weight, kg/ Вес брутто, кг],"",0,1)</f>
        <v>2004.04</v>
      </c>
      <c r="J35" s="23" t="str" cm="1">
        <f t="array" ref="J35">_xlfn.XLOOKUP($A35,ACT[[№]:[№]],ACT[Delivery terms / Условия поставки],"",0,1)</f>
        <v>FCA</v>
      </c>
      <c r="K35" s="23" cm="1">
        <f t="array" ref="K35">_xlfn.XLOOKUP($A35,ACT[[№]:[№]],ACT[Container total CBM],"",0,1)</f>
        <v>56.303999999999995</v>
      </c>
      <c r="L35" s="24" cm="1">
        <f t="array" ref="L35">_xlfn.XLOOKUP($A35,ACT[[№]:[№]],ACT[FTL inland freight cost per Invoice Appendix/ Стоимость внутренней наземной перевозки за инвойс Приложение                     KRW],"",0,1)</f>
        <v>285000</v>
      </c>
      <c r="M35" s="24" cm="1">
        <f t="array" ref="M35">_xlfn.XLOOKUP($A35,ACT[[№]:[№]],ACT[Consolidation Work, Loading, Unloading/ Работы по консолидации, Погрузка, Разгрузка (Rate/Тариф - 8000 per CBM)                   KRW],"",0,1)</f>
        <v>71375.429999999993</v>
      </c>
      <c r="N35" s="24" cm="1">
        <f t="array" ref="N35">_xlfn.XLOOKUP($A35,ACT[[№]:[№]],ACT[Shoring, Banding, Sealing, Handling/ Крепление, Перевязка, Опечатование, Обработка
KRW],"",0,1)</f>
        <v>28937.137681159424</v>
      </c>
      <c r="O35" s="24" cm="1">
        <f t="array" ref="O35">_xlfn.XLOOKUP($A35,ACT[[№]:[№]],ACT[Documents Work/ Сбор за подготовку документов
KRW],"",0,1)</f>
        <v>7465.7217959647633</v>
      </c>
      <c r="P35" s="24" cm="1">
        <f t="array" ref="P35">_xlfn.XLOOKUP($A35,ACT[[№]:[№]],ACT[THC/ Терминальная обработка
KRW],"",0,1)</f>
        <v>27682.896419437344</v>
      </c>
      <c r="Q35" s="24" cm="1">
        <f t="array" ref="Q35">_xlfn.XLOOKUP($A35,ACT[[№]:[№]],ACT[Wharfage/ Портовая пошлина
KRW],"",0,1)</f>
        <v>1358.761366865587</v>
      </c>
      <c r="R35" s="24" cm="1">
        <f t="array" ref="R35">_xlfn.XLOOKUP($A35,ACT[[№]:[№]],ACT[TRUCKING CHARGE],"",0,1)</f>
        <v>0</v>
      </c>
      <c r="S35" s="24" cm="1">
        <f t="array" ref="S35">_xlfn.XLOOKUP($A35,ACT[[№]:[№]],ACT[FCL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41882.699275362327</v>
      </c>
      <c r="T35" s="24" cm="1">
        <f t="array" ref="T35">_xlfn.XLOOKUP($A35,ACT[[№]:[№]],ACT[Special Wooden Shoring / Специальное деревянное крепление],"",0,1)</f>
        <v>0</v>
      </c>
      <c r="U35" s="9"/>
      <c r="V35" s="24" cm="1">
        <f t="array" ref="V35">_xlfn.XLOOKUP($A35,ACT[[№]:[№]],ACT[Total amount/ Общая стоимость KRW (10+11+12+13+14+15+16)],"",0,1)</f>
        <v>463702.64653878944</v>
      </c>
      <c r="W35" s="24" cm="1">
        <f t="array" ref="W35">_xlfn.XLOOKUP($A35,ACT[[№]:[№]],ACT[Total amount/ Общая стоимость (17*exchange rate/ обменный курс)
 USD],"",0,1)</f>
        <v>364.91</v>
      </c>
      <c r="X35" s="9" t="e" cm="1">
        <f t="array" ref="X35">IF(#REF!="",_xlfn.XLOOKUP("МАКС",#REF!,#REF!,,0,1),#REF!)</f>
        <v>#REF!</v>
      </c>
      <c r="Y35" s="12" t="e">
        <f>VLOOKUP(Шаблон_Формулы[[#This Row],[24]],#REF!,2,0)</f>
        <v>#REF!</v>
      </c>
      <c r="Z35" s="26" t="str">
        <f>IFERROR(Шаблон_Формулы[[#This Row],[23]]*Шаблон_Формулы[[#This Row],[25]],"")</f>
        <v/>
      </c>
      <c r="AA35" s="13" t="e" cm="1">
        <f t="array" ref="AA35">#REF!</f>
        <v>#REF!</v>
      </c>
    </row>
    <row r="36" spans="1:27" s="8" customFormat="1" ht="12">
      <c r="A36" s="11">
        <v>32</v>
      </c>
      <c r="B36" s="8" t="str" cm="1">
        <f t="array" ref="B36">_xlfn.XLOOKUP($A36,ACT[[№]:[№]],ACT[Container No/
№ Контейнера],"",0,1)</f>
        <v>ECMU9498627</v>
      </c>
      <c r="C36" s="8" t="str">
        <f t="shared" si="0"/>
        <v>UzAutoKorea</v>
      </c>
      <c r="D36" s="11" t="str" cm="1">
        <f t="array" ref="D36">_xlfn.XLOOKUP($A36,ACT[[№]:[№]],ACT[Container Type/ 
Тип контейнера],"",0,1)</f>
        <v>40'HC</v>
      </c>
      <c r="E36" s="21" cm="1">
        <f t="array" ref="E36">_xlfn.XLOOKUP($A36,ACT[[№]:[№]],ACT[Date of Dispatch/ 
Дата отгрузки],"",0,1)</f>
        <v>44965</v>
      </c>
      <c r="F36" s="22" t="str" cm="1">
        <f t="array" ref="F36">_xlfn.XLOOKUP($A36,ACT[[№]:[№]],ACT[Supplier/ Поставщик],"",0,1)</f>
        <v>Pyeonghwa</v>
      </c>
      <c r="G36" s="22" t="str" cm="1">
        <f t="array" ref="G36">_xlfn.XLOOKUP($A36,ACT[[№]:[№]],ACT[Supplier Invoice No/                          № Инвойса Поставщика],"",0,1)</f>
        <v>F230112U2</v>
      </c>
      <c r="H36" s="23" cm="1">
        <f t="array" ref="H36">_xlfn.XLOOKUP($A36,ACT[[№]:[№]],ACT[CBM],"",0,1)</f>
        <v>0.86499999999999999</v>
      </c>
      <c r="I36" s="23" cm="1">
        <f t="array" ref="I36">_xlfn.XLOOKUP($A36,ACT[[№]:[№]],ACT[Gross weight, kg/ Вес брутто, кг],"",0,1)</f>
        <v>388.68</v>
      </c>
      <c r="J36" s="23" t="str" cm="1">
        <f t="array" ref="J36">_xlfn.XLOOKUP($A36,ACT[[№]:[№]],ACT[Delivery terms / Условия поставки],"",0,1)</f>
        <v>FCA</v>
      </c>
      <c r="K36" s="23" cm="1">
        <f t="array" ref="K36">_xlfn.XLOOKUP($A36,ACT[[№]:[№]],ACT[Container total CBM],"",0,1)</f>
        <v>56.303999999999995</v>
      </c>
      <c r="L36" s="24" cm="1">
        <f t="array" ref="L36">_xlfn.XLOOKUP($A36,ACT[[№]:[№]],ACT[FTL inland freight cost per Invoice Appendix/ Стоимость внутренней наземной перевозки за инвойс Приложение                     KRW],"",0,1)</f>
        <v>198000</v>
      </c>
      <c r="M36" s="24" cm="1">
        <f t="array" ref="M36">_xlfn.XLOOKUP($A36,ACT[[№]:[№]],ACT[Consolidation Work, Loading, Unloading/ Работы по консолидации, Погрузка, Разгрузка (Rate/Тариф - 8000 per CBM)                   KRW],"",0,1)</f>
        <v>7343.85</v>
      </c>
      <c r="N36" s="24" cm="1">
        <f t="array" ref="N36">_xlfn.XLOOKUP($A36,ACT[[№]:[№]],ACT[Shoring, Banding, Sealing, Handling/ Крепление, Перевязка, Опечатование, Обработка
KRW],"",0,1)</f>
        <v>2977.3550724637685</v>
      </c>
      <c r="O36" s="24" cm="1">
        <f t="array" ref="O36">_xlfn.XLOOKUP($A36,ACT[[№]:[№]],ACT[Documents Work/ Сбор за подготовку документов
KRW],"",0,1)</f>
        <v>768.15146348394433</v>
      </c>
      <c r="P36" s="24" cm="1">
        <f t="array" ref="P36">_xlfn.XLOOKUP($A36,ACT[[№]:[№]],ACT[THC/ Терминальная обработка
KRW],"",0,1)</f>
        <v>2848.3056265984656</v>
      </c>
      <c r="Q36" s="24" cm="1">
        <f t="array" ref="Q36">_xlfn.XLOOKUP($A36,ACT[[№]:[№]],ACT[Wharfage/ Портовая пошлина
KRW],"",0,1)</f>
        <v>139.80356635407787</v>
      </c>
      <c r="R36" s="24" cm="1">
        <f t="array" ref="R36">_xlfn.XLOOKUP($A36,ACT[[№]:[№]],ACT[TRUCKING CHARGE],"",0,1)</f>
        <v>0</v>
      </c>
      <c r="S36" s="24" cm="1">
        <f t="array" ref="S36">_xlfn.XLOOKUP($A36,ACT[[№]:[№]],ACT[FCL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4309.329710144928</v>
      </c>
      <c r="T36" s="24" cm="1">
        <f t="array" ref="T36">_xlfn.XLOOKUP($A36,ACT[[№]:[№]],ACT[Special Wooden Shoring / Специальное деревянное крепление],"",0,1)</f>
        <v>0</v>
      </c>
      <c r="U36" s="9"/>
      <c r="V36" s="24" cm="1">
        <f t="array" ref="V36">_xlfn.XLOOKUP($A36,ACT[[№]:[№]],ACT[Total amount/ Общая стоимость KRW (10+11+12+13+14+15+16)],"",0,1)</f>
        <v>216386.79543904521</v>
      </c>
      <c r="W36" s="24" cm="1">
        <f t="array" ref="W36">_xlfn.XLOOKUP($A36,ACT[[№]:[№]],ACT[Total amount/ Общая стоимость (17*exchange rate/ обменный курс)
 USD],"",0,1)</f>
        <v>170.28</v>
      </c>
      <c r="X36" s="9" t="e" cm="1">
        <f t="array" ref="X36">IF(#REF!="",_xlfn.XLOOKUP("МАКС",#REF!,#REF!,,0,1),#REF!)</f>
        <v>#REF!</v>
      </c>
      <c r="Y36" s="12" t="e">
        <f>VLOOKUP(Шаблон_Формулы[[#This Row],[24]],#REF!,2,0)</f>
        <v>#REF!</v>
      </c>
      <c r="Z36" s="26" t="str">
        <f>IFERROR(Шаблон_Формулы[[#This Row],[23]]*Шаблон_Формулы[[#This Row],[25]],"")</f>
        <v/>
      </c>
      <c r="AA36" s="13" t="e" cm="1">
        <f t="array" ref="AA36">#REF!</f>
        <v>#REF!</v>
      </c>
    </row>
    <row r="37" spans="1:27" s="8" customFormat="1" ht="12">
      <c r="A37" s="11">
        <v>33</v>
      </c>
      <c r="B37" s="8" t="str" cm="1">
        <f t="array" ref="B37">_xlfn.XLOOKUP($A37,ACT[[№]:[№]],ACT[Container No/
№ Контейнера],"",0,1)</f>
        <v>ECMU9498627</v>
      </c>
      <c r="C37" s="8" t="str">
        <f t="shared" si="0"/>
        <v>UzAutoKorea</v>
      </c>
      <c r="D37" s="11" t="str" cm="1">
        <f t="array" ref="D37">_xlfn.XLOOKUP($A37,ACT[[№]:[№]],ACT[Container Type/ 
Тип контейнера],"",0,1)</f>
        <v>40'HC</v>
      </c>
      <c r="E37" s="21" cm="1">
        <f t="array" ref="E37">_xlfn.XLOOKUP($A37,ACT[[№]:[№]],ACT[Date of Dispatch/ 
Дата отгрузки],"",0,1)</f>
        <v>44965</v>
      </c>
      <c r="F37" s="22" t="str" cm="1">
        <f t="array" ref="F37">_xlfn.XLOOKUP($A37,ACT[[№]:[№]],ACT[Supplier/ Поставщик],"",0,1)</f>
        <v>Samsong</v>
      </c>
      <c r="G37" s="22" t="str" cm="1">
        <f t="array" ref="G37">_xlfn.XLOOKUP($A37,ACT[[№]:[№]],ACT[Supplier Invoice No/                          № Инвойса Поставщика],"",0,1)</f>
        <v>GM-UZ-231002</v>
      </c>
      <c r="H37" s="23" cm="1">
        <f t="array" ref="H37">_xlfn.XLOOKUP($A37,ACT[[№]:[№]],ACT[CBM],"",0,1)</f>
        <v>14.747</v>
      </c>
      <c r="I37" s="23" cm="1">
        <f t="array" ref="I37">_xlfn.XLOOKUP($A37,ACT[[№]:[№]],ACT[Gross weight, kg/ Вес брутто, кг],"",0,1)</f>
        <v>3012</v>
      </c>
      <c r="J37" s="23" t="str" cm="1">
        <f t="array" ref="J37">_xlfn.XLOOKUP($A37,ACT[[№]:[№]],ACT[Delivery terms / Условия поставки],"",0,1)</f>
        <v>FCA</v>
      </c>
      <c r="K37" s="23" cm="1">
        <f t="array" ref="K37">_xlfn.XLOOKUP($A37,ACT[[№]:[№]],ACT[Container total CBM],"",0,1)</f>
        <v>56.303999999999995</v>
      </c>
      <c r="L37" s="24" cm="1">
        <f t="array" ref="L37">_xlfn.XLOOKUP($A37,ACT[[№]:[№]],ACT[FTL inland freight cost per Invoice Appendix/ Стоимость внутренней наземной перевозки за инвойс Приложение                     KRW],"",0,1)</f>
        <v>216500</v>
      </c>
      <c r="M37" s="24" cm="1">
        <f t="array" ref="M37">_xlfn.XLOOKUP($A37,ACT[[№]:[№]],ACT[Consolidation Work, Loading, Unloading/ Работы по консолидации, Погрузка, Разгрузка (Rate/Тариф - 8000 per CBM)                   KRW],"",0,1)</f>
        <v>125202.03</v>
      </c>
      <c r="N37" s="24" cm="1">
        <f t="array" ref="N37">_xlfn.XLOOKUP($A37,ACT[[№]:[№]],ACT[Shoring, Banding, Sealing, Handling/ Крепление, Перевязка, Опечатование, Обработка
KRW],"",0,1)</f>
        <v>50759.601449275367</v>
      </c>
      <c r="O37" s="24" cm="1">
        <f t="array" ref="O37">_xlfn.XLOOKUP($A37,ACT[[№]:[№]],ACT[Documents Work/ Сбор за подготовку документов
KRW],"",0,1)</f>
        <v>13095.87240693379</v>
      </c>
      <c r="P37" s="24" cm="1">
        <f t="array" ref="P37">_xlfn.XLOOKUP($A37,ACT[[№]:[№]],ACT[THC/ Терминальная обработка
KRW],"",0,1)</f>
        <v>48559.494884910491</v>
      </c>
      <c r="Q37" s="24" cm="1">
        <f t="array" ref="Q37">_xlfn.XLOOKUP($A37,ACT[[№]:[№]],ACT[Wharfage/ Портовая пошлина
KRW],"",0,1)</f>
        <v>2383.4487780619497</v>
      </c>
      <c r="R37" s="24" cm="1">
        <f t="array" ref="R37">_xlfn.XLOOKUP($A37,ACT[[№]:[№]],ACT[TRUCKING CHARGE],"",0,1)</f>
        <v>0</v>
      </c>
      <c r="S37" s="24" cm="1">
        <f t="array" ref="S37">_xlfn.XLOOKUP($A37,ACT[[№]:[№]],ACT[FCL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73467.844202898559</v>
      </c>
      <c r="T37" s="24" cm="1">
        <f t="array" ref="T37">_xlfn.XLOOKUP($A37,ACT[[№]:[№]],ACT[Special Wooden Shoring / Специальное деревянное крепление],"",0,1)</f>
        <v>0</v>
      </c>
      <c r="U37" s="9"/>
      <c r="V37" s="24" cm="1">
        <f t="array" ref="V37">_xlfn.XLOOKUP($A37,ACT[[№]:[№]],ACT[Total amount/ Общая стоимость KRW (10+11+12+13+14+15+16)],"",0,1)</f>
        <v>529968.2917220802</v>
      </c>
      <c r="W37" s="24" cm="1">
        <f t="array" ref="W37">_xlfn.XLOOKUP($A37,ACT[[№]:[№]],ACT[Total amount/ Общая стоимость (17*exchange rate/ обменный курс)
 USD],"",0,1)</f>
        <v>417.05</v>
      </c>
      <c r="X37" s="9" t="e" cm="1">
        <f t="array" ref="X37">IF(#REF!="",_xlfn.XLOOKUP("МАКС",#REF!,#REF!,,0,1),#REF!)</f>
        <v>#REF!</v>
      </c>
      <c r="Y37" s="12" t="e">
        <f>VLOOKUP(Шаблон_Формулы[[#This Row],[24]],#REF!,2,0)</f>
        <v>#REF!</v>
      </c>
      <c r="Z37" s="26" t="str">
        <f>IFERROR(Шаблон_Формулы[[#This Row],[23]]*Шаблон_Формулы[[#This Row],[25]],"")</f>
        <v/>
      </c>
      <c r="AA37" s="13" t="e" cm="1">
        <f t="array" ref="AA37">#REF!</f>
        <v>#REF!</v>
      </c>
    </row>
    <row r="38" spans="1:27" s="8" customFormat="1" ht="12">
      <c r="A38" s="11">
        <v>34</v>
      </c>
      <c r="B38" s="8" t="str" cm="1">
        <f t="array" ref="B38">_xlfn.XLOOKUP($A38,ACT[[№]:[№]],ACT[Container No/
№ Контейнера],"",0,1)</f>
        <v>TDTU6402834</v>
      </c>
      <c r="C38" s="8" t="str">
        <f t="shared" si="0"/>
        <v>UzAutoKorea</v>
      </c>
      <c r="D38" s="11" t="str" cm="1">
        <f t="array" ref="D38">_xlfn.XLOOKUP($A38,ACT[[№]:[№]],ACT[Container Type/ 
Тип контейнера],"",0,1)</f>
        <v>40'HC</v>
      </c>
      <c r="E38" s="21" cm="1">
        <f t="array" ref="E38">_xlfn.XLOOKUP($A38,ACT[[№]:[№]],ACT[Date of Dispatch/ 
Дата отгрузки],"",0,1)</f>
        <v>44965</v>
      </c>
      <c r="F38" s="22" t="str" cm="1">
        <f t="array" ref="F38">_xlfn.XLOOKUP($A38,ACT[[№]:[№]],ACT[Supplier/ Поставщик],"",0,1)</f>
        <v>Hanyang Precision</v>
      </c>
      <c r="G38" s="22" t="str" cm="1">
        <f t="array" ref="G38">_xlfn.XLOOKUP($A38,ACT[[№]:[№]],ACT[Supplier Invoice No/                          № Инвойса Поставщика],"",0,1)</f>
        <v>HY230109U(15)</v>
      </c>
      <c r="H38" s="23" cm="1">
        <f t="array" ref="H38">_xlfn.XLOOKUP($A38,ACT[[№]:[№]],ACT[CBM],"",0,1)</f>
        <v>24.72</v>
      </c>
      <c r="I38" s="23" cm="1">
        <f t="array" ref="I38">_xlfn.XLOOKUP($A38,ACT[[№]:[№]],ACT[Gross weight, kg/ Вес брутто, кг],"",0,1)</f>
        <v>18480</v>
      </c>
      <c r="J38" s="23" t="str" cm="1">
        <f t="array" ref="J38">_xlfn.XLOOKUP($A38,ACT[[№]:[№]],ACT[Delivery terms / Условия поставки],"",0,1)</f>
        <v>FCA</v>
      </c>
      <c r="K38" s="23" cm="1">
        <f t="array" ref="K38">_xlfn.XLOOKUP($A38,ACT[[№]:[№]],ACT[Container total CBM],"",0,1)</f>
        <v>56.418999999999997</v>
      </c>
      <c r="L38" s="24" cm="1">
        <f t="array" ref="L38">_xlfn.XLOOKUP($A38,ACT[[№]:[№]],ACT[FTL inland freight cost per Invoice Appendix/ Стоимость внутренней наземной перевозки за инвойс Приложение                     KRW],"",0,1)</f>
        <v>1450500</v>
      </c>
      <c r="M38" s="24" cm="1">
        <f t="array" ref="M38">_xlfn.XLOOKUP($A38,ACT[[№]:[№]],ACT[Consolidation Work, Loading, Unloading/ Работы по консолидации, Погрузка, Разгрузка (Rate/Тариф - 8000 per CBM)                   KRW],"",0,1)</f>
        <v>209872.8</v>
      </c>
      <c r="N38" s="24" cm="1">
        <f t="array" ref="N38">_xlfn.XLOOKUP($A38,ACT[[№]:[№]],ACT[Shoring, Banding, Sealing, Handling/ Крепление, Перевязка, Опечатование, Обработка
KRW],"",0,1)</f>
        <v>84913.522040447351</v>
      </c>
      <c r="O38" s="24" cm="1">
        <f t="array" ref="O38">_xlfn.XLOOKUP($A38,ACT[[№]:[№]],ACT[Documents Work/ Сбор за подготовку документов
KRW],"",0,1)</f>
        <v>21907.513426328005</v>
      </c>
      <c r="P38" s="24" cm="1">
        <f t="array" ref="P38">_xlfn.XLOOKUP($A38,ACT[[№]:[№]],ACT[THC/ Терминальная обработка
KRW],"",0,1)</f>
        <v>81233.059784824247</v>
      </c>
      <c r="Q38" s="24" cm="1">
        <f t="array" ref="Q38">_xlfn.XLOOKUP($A38,ACT[[№]:[№]],ACT[Wharfage/ Портовая пошлина
KRW],"",0,1)</f>
        <v>3987.1674435916966</v>
      </c>
      <c r="R38" s="24" cm="1">
        <f t="array" ref="R38">_xlfn.XLOOKUP($A38,ACT[[№]:[№]],ACT[TRUCKING CHARGE],"",0,1)</f>
        <v>0</v>
      </c>
      <c r="S38" s="24" cm="1">
        <f t="array" ref="S38">_xlfn.XLOOKUP($A38,ACT[[№]:[№]],ACT[FCL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122901.15032170012</v>
      </c>
      <c r="T38" s="24" cm="1">
        <f t="array" ref="T38">_xlfn.XLOOKUP($A38,ACT[[№]:[№]],ACT[Special Wooden Shoring / Специальное деревянное крепление],"",0,1)</f>
        <v>0</v>
      </c>
      <c r="U38" s="9"/>
      <c r="V38" s="24" cm="1">
        <f t="array" ref="V38">_xlfn.XLOOKUP($A38,ACT[[№]:[№]],ACT[Total amount/ Общая стоимость KRW (10+11+12+13+14+15+16)],"",0,1)</f>
        <v>1975315.2130168916</v>
      </c>
      <c r="W38" s="24" cm="1">
        <f t="array" ref="W38">_xlfn.XLOOKUP($A38,ACT[[№]:[№]],ACT[Total amount/ Общая стоимость (17*exchange rate/ обменный курс)
 USD],"",0,1)</f>
        <v>1554.46</v>
      </c>
      <c r="X38" s="9" t="e" cm="1">
        <f t="array" ref="X38">IF(#REF!="",_xlfn.XLOOKUP("МАКС",#REF!,#REF!,,0,1),#REF!)</f>
        <v>#REF!</v>
      </c>
      <c r="Y38" s="12" t="e">
        <f>VLOOKUP(Шаблон_Формулы[[#This Row],[24]],#REF!,2,0)</f>
        <v>#REF!</v>
      </c>
      <c r="Z38" s="26" t="str">
        <f>IFERROR(Шаблон_Формулы[[#This Row],[23]]*Шаблон_Формулы[[#This Row],[25]],"")</f>
        <v/>
      </c>
      <c r="AA38" s="13" t="e" cm="1">
        <f t="array" ref="AA38">#REF!</f>
        <v>#REF!</v>
      </c>
    </row>
    <row r="39" spans="1:27" s="8" customFormat="1" ht="12">
      <c r="A39" s="11">
        <v>35</v>
      </c>
      <c r="B39" s="8" t="str" cm="1">
        <f t="array" ref="B39">_xlfn.XLOOKUP($A39,ACT[[№]:[№]],ACT[Container No/
№ Контейнера],"",0,1)</f>
        <v>TDTU6402834</v>
      </c>
      <c r="C39" s="8" t="str">
        <f t="shared" si="0"/>
        <v>UzAutoKorea</v>
      </c>
      <c r="D39" s="11" t="str" cm="1">
        <f t="array" ref="D39">_xlfn.XLOOKUP($A39,ACT[[№]:[№]],ACT[Container Type/ 
Тип контейнера],"",0,1)</f>
        <v>40'HC</v>
      </c>
      <c r="E39" s="21" cm="1">
        <f t="array" ref="E39">_xlfn.XLOOKUP($A39,ACT[[№]:[№]],ACT[Date of Dispatch/ 
Дата отгрузки],"",0,1)</f>
        <v>44965</v>
      </c>
      <c r="F39" s="22" t="str" cm="1">
        <f t="array" ref="F39">_xlfn.XLOOKUP($A39,ACT[[№]:[№]],ACT[Supplier/ Поставщик],"",0,1)</f>
        <v>Cosmo Eng</v>
      </c>
      <c r="G39" s="22" t="str" cm="1">
        <f t="array" ref="G39">_xlfn.XLOOKUP($A39,ACT[[№]:[№]],ACT[Supplier Invoice No/                          № Инвойса Поставщика],"",0,1)</f>
        <v>UZ230102</v>
      </c>
      <c r="H39" s="23" cm="1">
        <f t="array" ref="H39">_xlfn.XLOOKUP($A39,ACT[[№]:[№]],ACT[CBM],"",0,1)</f>
        <v>31.440999999999999</v>
      </c>
      <c r="I39" s="23" cm="1">
        <f t="array" ref="I39">_xlfn.XLOOKUP($A39,ACT[[№]:[№]],ACT[Gross weight, kg/ Вес брутто, кг],"",0,1)</f>
        <v>2788</v>
      </c>
      <c r="J39" s="23" t="str" cm="1">
        <f t="array" ref="J39">_xlfn.XLOOKUP($A39,ACT[[№]:[№]],ACT[Delivery terms / Условия поставки],"",0,1)</f>
        <v>FCA</v>
      </c>
      <c r="K39" s="23" cm="1">
        <f t="array" ref="K39">_xlfn.XLOOKUP($A39,ACT[[№]:[№]],ACT[Container total CBM],"",0,1)</f>
        <v>56.418999999999997</v>
      </c>
      <c r="L39" s="24" cm="1">
        <f t="array" ref="L39">_xlfn.XLOOKUP($A39,ACT[[№]:[№]],ACT[FTL inland freight cost per Invoice Appendix/ Стоимость внутренней наземной перевозки за инвойс Приложение                     KRW],"",0,1)</f>
        <v>752000</v>
      </c>
      <c r="M39" s="24" cm="1">
        <f t="array" ref="M39">_xlfn.XLOOKUP($A39,ACT[[№]:[№]],ACT[Consolidation Work, Loading, Unloading/ Работы по консолидации, Погрузка, Разгрузка (Rate/Тариф - 8000 per CBM)                   KRW],"",0,1)</f>
        <v>266934.08999999997</v>
      </c>
      <c r="N39" s="24" cm="1">
        <f t="array" ref="N39">_xlfn.XLOOKUP($A39,ACT[[№]:[№]],ACT[Shoring, Banding, Sealing, Handling/ Крепление, Перевязка, Опечатование, Обработка
KRW],"",0,1)</f>
        <v>108000.24459845088</v>
      </c>
      <c r="O39" s="24" cm="1">
        <f t="array" ref="O39">_xlfn.XLOOKUP($A39,ACT[[№]:[№]],ACT[Documents Work/ Сбор за подготовку документов
KRW],"",0,1)</f>
        <v>27863.840195678757</v>
      </c>
      <c r="P39" s="24" cm="1">
        <f t="array" ref="P39">_xlfn.XLOOKUP($A39,ACT[[№]:[№]],ACT[THC/ Терминальная обработка
KRW],"",0,1)</f>
        <v>103319.11944557684</v>
      </c>
      <c r="Q39" s="24" cm="1">
        <f t="array" ref="Q39">_xlfn.XLOOKUP($A39,ACT[[№]:[№]],ACT[Wharfage/ Портовая пошлина
KRW],"",0,1)</f>
        <v>5071.2189156135337</v>
      </c>
      <c r="R39" s="24" cm="1">
        <f t="array" ref="R39">_xlfn.XLOOKUP($A39,ACT[[№]:[№]],ACT[TRUCKING CHARGE],"",0,1)</f>
        <v>0</v>
      </c>
      <c r="S39" s="24" cm="1">
        <f t="array" ref="S39">_xlfn.XLOOKUP($A39,ACT[[№]:[№]],ACT[FCL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156316.14349775782</v>
      </c>
      <c r="T39" s="24" cm="1">
        <f t="array" ref="T39">_xlfn.XLOOKUP($A39,ACT[[№]:[№]],ACT[Special Wooden Shoring / Специальное деревянное крепление],"",0,1)</f>
        <v>0</v>
      </c>
      <c r="U39" s="9"/>
      <c r="V39" s="24" cm="1">
        <f t="array" ref="V39">_xlfn.XLOOKUP($A39,ACT[[№]:[№]],ACT[Total amount/ Общая стоимость KRW (10+11+12+13+14+15+16)],"",0,1)</f>
        <v>1419504.6566530778</v>
      </c>
      <c r="W39" s="24" cm="1">
        <f t="array" ref="W39">_xlfn.XLOOKUP($A39,ACT[[№]:[№]],ACT[Total amount/ Общая стоимость (17*exchange rate/ обменный курс)
 USD],"",0,1)</f>
        <v>1117.07</v>
      </c>
      <c r="X39" s="9" t="e" cm="1">
        <f t="array" ref="X39">IF(#REF!="",_xlfn.XLOOKUP("МАКС",#REF!,#REF!,,0,1),#REF!)</f>
        <v>#REF!</v>
      </c>
      <c r="Y39" s="12" t="e">
        <f>VLOOKUP(Шаблон_Формулы[[#This Row],[24]],#REF!,2,0)</f>
        <v>#REF!</v>
      </c>
      <c r="Z39" s="26" t="str">
        <f>IFERROR(Шаблон_Формулы[[#This Row],[23]]*Шаблон_Формулы[[#This Row],[25]],"")</f>
        <v/>
      </c>
      <c r="AA39" s="13" t="e" cm="1">
        <f t="array" ref="AA39">#REF!</f>
        <v>#REF!</v>
      </c>
    </row>
    <row r="40" spans="1:27" s="8" customFormat="1" ht="12">
      <c r="A40" s="11">
        <v>36</v>
      </c>
      <c r="B40" s="8" t="str" cm="1">
        <f t="array" ref="B40">_xlfn.XLOOKUP($A40,ACT[[№]:[№]],ACT[Container No/
№ Контейнера],"",0,1)</f>
        <v>TDTU6402834</v>
      </c>
      <c r="C40" s="8" t="str">
        <f t="shared" si="0"/>
        <v>UzAutoKorea</v>
      </c>
      <c r="D40" s="11" t="str" cm="1">
        <f t="array" ref="D40">_xlfn.XLOOKUP($A40,ACT[[№]:[№]],ACT[Container Type/ 
Тип контейнера],"",0,1)</f>
        <v>40'HC</v>
      </c>
      <c r="E40" s="21" cm="1">
        <f t="array" ref="E40">_xlfn.XLOOKUP($A40,ACT[[№]:[№]],ACT[Date of Dispatch/ 
Дата отгрузки],"",0,1)</f>
        <v>44965</v>
      </c>
      <c r="F40" s="22" t="str" cm="1">
        <f t="array" ref="F40">_xlfn.XLOOKUP($A40,ACT[[№]:[№]],ACT[Supplier/ Поставщик],"",0,1)</f>
        <v>Cosmo Eng</v>
      </c>
      <c r="G40" s="22" t="str" cm="1">
        <f t="array" ref="G40">_xlfn.XLOOKUP($A40,ACT[[№]:[№]],ACT[Supplier Invoice No/                          № Инвойса Поставщика],"",0,1)</f>
        <v>COSMO230101</v>
      </c>
      <c r="H40" s="23" cm="1">
        <f t="array" ref="H40">_xlfn.XLOOKUP($A40,ACT[[№]:[№]],ACT[CBM],"",0,1)</f>
        <v>0.25800000000000001</v>
      </c>
      <c r="I40" s="23" cm="1">
        <f t="array" ref="I40">_xlfn.XLOOKUP($A40,ACT[[№]:[№]],ACT[Gross weight, kg/ Вес брутто, кг],"",0,1)</f>
        <v>23</v>
      </c>
      <c r="J40" s="23" t="str" cm="1">
        <f t="array" ref="J40">_xlfn.XLOOKUP($A40,ACT[[№]:[№]],ACT[Delivery terms / Условия поставки],"",0,1)</f>
        <v>FCA</v>
      </c>
      <c r="K40" s="23" cm="1">
        <f t="array" ref="K40">_xlfn.XLOOKUP($A40,ACT[[№]:[№]],ACT[Container total CBM],"",0,1)</f>
        <v>56.418999999999997</v>
      </c>
      <c r="L40" s="24" cm="1">
        <f t="array" ref="L40">_xlfn.XLOOKUP($A40,ACT[[№]:[№]],ACT[FTL inland freight cost per Invoice Appendix/ Стоимость внутренней наземной перевозки за инвойс Приложение                     KRW],"",0,1)</f>
        <v>412000</v>
      </c>
      <c r="M40" s="24" cm="1">
        <f t="array" ref="M40">_xlfn.XLOOKUP($A40,ACT[[№]:[№]],ACT[Consolidation Work, Loading, Unloading/ Работы по консолидации, Погрузка, Разгрузка (Rate/Тариф - 8000 per CBM)                   KRW],"",0,1)</f>
        <v>2190.42</v>
      </c>
      <c r="N40" s="24" cm="1">
        <f t="array" ref="N40">_xlfn.XLOOKUP($A40,ACT[[№]:[№]],ACT[Shoring, Banding, Sealing, Handling/ Крепление, Перевязка, Опечатование, Обработка
KRW],"",0,1)</f>
        <v>886.23336110175649</v>
      </c>
      <c r="O40" s="24" cm="1">
        <f t="array" ref="O40">_xlfn.XLOOKUP($A40,ACT[[№]:[№]],ACT[Documents Work/ Сбор за подготовку документов
KRW],"",0,1)</f>
        <v>228.64637799322921</v>
      </c>
      <c r="P40" s="24" cm="1">
        <f t="array" ref="P40">_xlfn.XLOOKUP($A40,ACT[[№]:[№]],ACT[THC/ Терминальная обработка
KRW],"",0,1)</f>
        <v>847.820769598894</v>
      </c>
      <c r="Q40" s="24" cm="1">
        <f t="array" ref="Q40">_xlfn.XLOOKUP($A40,ACT[[№]:[№]],ACT[Wharfage/ Портовая пошлина
KRW],"",0,1)</f>
        <v>41.613640794767718</v>
      </c>
      <c r="R40" s="24" cm="1">
        <f t="array" ref="R40">_xlfn.XLOOKUP($A40,ACT[[№]:[№]],ACT[TRUCKING CHARGE],"",0,1)</f>
        <v>0</v>
      </c>
      <c r="S40" s="24" cm="1">
        <f t="array" ref="S40">_xlfn.XLOOKUP($A40,ACT[[№]:[№]],ACT[FCL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1282.706180542016</v>
      </c>
      <c r="T40" s="24" cm="1">
        <f t="array" ref="T40">_xlfn.XLOOKUP($A40,ACT[[№]:[№]],ACT[Special Wooden Shoring / Специальное деревянное крепление],"",0,1)</f>
        <v>0</v>
      </c>
      <c r="U40" s="9"/>
      <c r="V40" s="24" cm="1">
        <f t="array" ref="V40">_xlfn.XLOOKUP($A40,ACT[[№]:[№]],ACT[Total amount/ Общая стоимость KRW (10+11+12+13+14+15+16)],"",0,1)</f>
        <v>417477.44033003063</v>
      </c>
      <c r="W40" s="24" cm="1">
        <f t="array" ref="W40">_xlfn.XLOOKUP($A40,ACT[[№]:[№]],ACT[Total amount/ Общая стоимость (17*exchange rate/ обменный курс)
 USD],"",0,1)</f>
        <v>328.53</v>
      </c>
      <c r="X40" s="9" t="e" cm="1">
        <f t="array" ref="X40">IF(#REF!="",_xlfn.XLOOKUP("МАКС",#REF!,#REF!,,0,1),#REF!)</f>
        <v>#REF!</v>
      </c>
      <c r="Y40" s="12" t="e">
        <f>VLOOKUP(Шаблон_Формулы[[#This Row],[24]],#REF!,2,0)</f>
        <v>#REF!</v>
      </c>
      <c r="Z40" s="26" t="str">
        <f>IFERROR(Шаблон_Формулы[[#This Row],[23]]*Шаблон_Формулы[[#This Row],[25]],"")</f>
        <v/>
      </c>
      <c r="AA40" s="13" t="e" cm="1">
        <f t="array" ref="AA40">#REF!</f>
        <v>#REF!</v>
      </c>
    </row>
    <row r="41" spans="1:27" s="8" customFormat="1" ht="12">
      <c r="A41" s="11">
        <v>37</v>
      </c>
      <c r="B41" s="8" t="str" cm="1">
        <f t="array" ref="B41">_xlfn.XLOOKUP($A41,ACT[[№]:[№]],ACT[Container No/
№ Контейнера],"",0,1)</f>
        <v>TCNU7519293</v>
      </c>
      <c r="C41" s="8" t="str">
        <f t="shared" si="0"/>
        <v>UzAutoKorea</v>
      </c>
      <c r="D41" s="11" t="str" cm="1">
        <f t="array" ref="D41">_xlfn.XLOOKUP($A41,ACT[[№]:[№]],ACT[Container Type/ 
Тип контейнера],"",0,1)</f>
        <v>40'HC</v>
      </c>
      <c r="E41" s="21" cm="1">
        <f t="array" ref="E41">_xlfn.XLOOKUP($A41,ACT[[№]:[№]],ACT[Date of Dispatch/ 
Дата отгрузки],"",0,1)</f>
        <v>44965</v>
      </c>
      <c r="F41" s="22" t="str" cm="1">
        <f t="array" ref="F41">_xlfn.XLOOKUP($A41,ACT[[№]:[№]],ACT[Supplier/ Поставщик],"",0,1)</f>
        <v>Hanyang Precision</v>
      </c>
      <c r="G41" s="22" t="str" cm="1">
        <f t="array" ref="G41">_xlfn.XLOOKUP($A41,ACT[[№]:[№]],ACT[Supplier Invoice No/                          № Инвойса Поставщика],"",0,1)</f>
        <v>HY230109U(16)</v>
      </c>
      <c r="H41" s="23" cm="1">
        <f t="array" ref="H41">_xlfn.XLOOKUP($A41,ACT[[№]:[№]],ACT[CBM],"",0,1)</f>
        <v>20.518000000000001</v>
      </c>
      <c r="I41" s="23" cm="1">
        <f t="array" ref="I41">_xlfn.XLOOKUP($A41,ACT[[№]:[№]],ACT[Gross weight, kg/ Вес брутто, кг],"",0,1)</f>
        <v>15400</v>
      </c>
      <c r="J41" s="23" t="str" cm="1">
        <f t="array" ref="J41">_xlfn.XLOOKUP($A41,ACT[[№]:[№]],ACT[Delivery terms / Условия поставки],"",0,1)</f>
        <v>FCA</v>
      </c>
      <c r="K41" s="23" cm="1">
        <f t="array" ref="K41">_xlfn.XLOOKUP($A41,ACT[[№]:[№]],ACT[Container total CBM],"",0,1)</f>
        <v>49.645000000000003</v>
      </c>
      <c r="L41" s="24" cm="1">
        <f t="array" ref="L41">_xlfn.XLOOKUP($A41,ACT[[№]:[№]],ACT[FTL inland freight cost per Invoice Appendix/ Стоимость внутренней наземной перевозки за инвойс Приложение                     KRW],"",0,1)</f>
        <v>1384500</v>
      </c>
      <c r="M41" s="24" cm="1">
        <f t="array" ref="M41">_xlfn.XLOOKUP($A41,ACT[[№]:[№]],ACT[Consolidation Work, Loading, Unloading/ Работы по консолидации, Погрузка, Разгрузка (Rate/Тариф - 8000 per CBM)                   KRW],"",0,1)</f>
        <v>174197.82</v>
      </c>
      <c r="N41" s="24" cm="1">
        <f t="array" ref="N41">_xlfn.XLOOKUP($A41,ACT[[№]:[№]],ACT[Shoring, Banding, Sealing, Handling/ Крепление, Перевязка, Опечатование, Обработка
KRW],"",0,1)</f>
        <v>80096.452814986405</v>
      </c>
      <c r="O41" s="24" cm="1">
        <f t="array" ref="O41">_xlfn.XLOOKUP($A41,ACT[[№]:[№]],ACT[Documents Work/ Сбор за подготовку документов
KRW],"",0,1)</f>
        <v>20664.719508510425</v>
      </c>
      <c r="P41" s="24" cm="1">
        <f t="array" ref="P41">_xlfn.XLOOKUP($A41,ACT[[№]:[№]],ACT[THC/ Терминальная обработка
KRW],"",0,1)</f>
        <v>76624.779937556654</v>
      </c>
      <c r="Q41" s="24" cm="1">
        <f t="array" ref="Q41">_xlfn.XLOOKUP($A41,ACT[[№]:[№]],ACT[Wharfage/ Портовая пошлина
KRW],"",0,1)</f>
        <v>3760.978950548897</v>
      </c>
      <c r="R41" s="24" cm="1">
        <f t="array" ref="R41">_xlfn.XLOOKUP($A41,ACT[[№]:[№]],ACT[TRUCKING CHARGE],"",0,1)</f>
        <v>0</v>
      </c>
      <c r="S41" s="24" cm="1">
        <f t="array" ref="S41">_xlfn.XLOOKUP($A41,ACT[[№]:[№]],ACT[FCL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115929.07644274348</v>
      </c>
      <c r="T41" s="24" cm="1">
        <f t="array" ref="T41">_xlfn.XLOOKUP($A41,ACT[[№]:[№]],ACT[Special Wooden Shoring / Специальное деревянное крепление],"",0,1)</f>
        <v>0</v>
      </c>
      <c r="U41" s="9"/>
      <c r="V41" s="24" cm="1">
        <f t="array" ref="V41">_xlfn.XLOOKUP($A41,ACT[[№]:[№]],ACT[Total amount/ Общая стоимость KRW (10+11+12+13+14+15+16)],"",0,1)</f>
        <v>1855773.8276543459</v>
      </c>
      <c r="W41" s="24" cm="1">
        <f t="array" ref="W41">_xlfn.XLOOKUP($A41,ACT[[№]:[№]],ACT[Total amount/ Общая стоимость (17*exchange rate/ обменный курс)
 USD],"",0,1)</f>
        <v>1460.39</v>
      </c>
      <c r="X41" s="9" t="e" cm="1">
        <f t="array" ref="X41">IF(#REF!="",_xlfn.XLOOKUP("МАКС",#REF!,#REF!,,0,1),#REF!)</f>
        <v>#REF!</v>
      </c>
      <c r="Y41" s="12" t="e">
        <f>VLOOKUP(Шаблон_Формулы[[#This Row],[24]],#REF!,2,0)</f>
        <v>#REF!</v>
      </c>
      <c r="Z41" s="26" t="str">
        <f>IFERROR(Шаблон_Формулы[[#This Row],[23]]*Шаблон_Формулы[[#This Row],[25]],"")</f>
        <v/>
      </c>
      <c r="AA41" s="13" t="e" cm="1">
        <f t="array" ref="AA41">#REF!</f>
        <v>#REF!</v>
      </c>
    </row>
    <row r="42" spans="1:27" s="8" customFormat="1" ht="12">
      <c r="A42" s="11">
        <v>38</v>
      </c>
      <c r="B42" s="8" t="str" cm="1">
        <f t="array" ref="B42">_xlfn.XLOOKUP($A42,ACT[[№]:[№]],ACT[Container No/
№ Контейнера],"",0,1)</f>
        <v>TCNU7519293</v>
      </c>
      <c r="C42" s="8" t="str">
        <f t="shared" si="0"/>
        <v>UzAutoKorea</v>
      </c>
      <c r="D42" s="11" t="str" cm="1">
        <f t="array" ref="D42">_xlfn.XLOOKUP($A42,ACT[[№]:[№]],ACT[Container Type/ 
Тип контейнера],"",0,1)</f>
        <v>40'HC</v>
      </c>
      <c r="E42" s="21" cm="1">
        <f t="array" ref="E42">_xlfn.XLOOKUP($A42,ACT[[№]:[№]],ACT[Date of Dispatch/ 
Дата отгрузки],"",0,1)</f>
        <v>44965</v>
      </c>
      <c r="F42" s="22" t="str" cm="1">
        <f t="array" ref="F42">_xlfn.XLOOKUP($A42,ACT[[№]:[№]],ACT[Supplier/ Поставщик],"",0,1)</f>
        <v>UZAUTO KOREA</v>
      </c>
      <c r="G42" s="22" t="str" cm="1">
        <f t="array" ref="G42">_xlfn.XLOOKUP($A42,ACT[[№]:[№]],ACT[Supplier Invoice No/                          № Инвойса Поставщика],"",0,1)</f>
        <v>CNSMT-C230101DW</v>
      </c>
      <c r="H42" s="23" cm="1">
        <f t="array" ref="H42">_xlfn.XLOOKUP($A42,ACT[[№]:[№]],ACT[CBM],"",0,1)</f>
        <v>13.082000000000001</v>
      </c>
      <c r="I42" s="23" cm="1">
        <f t="array" ref="I42">_xlfn.XLOOKUP($A42,ACT[[№]:[№]],ACT[Gross weight, kg/ Вес брутто, кг],"",0,1)</f>
        <v>2893</v>
      </c>
      <c r="J42" s="23" t="str" cm="1">
        <f t="array" ref="J42">_xlfn.XLOOKUP($A42,ACT[[№]:[№]],ACT[Delivery terms / Условия поставки],"",0,1)</f>
        <v>FOB</v>
      </c>
      <c r="K42" s="23" cm="1">
        <f t="array" ref="K42">_xlfn.XLOOKUP($A42,ACT[[№]:[№]],ACT[Container total CBM],"",0,1)</f>
        <v>49.645000000000003</v>
      </c>
      <c r="L42" s="24" cm="1">
        <f t="array" ref="L42">_xlfn.XLOOKUP($A42,ACT[[№]:[№]],ACT[FTL inland freight cost per Invoice Appendix/ Стоимость внутренней наземной перевозки за инвойс Приложение                     KRW],"",0,1)</f>
        <v>0</v>
      </c>
      <c r="M42" s="24" cm="1">
        <f t="array" ref="M42">_xlfn.XLOOKUP($A42,ACT[[№]:[№]],ACT[Consolidation Work, Loading, Unloading/ Работы по консолидации, Погрузка, Разгрузка (Rate/Тариф - 8000 per CBM)                   KRW],"",0,1)</f>
        <v>0</v>
      </c>
      <c r="N42" s="24" cm="1">
        <f t="array" ref="N42">_xlfn.XLOOKUP($A42,ACT[[№]:[№]],ACT[Shoring, Banding, Sealing, Handling/ Крепление, Перевязка, Опечатование, Обработка
KRW],"",0,1)</f>
        <v>0</v>
      </c>
      <c r="O42" s="24" cm="1">
        <f t="array" ref="O42">_xlfn.XLOOKUP($A42,ACT[[№]:[№]],ACT[Documents Work/ Сбор за подготовку документов
KRW],"",0,1)</f>
        <v>0</v>
      </c>
      <c r="P42" s="24" cm="1">
        <f t="array" ref="P42">_xlfn.XLOOKUP($A42,ACT[[№]:[№]],ACT[THC/ Терминальная обработка
KRW],"",0,1)</f>
        <v>0</v>
      </c>
      <c r="Q42" s="24" cm="1">
        <f t="array" ref="Q42">_xlfn.XLOOKUP($A42,ACT[[№]:[№]],ACT[Wharfage/ Портовая пошлина
KRW],"",0,1)</f>
        <v>0</v>
      </c>
      <c r="R42" s="24" cm="1">
        <f t="array" ref="R42">_xlfn.XLOOKUP($A42,ACT[[№]:[№]],ACT[TRUCKING CHARGE],"",0,1)</f>
        <v>0</v>
      </c>
      <c r="S42" s="24" cm="1">
        <f t="array" ref="S42">_xlfn.XLOOKUP($A42,ACT[[№]:[№]],ACT[FCL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42" s="24" cm="1">
        <f t="array" ref="T42">_xlfn.XLOOKUP($A42,ACT[[№]:[№]],ACT[Special Wooden Shoring / Специальное деревянное крепление],"",0,1)</f>
        <v>0</v>
      </c>
      <c r="U42" s="9"/>
      <c r="V42" s="24" cm="1">
        <f t="array" ref="V42">_xlfn.XLOOKUP($A42,ACT[[№]:[№]],ACT[Total amount/ Общая стоимость KRW (10+11+12+13+14+15+16)],"",0,1)</f>
        <v>0</v>
      </c>
      <c r="W42" s="24" cm="1">
        <f t="array" ref="W42">_xlfn.XLOOKUP($A42,ACT[[№]:[№]],ACT[Total amount/ Общая стоимость (17*exchange rate/ обменный курс)
 USD],"",0,1)</f>
        <v>0</v>
      </c>
      <c r="X42" s="9" t="e" cm="1">
        <f t="array" ref="X42">IF(#REF!="",_xlfn.XLOOKUP("МАКС",#REF!,#REF!,,0,1),#REF!)</f>
        <v>#REF!</v>
      </c>
      <c r="Y42" s="12" t="e">
        <f>VLOOKUP(Шаблон_Формулы[[#This Row],[24]],#REF!,2,0)</f>
        <v>#REF!</v>
      </c>
      <c r="Z42" s="26" t="str">
        <f>IFERROR(Шаблон_Формулы[[#This Row],[23]]*Шаблон_Формулы[[#This Row],[25]],"")</f>
        <v/>
      </c>
      <c r="AA42" s="13" t="e" cm="1">
        <f t="array" ref="AA42">#REF!</f>
        <v>#REF!</v>
      </c>
    </row>
    <row r="43" spans="1:27" s="8" customFormat="1" ht="12">
      <c r="A43" s="11">
        <v>39</v>
      </c>
      <c r="B43" s="8" t="str" cm="1">
        <f t="array" ref="B43">_xlfn.XLOOKUP($A43,ACT[[№]:[№]],ACT[Container No/
№ Контейнера],"",0,1)</f>
        <v>TCNU7519293</v>
      </c>
      <c r="C43" s="8" t="str">
        <f t="shared" si="0"/>
        <v>UzAutoKorea</v>
      </c>
      <c r="D43" s="11" t="str" cm="1">
        <f t="array" ref="D43">_xlfn.XLOOKUP($A43,ACT[[№]:[№]],ACT[Container Type/ 
Тип контейнера],"",0,1)</f>
        <v>40'HC</v>
      </c>
      <c r="E43" s="21" cm="1">
        <f t="array" ref="E43">_xlfn.XLOOKUP($A43,ACT[[№]:[№]],ACT[Date of Dispatch/ 
Дата отгрузки],"",0,1)</f>
        <v>44965</v>
      </c>
      <c r="F43" s="22" t="str" cm="1">
        <f t="array" ref="F43">_xlfn.XLOOKUP($A43,ACT[[№]:[№]],ACT[Supplier/ Поставщик],"",0,1)</f>
        <v>UZAUTO KOREA</v>
      </c>
      <c r="G43" s="22" t="str" cm="1">
        <f t="array" ref="G43">_xlfn.XLOOKUP($A43,ACT[[№]:[№]],ACT[Supplier Invoice No/                          № Инвойса Поставщика],"",0,1)</f>
        <v>CNSMT-C230102SM-4</v>
      </c>
      <c r="H43" s="23" cm="1">
        <f t="array" ref="H43">_xlfn.XLOOKUP($A43,ACT[[№]:[№]],ACT[CBM],"",0,1)</f>
        <v>16.045000000000002</v>
      </c>
      <c r="I43" s="23" cm="1">
        <f t="array" ref="I43">_xlfn.XLOOKUP($A43,ACT[[№]:[№]],ACT[Gross weight, kg/ Вес брутто, кг],"",0,1)</f>
        <v>1935</v>
      </c>
      <c r="J43" s="23" t="str" cm="1">
        <f t="array" ref="J43">_xlfn.XLOOKUP($A43,ACT[[№]:[№]],ACT[Delivery terms / Условия поставки],"",0,1)</f>
        <v>FOB</v>
      </c>
      <c r="K43" s="23" cm="1">
        <f t="array" ref="K43">_xlfn.XLOOKUP($A43,ACT[[№]:[№]],ACT[Container total CBM],"",0,1)</f>
        <v>49.645000000000003</v>
      </c>
      <c r="L43" s="24" cm="1">
        <f t="array" ref="L43">_xlfn.XLOOKUP($A43,ACT[[№]:[№]],ACT[FTL inland freight cost per Invoice Appendix/ Стоимость внутренней наземной перевозки за инвойс Приложение                     KRW],"",0,1)</f>
        <v>0</v>
      </c>
      <c r="M43" s="24" cm="1">
        <f t="array" ref="M43">_xlfn.XLOOKUP($A43,ACT[[№]:[№]],ACT[Consolidation Work, Loading, Unloading/ Работы по консолидации, Погрузка, Разгрузка (Rate/Тариф - 8000 per CBM)                   KRW],"",0,1)</f>
        <v>0</v>
      </c>
      <c r="N43" s="24" cm="1">
        <f t="array" ref="N43">_xlfn.XLOOKUP($A43,ACT[[№]:[№]],ACT[Shoring, Banding, Sealing, Handling/ Крепление, Перевязка, Опечатование, Обработка
KRW],"",0,1)</f>
        <v>0</v>
      </c>
      <c r="O43" s="24" cm="1">
        <f t="array" ref="O43">_xlfn.XLOOKUP($A43,ACT[[№]:[№]],ACT[Documents Work/ Сбор за подготовку документов
KRW],"",0,1)</f>
        <v>0</v>
      </c>
      <c r="P43" s="24" cm="1">
        <f t="array" ref="P43">_xlfn.XLOOKUP($A43,ACT[[№]:[№]],ACT[THC/ Терминальная обработка
KRW],"",0,1)</f>
        <v>0</v>
      </c>
      <c r="Q43" s="24" cm="1">
        <f t="array" ref="Q43">_xlfn.XLOOKUP($A43,ACT[[№]:[№]],ACT[Wharfage/ Портовая пошлина
KRW],"",0,1)</f>
        <v>0</v>
      </c>
      <c r="R43" s="24" cm="1">
        <f t="array" ref="R43">_xlfn.XLOOKUP($A43,ACT[[№]:[№]],ACT[TRUCKING CHARGE],"",0,1)</f>
        <v>0</v>
      </c>
      <c r="S43" s="24" cm="1">
        <f t="array" ref="S43">_xlfn.XLOOKUP($A43,ACT[[№]:[№]],ACT[FCL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43" s="24" cm="1">
        <f t="array" ref="T43">_xlfn.XLOOKUP($A43,ACT[[№]:[№]],ACT[Special Wooden Shoring / Специальное деревянное крепление],"",0,1)</f>
        <v>0</v>
      </c>
      <c r="U43" s="9"/>
      <c r="V43" s="24" cm="1">
        <f t="array" ref="V43">_xlfn.XLOOKUP($A43,ACT[[№]:[№]],ACT[Total amount/ Общая стоимость KRW (10+11+12+13+14+15+16)],"",0,1)</f>
        <v>0</v>
      </c>
      <c r="W43" s="24" cm="1">
        <f t="array" ref="W43">_xlfn.XLOOKUP($A43,ACT[[№]:[№]],ACT[Total amount/ Общая стоимость (17*exchange rate/ обменный курс)
 USD],"",0,1)</f>
        <v>0</v>
      </c>
      <c r="X43" s="9" t="e" cm="1">
        <f t="array" ref="X43">IF(#REF!="",_xlfn.XLOOKUP("МАКС",#REF!,#REF!,,0,1),#REF!)</f>
        <v>#REF!</v>
      </c>
      <c r="Y43" s="12" t="e">
        <f>VLOOKUP(Шаблон_Формулы[[#This Row],[24]],#REF!,2,0)</f>
        <v>#REF!</v>
      </c>
      <c r="Z43" s="26" t="str">
        <f>IFERROR(Шаблон_Формулы[[#This Row],[23]]*Шаблон_Формулы[[#This Row],[25]],"")</f>
        <v/>
      </c>
      <c r="AA43" s="13" t="e" cm="1">
        <f t="array" ref="AA43">#REF!</f>
        <v>#REF!</v>
      </c>
    </row>
    <row r="44" spans="1:27" s="8" customFormat="1" ht="12">
      <c r="A44" s="11">
        <v>40</v>
      </c>
      <c r="B44" s="8" t="str" cm="1">
        <f t="array" ref="B44">_xlfn.XLOOKUP($A44,ACT[[№]:[№]],ACT[Container No/
№ Контейнера],"",0,1)</f>
        <v>TGHU9331178</v>
      </c>
      <c r="C44" s="8" t="str">
        <f t="shared" si="0"/>
        <v>UzAutoKorea</v>
      </c>
      <c r="D44" s="11" t="str" cm="1">
        <f t="array" ref="D44">_xlfn.XLOOKUP($A44,ACT[[№]:[№]],ACT[Container Type/ 
Тип контейнера],"",0,1)</f>
        <v>40'HC</v>
      </c>
      <c r="E44" s="21" cm="1">
        <f t="array" ref="E44">_xlfn.XLOOKUP($A44,ACT[[№]:[№]],ACT[Date of Dispatch/ 
Дата отгрузки],"",0,1)</f>
        <v>44965</v>
      </c>
      <c r="F44" s="22" t="str" cm="1">
        <f t="array" ref="F44">_xlfn.XLOOKUP($A44,ACT[[№]:[№]],ACT[Supplier/ Поставщик],"",0,1)</f>
        <v>Hanyang Precision</v>
      </c>
      <c r="G44" s="22" t="str" cm="1">
        <f t="array" ref="G44">_xlfn.XLOOKUP($A44,ACT[[№]:[№]],ACT[Supplier Invoice No/                          № Инвойса Поставщика],"",0,1)</f>
        <v>HY230109U(17)</v>
      </c>
      <c r="H44" s="23" cm="1">
        <f t="array" ref="H44">_xlfn.XLOOKUP($A44,ACT[[№]:[№]],ACT[CBM],"",0,1)</f>
        <v>14.32</v>
      </c>
      <c r="I44" s="23" cm="1">
        <f t="array" ref="I44">_xlfn.XLOOKUP($A44,ACT[[№]:[№]],ACT[Gross weight, kg/ Вес брутто, кг],"",0,1)</f>
        <v>10780</v>
      </c>
      <c r="J44" s="23" t="str" cm="1">
        <f t="array" ref="J44">_xlfn.XLOOKUP($A44,ACT[[№]:[№]],ACT[Delivery terms / Условия поставки],"",0,1)</f>
        <v>FCA</v>
      </c>
      <c r="K44" s="23" cm="1">
        <f t="array" ref="K44">_xlfn.XLOOKUP($A44,ACT[[№]:[№]],ACT[Container total CBM],"",0,1)</f>
        <v>56.81</v>
      </c>
      <c r="L44" s="24" cm="1">
        <f t="array" ref="L44">_xlfn.XLOOKUP($A44,ACT[[№]:[№]],ACT[FTL inland freight cost per Invoice Appendix/ Стоимость внутренней наземной перевозки за инвойс Приложение                     KRW],"",0,1)</f>
        <v>752000</v>
      </c>
      <c r="M44" s="24" cm="1">
        <f t="array" ref="M44">_xlfn.XLOOKUP($A44,ACT[[№]:[№]],ACT[Consolidation Work, Loading, Unloading/ Работы по консолидации, Погрузка, Разгрузка (Rate/Тариф - 8000 per CBM)                   KRW],"",0,1)</f>
        <v>121576.8</v>
      </c>
      <c r="N44" s="24" cm="1">
        <f t="array" ref="N44">_xlfn.XLOOKUP($A44,ACT[[№]:[№]],ACT[Shoring, Banding, Sealing, Handling/ Крепление, Перевязка, Опечатование, Обработка
KRW],"",0,1)</f>
        <v>48850.836120401334</v>
      </c>
      <c r="O44" s="24" cm="1">
        <f t="array" ref="O44">_xlfn.XLOOKUP($A44,ACT[[№]:[№]],ACT[Documents Work/ Сбор за подготовку документов
KRW],"",0,1)</f>
        <v>12603.414891744413</v>
      </c>
      <c r="P44" s="24" cm="1">
        <f t="array" ref="P44">_xlfn.XLOOKUP($A44,ACT[[№]:[№]],ACT[THC/ Терминальная обработка
KRW],"",0,1)</f>
        <v>46733.462418588271</v>
      </c>
      <c r="Q44" s="24" cm="1">
        <f t="array" ref="Q44">_xlfn.XLOOKUP($A44,ACT[[№]:[№]],ACT[Wharfage/ Портовая пошлина
KRW],"",0,1)</f>
        <v>2293.8215102974827</v>
      </c>
      <c r="R44" s="24" cm="1">
        <f t="array" ref="R44">_xlfn.XLOOKUP($A44,ACT[[№]:[№]],ACT[TRUCKING CHARGE],"",0,1)</f>
        <v>0</v>
      </c>
      <c r="S44" s="24" cm="1">
        <f t="array" ref="S44">_xlfn.XLOOKUP($A44,ACT[[№]:[№]],ACT[FCL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70705.157542686138</v>
      </c>
      <c r="T44" s="24" cm="1">
        <f t="array" ref="T44">_xlfn.XLOOKUP($A44,ACT[[№]:[№]],ACT[Special Wooden Shoring / Специальное деревянное крепление],"",0,1)</f>
        <v>0</v>
      </c>
      <c r="U44" s="9"/>
      <c r="V44" s="24" cm="1">
        <f t="array" ref="V44">_xlfn.XLOOKUP($A44,ACT[[№]:[№]],ACT[Total amount/ Общая стоимость KRW (10+11+12+13+14+15+16)],"",0,1)</f>
        <v>1054763.4924837176</v>
      </c>
      <c r="W44" s="24" cm="1">
        <f t="array" ref="W44">_xlfn.XLOOKUP($A44,ACT[[№]:[№]],ACT[Total amount/ Общая стоимость (17*exchange rate/ обменный курс)
 USD],"",0,1)</f>
        <v>830.04</v>
      </c>
      <c r="X44" s="9" t="e" cm="1">
        <f t="array" ref="X44">IF(#REF!="",_xlfn.XLOOKUP("МАКС",#REF!,#REF!,,0,1),#REF!)</f>
        <v>#REF!</v>
      </c>
      <c r="Y44" s="12" t="e">
        <f>VLOOKUP(Шаблон_Формулы[[#This Row],[24]],#REF!,2,0)</f>
        <v>#REF!</v>
      </c>
      <c r="Z44" s="26" t="str">
        <f>IFERROR(Шаблон_Формулы[[#This Row],[23]]*Шаблон_Формулы[[#This Row],[25]],"")</f>
        <v/>
      </c>
      <c r="AA44" s="13" t="e" cm="1">
        <f t="array" ref="AA44">#REF!</f>
        <v>#REF!</v>
      </c>
    </row>
    <row r="45" spans="1:27" s="8" customFormat="1" ht="12">
      <c r="A45" s="11">
        <v>41</v>
      </c>
      <c r="B45" s="8" t="str" cm="1">
        <f t="array" ref="B45">_xlfn.XLOOKUP($A45,ACT[[№]:[№]],ACT[Container No/
№ Контейнера],"",0,1)</f>
        <v>TGHU9331178</v>
      </c>
      <c r="C45" s="8" t="str">
        <f t="shared" si="0"/>
        <v>UzAutoKorea</v>
      </c>
      <c r="D45" s="11" t="str" cm="1">
        <f t="array" ref="D45">_xlfn.XLOOKUP($A45,ACT[[№]:[№]],ACT[Container Type/ 
Тип контейнера],"",0,1)</f>
        <v>40'HC</v>
      </c>
      <c r="E45" s="21" cm="1">
        <f t="array" ref="E45">_xlfn.XLOOKUP($A45,ACT[[№]:[№]],ACT[Date of Dispatch/ 
Дата отгрузки],"",0,1)</f>
        <v>44965</v>
      </c>
      <c r="F45" s="22" t="str" cm="1">
        <f t="array" ref="F45">_xlfn.XLOOKUP($A45,ACT[[№]:[№]],ACT[Supplier/ Поставщик],"",0,1)</f>
        <v>Cosmo Eng</v>
      </c>
      <c r="G45" s="22" t="str" cm="1">
        <f t="array" ref="G45">_xlfn.XLOOKUP($A45,ACT[[№]:[№]],ACT[Supplier Invoice No/                          № Инвойса Поставщика],"",0,1)</f>
        <v>GUZ230102(1)</v>
      </c>
      <c r="H45" s="23" cm="1">
        <f t="array" ref="H45">_xlfn.XLOOKUP($A45,ACT[[№]:[№]],ACT[CBM],"",0,1)</f>
        <v>27.094999999999999</v>
      </c>
      <c r="I45" s="23" cm="1">
        <f t="array" ref="I45">_xlfn.XLOOKUP($A45,ACT[[№]:[№]],ACT[Gross weight, kg/ Вес брутто, кг],"",0,1)</f>
        <v>1908</v>
      </c>
      <c r="J45" s="23" t="str" cm="1">
        <f t="array" ref="J45">_xlfn.XLOOKUP($A45,ACT[[№]:[№]],ACT[Delivery terms / Условия поставки],"",0,1)</f>
        <v>FCA</v>
      </c>
      <c r="K45" s="23" cm="1">
        <f t="array" ref="K45">_xlfn.XLOOKUP($A45,ACT[[№]:[№]],ACT[Container total CBM],"",0,1)</f>
        <v>56.81</v>
      </c>
      <c r="L45" s="24" cm="1">
        <f t="array" ref="L45">_xlfn.XLOOKUP($A45,ACT[[№]:[№]],ACT[FTL inland freight cost per Invoice Appendix/ Стоимость внутренней наземной перевозки за инвойс Приложение                     KRW],"",0,1)</f>
        <v>752000</v>
      </c>
      <c r="M45" s="24" cm="1">
        <f t="array" ref="M45">_xlfn.XLOOKUP($A45,ACT[[№]:[№]],ACT[Consolidation Work, Loading, Unloading/ Работы по консолидации, Погрузка, Разгрузка (Rate/Тариф - 8000 per CBM)                   KRW],"",0,1)</f>
        <v>230036.55</v>
      </c>
      <c r="N45" s="24" cm="1">
        <f t="array" ref="N45">_xlfn.XLOOKUP($A45,ACT[[№]:[№]],ACT[Shoring, Banding, Sealing, Handling/ Крепление, Перевязка, Опечатование, Обработка
KRW],"",0,1)</f>
        <v>92431.103678929765</v>
      </c>
      <c r="O45" s="24" cm="1">
        <f t="array" ref="O45">_xlfn.XLOOKUP($A45,ACT[[№]:[№]],ACT[Documents Work/ Сбор за подготовку документов
KRW],"",0,1)</f>
        <v>23847.033972892095</v>
      </c>
      <c r="P45" s="24" cm="1">
        <f t="array" ref="P45">_xlfn.XLOOKUP($A45,ACT[[№]:[№]],ACT[THC/ Терминальная обработка
KRW],"",0,1)</f>
        <v>88424.801971483888</v>
      </c>
      <c r="Q45" s="24" cm="1">
        <f t="array" ref="Q45">_xlfn.XLOOKUP($A45,ACT[[№]:[№]],ACT[Wharfage/ Портовая пошлина
KRW],"",0,1)</f>
        <v>4340.1601830663612</v>
      </c>
      <c r="R45" s="24" cm="1">
        <f t="array" ref="R45">_xlfn.XLOOKUP($A45,ACT[[№]:[№]],ACT[TRUCKING CHARGE],"",0,1)</f>
        <v>0</v>
      </c>
      <c r="S45" s="24" cm="1">
        <f t="array" ref="S45">_xlfn.XLOOKUP($A45,ACT[[№]:[№]],ACT[FCL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133781.86058792466</v>
      </c>
      <c r="T45" s="24" cm="1">
        <f t="array" ref="T45">_xlfn.XLOOKUP($A45,ACT[[№]:[№]],ACT[Special Wooden Shoring / Специальное деревянное крепление],"",0,1)</f>
        <v>0</v>
      </c>
      <c r="U45" s="9"/>
      <c r="V45" s="24" cm="1">
        <f t="array" ref="V45">_xlfn.XLOOKUP($A45,ACT[[№]:[№]],ACT[Total amount/ Общая стоимость KRW (10+11+12+13+14+15+16)],"",0,1)</f>
        <v>1324861.5103942968</v>
      </c>
      <c r="W45" s="24" cm="1">
        <f t="array" ref="W45">_xlfn.XLOOKUP($A45,ACT[[№]:[№]],ACT[Total amount/ Общая стоимость (17*exchange rate/ обменный курс)
 USD],"",0,1)</f>
        <v>1042.5899999999999</v>
      </c>
      <c r="X45" s="9" t="e" cm="1">
        <f t="array" ref="X45">IF(#REF!="",_xlfn.XLOOKUP("МАКС",#REF!,#REF!,,0,1),#REF!)</f>
        <v>#REF!</v>
      </c>
      <c r="Y45" s="12" t="e">
        <f>VLOOKUP(Шаблон_Формулы[[#This Row],[24]],#REF!,2,0)</f>
        <v>#REF!</v>
      </c>
      <c r="Z45" s="26" t="str">
        <f>IFERROR(Шаблон_Формулы[[#This Row],[23]]*Шаблон_Формулы[[#This Row],[25]],"")</f>
        <v/>
      </c>
      <c r="AA45" s="13" t="e" cm="1">
        <f t="array" ref="AA45">#REF!</f>
        <v>#REF!</v>
      </c>
    </row>
    <row r="46" spans="1:27" s="8" customFormat="1" ht="12">
      <c r="A46" s="11">
        <v>42</v>
      </c>
      <c r="B46" s="8" t="str" cm="1">
        <f t="array" ref="B46">_xlfn.XLOOKUP($A46,ACT[[№]:[№]],ACT[Container No/
№ Контейнера],"",0,1)</f>
        <v>TGHU9331178</v>
      </c>
      <c r="C46" s="8" t="str">
        <f t="shared" si="0"/>
        <v>UzAutoKorea</v>
      </c>
      <c r="D46" s="11" t="str" cm="1">
        <f t="array" ref="D46">_xlfn.XLOOKUP($A46,ACT[[№]:[№]],ACT[Container Type/ 
Тип контейнера],"",0,1)</f>
        <v>40'HC</v>
      </c>
      <c r="E46" s="21" cm="1">
        <f t="array" ref="E46">_xlfn.XLOOKUP($A46,ACT[[№]:[№]],ACT[Date of Dispatch/ 
Дата отгрузки],"",0,1)</f>
        <v>44965</v>
      </c>
      <c r="F46" s="22" t="str" cm="1">
        <f t="array" ref="F46">_xlfn.XLOOKUP($A46,ACT[[№]:[№]],ACT[Supplier/ Поставщик],"",0,1)</f>
        <v>Daewonkangup (DWKU)</v>
      </c>
      <c r="G46" s="22" t="str" cm="1">
        <f t="array" ref="G46">_xlfn.XLOOKUP($A46,ACT[[№]:[№]],ACT[Supplier Invoice No/                          № Инвойса Поставщика],"",0,1)</f>
        <v>DW230102</v>
      </c>
      <c r="H46" s="23" cm="1">
        <f t="array" ref="H46">_xlfn.XLOOKUP($A46,ACT[[№]:[№]],ACT[CBM],"",0,1)</f>
        <v>9.36</v>
      </c>
      <c r="I46" s="23" cm="1">
        <f t="array" ref="I46">_xlfn.XLOOKUP($A46,ACT[[№]:[№]],ACT[Gross weight, kg/ Вес брутто, кг],"",0,1)</f>
        <v>3864</v>
      </c>
      <c r="J46" s="23" t="str" cm="1">
        <f t="array" ref="J46">_xlfn.XLOOKUP($A46,ACT[[№]:[№]],ACT[Delivery terms / Условия поставки],"",0,1)</f>
        <v>FCA</v>
      </c>
      <c r="K46" s="23" cm="1">
        <f t="array" ref="K46">_xlfn.XLOOKUP($A46,ACT[[№]:[№]],ACT[Container total CBM],"",0,1)</f>
        <v>56.81</v>
      </c>
      <c r="L46" s="24" cm="1">
        <f t="array" ref="L46">_xlfn.XLOOKUP($A46,ACT[[№]:[№]],ACT[FTL inland freight cost per Invoice Appendix/ Стоимость внутренней наземной перевозки за инвойс Приложение                     KRW],"",0,1)</f>
        <v>593000</v>
      </c>
      <c r="M46" s="24" cm="1">
        <f t="array" ref="M46">_xlfn.XLOOKUP($A46,ACT[[№]:[№]],ACT[Consolidation Work, Loading, Unloading/ Работы по консолидации, Погрузка, Разгрузка (Rate/Тариф - 8000 per CBM)                   KRW],"",0,1)</f>
        <v>79466.399999999994</v>
      </c>
      <c r="N46" s="24" cm="1">
        <f t="array" ref="N46">_xlfn.XLOOKUP($A46,ACT[[№]:[№]],ACT[Shoring, Banding, Sealing, Handling/ Крепление, Перевязка, Опечатование, Обработка
KRW],"",0,1)</f>
        <v>31930.434782608696</v>
      </c>
      <c r="O46" s="24" cm="1">
        <f t="array" ref="O46">_xlfn.XLOOKUP($A46,ACT[[№]:[№]],ACT[Documents Work/ Сбор за подготовку документов
KRW],"",0,1)</f>
        <v>8237.9862700228823</v>
      </c>
      <c r="P46" s="24" cm="1">
        <f t="array" ref="P46">_xlfn.XLOOKUP($A46,ACT[[№]:[№]],ACT[THC/ Терминальная обработка
KRW],"",0,1)</f>
        <v>30546.453089244849</v>
      </c>
      <c r="Q46" s="24" cm="1">
        <f t="array" ref="Q46">_xlfn.XLOOKUP($A46,ACT[[№]:[№]],ACT[Wharfage/ Портовая пошлина
KRW],"",0,1)</f>
        <v>1499.3135011441648</v>
      </c>
      <c r="R46" s="24" cm="1">
        <f t="array" ref="R46">_xlfn.XLOOKUP($A46,ACT[[№]:[№]],ACT[TRUCKING CHARGE],"",0,1)</f>
        <v>0</v>
      </c>
      <c r="S46" s="24" cm="1">
        <f t="array" ref="S46">_xlfn.XLOOKUP($A46,ACT[[№]:[№]],ACT[FCL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46215.102974828376</v>
      </c>
      <c r="T46" s="24" cm="1">
        <f t="array" ref="T46">_xlfn.XLOOKUP($A46,ACT[[№]:[№]],ACT[Special Wooden Shoring / Специальное деревянное крепление],"",0,1)</f>
        <v>0</v>
      </c>
      <c r="U46" s="9"/>
      <c r="V46" s="24" cm="1">
        <f t="array" ref="V46">_xlfn.XLOOKUP($A46,ACT[[№]:[№]],ACT[Total amount/ Общая стоимость KRW (10+11+12+13+14+15+16)],"",0,1)</f>
        <v>790895.690617849</v>
      </c>
      <c r="W46" s="24" cm="1">
        <f t="array" ref="W46">_xlfn.XLOOKUP($A46,ACT[[№]:[№]],ACT[Total amount/ Общая стоимость (17*exchange rate/ обменный курс)
 USD],"",0,1)</f>
        <v>622.39</v>
      </c>
      <c r="X46" s="9" t="e" cm="1">
        <f t="array" ref="X46">IF(#REF!="",_xlfn.XLOOKUP("МАКС",#REF!,#REF!,,0,1),#REF!)</f>
        <v>#REF!</v>
      </c>
      <c r="Y46" s="12" t="e">
        <f>VLOOKUP(Шаблон_Формулы[[#This Row],[24]],#REF!,2,0)</f>
        <v>#REF!</v>
      </c>
      <c r="Z46" s="26" t="str">
        <f>IFERROR(Шаблон_Формулы[[#This Row],[23]]*Шаблон_Формулы[[#This Row],[25]],"")</f>
        <v/>
      </c>
      <c r="AA46" s="13" t="e" cm="1">
        <f t="array" ref="AA46">#REF!</f>
        <v>#REF!</v>
      </c>
    </row>
    <row r="47" spans="1:27" s="8" customFormat="1" ht="12">
      <c r="A47" s="11">
        <v>43</v>
      </c>
      <c r="B47" s="8" t="str" cm="1">
        <f t="array" ref="B47">_xlfn.XLOOKUP($A47,ACT[[№]:[№]],ACT[Container No/
№ Контейнера],"",0,1)</f>
        <v>TGHU9331178</v>
      </c>
      <c r="C47" s="8" t="str">
        <f t="shared" si="0"/>
        <v>UzAutoKorea</v>
      </c>
      <c r="D47" s="11" t="str" cm="1">
        <f t="array" ref="D47">_xlfn.XLOOKUP($A47,ACT[[№]:[№]],ACT[Container Type/ 
Тип контейнера],"",0,1)</f>
        <v>40'HC</v>
      </c>
      <c r="E47" s="21" cm="1">
        <f t="array" ref="E47">_xlfn.XLOOKUP($A47,ACT[[№]:[№]],ACT[Date of Dispatch/ 
Дата отгрузки],"",0,1)</f>
        <v>44965</v>
      </c>
      <c r="F47" s="22" t="str" cm="1">
        <f t="array" ref="F47">_xlfn.XLOOKUP($A47,ACT[[№]:[№]],ACT[Supplier/ Поставщик],"",0,1)</f>
        <v>Samwon (GEM Project)</v>
      </c>
      <c r="G47" s="22" t="str" cm="1">
        <f t="array" ref="G47">_xlfn.XLOOKUP($A47,ACT[[№]:[№]],ACT[Supplier Invoice No/                          № Инвойса Поставщика],"",0,1)</f>
        <v>UZATK0035(1)</v>
      </c>
      <c r="H47" s="23" cm="1">
        <f t="array" ref="H47">_xlfn.XLOOKUP($A47,ACT[[№]:[№]],ACT[CBM],"",0,1)</f>
        <v>6.0350000000000001</v>
      </c>
      <c r="I47" s="23" cm="1">
        <f t="array" ref="I47">_xlfn.XLOOKUP($A47,ACT[[№]:[№]],ACT[Gross weight, kg/ Вес брутто, кг],"",0,1)</f>
        <v>1070.76</v>
      </c>
      <c r="J47" s="23" t="str" cm="1">
        <f t="array" ref="J47">_xlfn.XLOOKUP($A47,ACT[[№]:[№]],ACT[Delivery terms / Условия поставки],"",0,1)</f>
        <v>FCA</v>
      </c>
      <c r="K47" s="23" cm="1">
        <f t="array" ref="K47">_xlfn.XLOOKUP($A47,ACT[[№]:[№]],ACT[Container total CBM],"",0,1)</f>
        <v>56.81</v>
      </c>
      <c r="L47" s="24" cm="1">
        <f t="array" ref="L47">_xlfn.XLOOKUP($A47,ACT[[№]:[№]],ACT[FTL inland freight cost per Invoice Appendix/ Стоимость внутренней наземной перевозки за инвойс Приложение                     KRW],"",0,1)</f>
        <v>154500</v>
      </c>
      <c r="M47" s="24" cm="1">
        <f t="array" ref="M47">_xlfn.XLOOKUP($A47,ACT[[№]:[№]],ACT[Consolidation Work, Loading, Unloading/ Работы по консолидации, Погрузка, Разгрузка (Rate/Тариф - 8000 per CBM)                   KRW],"",0,1)</f>
        <v>51237.15</v>
      </c>
      <c r="N47" s="24" cm="1">
        <f t="array" ref="N47">_xlfn.XLOOKUP($A47,ACT[[№]:[№]],ACT[Shoring, Banding, Sealing, Handling/ Крепление, Перевязка, Опечатование, Обработка
KRW],"",0,1)</f>
        <v>20587.625418060201</v>
      </c>
      <c r="O47" s="24" cm="1">
        <f t="array" ref="O47">_xlfn.XLOOKUP($A47,ACT[[№]:[№]],ACT[Documents Work/ Сбор за подготовку документов
KRW],"",0,1)</f>
        <v>5311.5648653406088</v>
      </c>
      <c r="P47" s="24" cm="1">
        <f t="array" ref="P47">_xlfn.XLOOKUP($A47,ACT[[№]:[№]],ACT[THC/ Терминальная обработка
KRW],"",0,1)</f>
        <v>19695.282520682977</v>
      </c>
      <c r="Q47" s="24" cm="1">
        <f t="array" ref="Q47">_xlfn.XLOOKUP($A47,ACT[[№]:[№]],ACT[Wharfage/ Портовая пошлина
KRW],"",0,1)</f>
        <v>966.70480549199067</v>
      </c>
      <c r="R47" s="24" cm="1">
        <f t="array" ref="R47">_xlfn.XLOOKUP($A47,ACT[[№]:[№]],ACT[TRUCKING CHARGE],"",0,1)</f>
        <v>0</v>
      </c>
      <c r="S47" s="24" cm="1">
        <f t="array" ref="S47">_xlfn.XLOOKUP($A47,ACT[[№]:[№]],ACT[FCL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29797.878894560818</v>
      </c>
      <c r="T47" s="24" cm="1">
        <f t="array" ref="T47">_xlfn.XLOOKUP($A47,ACT[[№]:[№]],ACT[Special Wooden Shoring / Специальное деревянное крепление],"",0,1)</f>
        <v>0</v>
      </c>
      <c r="U47" s="9"/>
      <c r="V47" s="24" cm="1">
        <f t="array" ref="V47">_xlfn.XLOOKUP($A47,ACT[[№]:[№]],ACT[Total amount/ Общая стоимость KRW (10+11+12+13+14+15+16)],"",0,1)</f>
        <v>282096.20650413656</v>
      </c>
      <c r="W47" s="24" cm="1">
        <f t="array" ref="W47">_xlfn.XLOOKUP($A47,ACT[[№]:[№]],ACT[Total amount/ Общая стоимость (17*exchange rate/ обменный курс)
 USD],"",0,1)</f>
        <v>221.99</v>
      </c>
      <c r="X47" s="9" t="e" cm="1">
        <f t="array" ref="X47">IF(#REF!="",_xlfn.XLOOKUP("МАКС",#REF!,#REF!,,0,1),#REF!)</f>
        <v>#REF!</v>
      </c>
      <c r="Y47" s="12" t="e">
        <f>VLOOKUP(Шаблон_Формулы[[#This Row],[24]],#REF!,2,0)</f>
        <v>#REF!</v>
      </c>
      <c r="Z47" s="26" t="str">
        <f>IFERROR(Шаблон_Формулы[[#This Row],[23]]*Шаблон_Формулы[[#This Row],[25]],"")</f>
        <v/>
      </c>
      <c r="AA47" s="13" t="e" cm="1">
        <f t="array" ref="AA47">#REF!</f>
        <v>#REF!</v>
      </c>
    </row>
    <row r="48" spans="1:27" s="8" customFormat="1" ht="12">
      <c r="A48" s="11">
        <v>44</v>
      </c>
      <c r="B48" s="8" t="str" cm="1">
        <f t="array" ref="B48">_xlfn.XLOOKUP($A48,ACT[[№]:[№]],ACT[Container No/
№ Контейнера],"",0,1)</f>
        <v>CLHU9108256</v>
      </c>
      <c r="C48" s="8" t="str">
        <f t="shared" si="0"/>
        <v>UzAutoKorea</v>
      </c>
      <c r="D48" s="11" t="str" cm="1">
        <f t="array" ref="D48">_xlfn.XLOOKUP($A48,ACT[[№]:[№]],ACT[Container Type/ 
Тип контейнера],"",0,1)</f>
        <v>40'HC</v>
      </c>
      <c r="E48" s="21" cm="1">
        <f t="array" ref="E48">_xlfn.XLOOKUP($A48,ACT[[№]:[№]],ACT[Date of Dispatch/ 
Дата отгрузки],"",0,1)</f>
        <v>44965</v>
      </c>
      <c r="F48" s="22" t="str" cm="1">
        <f t="array" ref="F48">_xlfn.XLOOKUP($A48,ACT[[№]:[№]],ACT[Supplier/ Поставщик],"",0,1)</f>
        <v>Cosmo Eng</v>
      </c>
      <c r="G48" s="22" t="str" cm="1">
        <f t="array" ref="G48">_xlfn.XLOOKUP($A48,ACT[[№]:[№]],ACT[Supplier Invoice No/                          № Инвойса Поставщика],"",0,1)</f>
        <v>GUZ230102(2)</v>
      </c>
      <c r="H48" s="23" cm="1">
        <f t="array" ref="H48">_xlfn.XLOOKUP($A48,ACT[[№]:[№]],ACT[CBM],"",0,1)</f>
        <v>54.19</v>
      </c>
      <c r="I48" s="23" cm="1">
        <f t="array" ref="I48">_xlfn.XLOOKUP($A48,ACT[[№]:[№]],ACT[Gross weight, kg/ Вес брутто, кг],"",0,1)</f>
        <v>3815</v>
      </c>
      <c r="J48" s="23" t="str" cm="1">
        <f t="array" ref="J48">_xlfn.XLOOKUP($A48,ACT[[№]:[№]],ACT[Delivery terms / Условия поставки],"",0,1)</f>
        <v>FCA</v>
      </c>
      <c r="K48" s="23" cm="1">
        <f t="array" ref="K48">_xlfn.XLOOKUP($A48,ACT[[№]:[№]],ACT[Container total CBM],"",0,1)</f>
        <v>54.19</v>
      </c>
      <c r="L48" s="24" cm="1">
        <f t="array" ref="L48">_xlfn.XLOOKUP($A48,ACT[[№]:[№]],ACT[FTL inland freight cost per Invoice Appendix/ Стоимость внутренней наземной перевозки за инвойс Приложение                     KRW],"",0,1)</f>
        <v>1504000</v>
      </c>
      <c r="M48" s="24" cm="1">
        <f t="array" ref="M48">_xlfn.XLOOKUP($A48,ACT[[№]:[№]],ACT[Consolidation Work, Loading, Unloading/ Работы по консолидации, Погрузка, Разгрузка (Rate/Тариф - 8000 per CBM)                   KRW],"",0,1)</f>
        <v>460073.1</v>
      </c>
      <c r="N48" s="24" cm="1">
        <f t="array" ref="N48">_xlfn.XLOOKUP($A48,ACT[[№]:[№]],ACT[Shoring, Banding, Sealing, Handling/ Крепление, Перевязка, Опечатование, Обработка
KRW],"",0,1)</f>
        <v>193800</v>
      </c>
      <c r="O48" s="24" cm="1">
        <f t="array" ref="O48">_xlfn.XLOOKUP($A48,ACT[[№]:[№]],ACT[Documents Work/ Сбор за подготовку документов
KRW],"",0,1)</f>
        <v>50000</v>
      </c>
      <c r="P48" s="24" cm="1">
        <f t="array" ref="P48">_xlfn.XLOOKUP($A48,ACT[[№]:[№]],ACT[THC/ Терминальная обработка
KRW],"",0,1)</f>
        <v>185400</v>
      </c>
      <c r="Q48" s="24" cm="1">
        <f t="array" ref="Q48">_xlfn.XLOOKUP($A48,ACT[[№]:[№]],ACT[Wharfage/ Портовая пошлина
KRW],"",0,1)</f>
        <v>9100</v>
      </c>
      <c r="R48" s="24" cm="1">
        <f t="array" ref="R48">_xlfn.XLOOKUP($A48,ACT[[№]:[№]],ACT[TRUCKING CHARGE],"",0,1)</f>
        <v>0</v>
      </c>
      <c r="S48" s="24" cm="1">
        <f t="array" ref="S48">_xlfn.XLOOKUP($A48,ACT[[№]:[№]],ACT[FCL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280500</v>
      </c>
      <c r="T48" s="24" cm="1">
        <f t="array" ref="T48">_xlfn.XLOOKUP($A48,ACT[[№]:[№]],ACT[Special Wooden Shoring / Специальное деревянное крепление],"",0,1)</f>
        <v>0</v>
      </c>
      <c r="U48" s="9"/>
      <c r="V48" s="24" cm="1">
        <f t="array" ref="V48">_xlfn.XLOOKUP($A48,ACT[[№]:[№]],ACT[Total amount/ Общая стоимость KRW (10+11+12+13+14+15+16)],"",0,1)</f>
        <v>2682873.1</v>
      </c>
      <c r="W48" s="24" cm="1">
        <f t="array" ref="W48">_xlfn.XLOOKUP($A48,ACT[[№]:[№]],ACT[Total amount/ Общая стоимость (17*exchange rate/ обменный курс)
 USD],"",0,1)</f>
        <v>2111.27</v>
      </c>
      <c r="X48" s="9" t="e" cm="1">
        <f t="array" ref="X48">IF(#REF!="",_xlfn.XLOOKUP("МАКС",#REF!,#REF!,,0,1),#REF!)</f>
        <v>#REF!</v>
      </c>
      <c r="Y48" s="12" t="e">
        <f>VLOOKUP(Шаблон_Формулы[[#This Row],[24]],#REF!,2,0)</f>
        <v>#REF!</v>
      </c>
      <c r="Z48" s="26" t="str">
        <f>IFERROR(Шаблон_Формулы[[#This Row],[23]]*Шаблон_Формулы[[#This Row],[25]],"")</f>
        <v/>
      </c>
      <c r="AA48" s="13" t="e" cm="1">
        <f t="array" ref="AA48">#REF!</f>
        <v>#REF!</v>
      </c>
    </row>
    <row r="49" spans="1:27" s="8" customFormat="1" ht="12">
      <c r="A49" s="11">
        <v>45</v>
      </c>
      <c r="B49" s="8" t="str" cm="1">
        <f t="array" ref="B49">_xlfn.XLOOKUP($A49,ACT[[№]:[№]],ACT[Container No/
№ Контейнера],"",0,1)</f>
        <v>TTNU9911618</v>
      </c>
      <c r="C49" s="8" t="str">
        <f t="shared" si="0"/>
        <v>UzAutoKorea</v>
      </c>
      <c r="D49" s="11" t="str" cm="1">
        <f t="array" ref="D49">_xlfn.XLOOKUP($A49,ACT[[№]:[№]],ACT[Container Type/ 
Тип контейнера],"",0,1)</f>
        <v>40'HC</v>
      </c>
      <c r="E49" s="21" cm="1">
        <f t="array" ref="E49">_xlfn.XLOOKUP($A49,ACT[[№]:[№]],ACT[Date of Dispatch/ 
Дата отгрузки],"",0,1)</f>
        <v>44965</v>
      </c>
      <c r="F49" s="22" t="str" cm="1">
        <f t="array" ref="F49">_xlfn.XLOOKUP($A49,ACT[[№]:[№]],ACT[Supplier/ Поставщик],"",0,1)</f>
        <v>Schaeffler Ansan</v>
      </c>
      <c r="G49" s="22" t="str" cm="1">
        <f t="array" ref="G49">_xlfn.XLOOKUP($A49,ACT[[№]:[№]],ACT[Supplier Invoice No/                          № Инвойса Поставщика],"",0,1)</f>
        <v>198523074</v>
      </c>
      <c r="H49" s="23" cm="1">
        <f t="array" ref="H49">_xlfn.XLOOKUP($A49,ACT[[№]:[№]],ACT[CBM],"",0,1)</f>
        <v>9.8049999999999997</v>
      </c>
      <c r="I49" s="23" cm="1">
        <f t="array" ref="I49">_xlfn.XLOOKUP($A49,ACT[[№]:[№]],ACT[Gross weight, kg/ Вес брутто, кг],"",0,1)</f>
        <v>3148.4</v>
      </c>
      <c r="J49" s="23" t="str" cm="1">
        <f t="array" ref="J49">_xlfn.XLOOKUP($A49,ACT[[№]:[№]],ACT[Delivery terms / Условия поставки],"",0,1)</f>
        <v>FCA</v>
      </c>
      <c r="K49" s="23" cm="1">
        <f t="array" ref="K49">_xlfn.XLOOKUP($A49,ACT[[№]:[№]],ACT[Container total CBM],"",0,1)</f>
        <v>41.668999999999997</v>
      </c>
      <c r="L49" s="24" cm="1">
        <f t="array" ref="L49">_xlfn.XLOOKUP($A49,ACT[[№]:[№]],ACT[FTL inland freight cost per Invoice Appendix/ Стоимость внутренней наземной перевозки за инвойс Приложение                     KRW],"",0,1)</f>
        <v>485000</v>
      </c>
      <c r="M49" s="24" cm="1">
        <f t="array" ref="M49">_xlfn.XLOOKUP($A49,ACT[[№]:[№]],ACT[Consolidation Work, Loading, Unloading/ Работы по консолидации, Погрузка, Разгрузка (Rate/Тариф - 8000 per CBM)                   KRW],"",0,1)</f>
        <v>83244.45</v>
      </c>
      <c r="N49" s="24" cm="1">
        <f t="array" ref="N49">_xlfn.XLOOKUP($A49,ACT[[№]:[№]],ACT[Shoring, Banding, Sealing, Handling/ Крепление, Перевязка, Опечатование, Обработка
KRW],"",0,1)</f>
        <v>45602.462262113331</v>
      </c>
      <c r="O49" s="24" cm="1">
        <f t="array" ref="O49">_xlfn.XLOOKUP($A49,ACT[[№]:[№]],ACT[Documents Work/ Сбор за подготовку документов
KRW],"",0,1)</f>
        <v>11765.341140896107</v>
      </c>
      <c r="P49" s="24" cm="1">
        <f t="array" ref="P49">_xlfn.XLOOKUP($A49,ACT[[№]:[№]],ACT[THC/ Терминальная обработка
KRW],"",0,1)</f>
        <v>43625.884950442778</v>
      </c>
      <c r="Q49" s="24" cm="1">
        <f t="array" ref="Q49">_xlfn.XLOOKUP($A49,ACT[[№]:[№]],ACT[Wharfage/ Портовая пошлина
KRW],"",0,1)</f>
        <v>2141.2920876430921</v>
      </c>
      <c r="R49" s="24" cm="1">
        <f t="array" ref="R49">_xlfn.XLOOKUP($A49,ACT[[№]:[№]],ACT[TRUCKING CHARGE],"",0,1)</f>
        <v>0</v>
      </c>
      <c r="S49" s="24" cm="1">
        <f t="array" ref="S49">_xlfn.XLOOKUP($A49,ACT[[№]:[№]],ACT[FCL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66003.563800427175</v>
      </c>
      <c r="T49" s="24" cm="1">
        <f t="array" ref="T49">_xlfn.XLOOKUP($A49,ACT[[№]:[№]],ACT[Special Wooden Shoring / Специальное деревянное крепление],"",0,1)</f>
        <v>0</v>
      </c>
      <c r="U49" s="9"/>
      <c r="V49" s="24" cm="1">
        <f t="array" ref="V49">_xlfn.XLOOKUP($A49,ACT[[№]:[№]],ACT[Total amount/ Общая стоимость KRW (10+11+12+13+14+15+16)],"",0,1)</f>
        <v>737382.99424152239</v>
      </c>
      <c r="W49" s="24" cm="1">
        <f t="array" ref="W49">_xlfn.XLOOKUP($A49,ACT[[№]:[№]],ACT[Total amount/ Общая стоимость (17*exchange rate/ обменный курс)
 USD],"",0,1)</f>
        <v>580.28</v>
      </c>
      <c r="X49" s="9" t="e" cm="1">
        <f t="array" ref="X49">IF(#REF!="",_xlfn.XLOOKUP("МАКС",#REF!,#REF!,,0,1),#REF!)</f>
        <v>#REF!</v>
      </c>
      <c r="Y49" s="12" t="e">
        <f>VLOOKUP(Шаблон_Формулы[[#This Row],[24]],#REF!,2,0)</f>
        <v>#REF!</v>
      </c>
      <c r="Z49" s="26" t="str">
        <f>IFERROR(Шаблон_Формулы[[#This Row],[23]]*Шаблон_Формулы[[#This Row],[25]],"")</f>
        <v/>
      </c>
      <c r="AA49" s="13" t="e" cm="1">
        <f t="array" ref="AA49">#REF!</f>
        <v>#REF!</v>
      </c>
    </row>
    <row r="50" spans="1:27" s="8" customFormat="1" ht="12">
      <c r="A50" s="11">
        <v>46</v>
      </c>
      <c r="B50" s="8" t="str" cm="1">
        <f t="array" ref="B50">_xlfn.XLOOKUP($A50,ACT[[№]:[№]],ACT[Container No/
№ Контейнера],"",0,1)</f>
        <v>TTNU9911618</v>
      </c>
      <c r="C50" s="8" t="str">
        <f t="shared" si="0"/>
        <v>UzAutoKorea</v>
      </c>
      <c r="D50" s="11" t="str" cm="1">
        <f t="array" ref="D50">_xlfn.XLOOKUP($A50,ACT[[№]:[№]],ACT[Container Type/ 
Тип контейнера],"",0,1)</f>
        <v>40'HC</v>
      </c>
      <c r="E50" s="21" cm="1">
        <f t="array" ref="E50">_xlfn.XLOOKUP($A50,ACT[[№]:[№]],ACT[Date of Dispatch/ 
Дата отгрузки],"",0,1)</f>
        <v>44965</v>
      </c>
      <c r="F50" s="22" t="str" cm="1">
        <f t="array" ref="F50">_xlfn.XLOOKUP($A50,ACT[[№]:[№]],ACT[Supplier/ Поставщик],"",0,1)</f>
        <v>UZAUTO KOREA</v>
      </c>
      <c r="G50" s="22" t="str" cm="1">
        <f t="array" ref="G50">_xlfn.XLOOKUP($A50,ACT[[№]:[№]],ACT[Supplier Invoice No/                          № Инвойса Поставщика],"",0,1)</f>
        <v>UZST-C230102SM-3</v>
      </c>
      <c r="H50" s="23" cm="1">
        <f t="array" ref="H50">_xlfn.XLOOKUP($A50,ACT[[№]:[№]],ACT[CBM],"",0,1)</f>
        <v>27.72</v>
      </c>
      <c r="I50" s="23" cm="1">
        <f t="array" ref="I50">_xlfn.XLOOKUP($A50,ACT[[№]:[№]],ACT[Gross weight, kg/ Вес брутто, кг],"",0,1)</f>
        <v>20400</v>
      </c>
      <c r="J50" s="23" t="str" cm="1">
        <f t="array" ref="J50">_xlfn.XLOOKUP($A50,ACT[[№]:[№]],ACT[Delivery terms / Условия поставки],"",0,1)</f>
        <v>FOB</v>
      </c>
      <c r="K50" s="23" cm="1">
        <f t="array" ref="K50">_xlfn.XLOOKUP($A50,ACT[[№]:[№]],ACT[Container total CBM],"",0,1)</f>
        <v>41.668999999999997</v>
      </c>
      <c r="L50" s="24" cm="1">
        <f t="array" ref="L50">_xlfn.XLOOKUP($A50,ACT[[№]:[№]],ACT[FTL inland freight cost per Invoice Appendix/ Стоимость внутренней наземной перевозки за инвойс Приложение                     KRW],"",0,1)</f>
        <v>0</v>
      </c>
      <c r="M50" s="24" cm="1">
        <f t="array" ref="M50">_xlfn.XLOOKUP($A50,ACT[[№]:[№]],ACT[Consolidation Work, Loading, Unloading/ Работы по консолидации, Погрузка, Разгрузка (Rate/Тариф - 8000 per CBM)                   KRW],"",0,1)</f>
        <v>0</v>
      </c>
      <c r="N50" s="24" cm="1">
        <f t="array" ref="N50">_xlfn.XLOOKUP($A50,ACT[[№]:[№]],ACT[Shoring, Banding, Sealing, Handling/ Крепление, Перевязка, Опечатование, Обработка
KRW],"",0,1)</f>
        <v>0</v>
      </c>
      <c r="O50" s="24" cm="1">
        <f t="array" ref="O50">_xlfn.XLOOKUP($A50,ACT[[№]:[№]],ACT[Documents Work/ Сбор за подготовку документов
KRW],"",0,1)</f>
        <v>0</v>
      </c>
      <c r="P50" s="24" cm="1">
        <f t="array" ref="P50">_xlfn.XLOOKUP($A50,ACT[[№]:[№]],ACT[THC/ Терминальная обработка
KRW],"",0,1)</f>
        <v>0</v>
      </c>
      <c r="Q50" s="24" cm="1">
        <f t="array" ref="Q50">_xlfn.XLOOKUP($A50,ACT[[№]:[№]],ACT[Wharfage/ Портовая пошлина
KRW],"",0,1)</f>
        <v>0</v>
      </c>
      <c r="R50" s="24" cm="1">
        <f t="array" ref="R50">_xlfn.XLOOKUP($A50,ACT[[№]:[№]],ACT[TRUCKING CHARGE],"",0,1)</f>
        <v>0</v>
      </c>
      <c r="S50" s="24" cm="1">
        <f t="array" ref="S50">_xlfn.XLOOKUP($A50,ACT[[№]:[№]],ACT[FCL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50" s="24" cm="1">
        <f t="array" ref="T50">_xlfn.XLOOKUP($A50,ACT[[№]:[№]],ACT[Special Wooden Shoring / Специальное деревянное крепление],"",0,1)</f>
        <v>0</v>
      </c>
      <c r="U50" s="9"/>
      <c r="V50" s="24" cm="1">
        <f t="array" ref="V50">_xlfn.XLOOKUP($A50,ACT[[№]:[№]],ACT[Total amount/ Общая стоимость KRW (10+11+12+13+14+15+16)],"",0,1)</f>
        <v>0</v>
      </c>
      <c r="W50" s="24" cm="1">
        <f t="array" ref="W50">_xlfn.XLOOKUP($A50,ACT[[№]:[№]],ACT[Total amount/ Общая стоимость (17*exchange rate/ обменный курс)
 USD],"",0,1)</f>
        <v>0</v>
      </c>
      <c r="X50" s="9" t="e" cm="1">
        <f t="array" ref="X50">IF(#REF!="",_xlfn.XLOOKUP("МАКС",#REF!,#REF!,,0,1),#REF!)</f>
        <v>#REF!</v>
      </c>
      <c r="Y50" s="12" t="e">
        <f>VLOOKUP(Шаблон_Формулы[[#This Row],[24]],#REF!,2,0)</f>
        <v>#REF!</v>
      </c>
      <c r="Z50" s="26" t="str">
        <f>IFERROR(Шаблон_Формулы[[#This Row],[23]]*Шаблон_Формулы[[#This Row],[25]],"")</f>
        <v/>
      </c>
      <c r="AA50" s="13" t="e" cm="1">
        <f t="array" ref="AA50">#REF!</f>
        <v>#REF!</v>
      </c>
    </row>
    <row r="51" spans="1:27" s="8" customFormat="1" ht="12">
      <c r="A51" s="11">
        <v>47</v>
      </c>
      <c r="B51" s="8" t="str" cm="1">
        <f t="array" ref="B51">_xlfn.XLOOKUP($A51,ACT[[№]:[№]],ACT[Container No/
№ Контейнера],"",0,1)</f>
        <v>TTNU9911618</v>
      </c>
      <c r="C51" s="8" t="str">
        <f t="shared" si="0"/>
        <v>UzAutoKorea</v>
      </c>
      <c r="D51" s="11" t="str" cm="1">
        <f t="array" ref="D51">_xlfn.XLOOKUP($A51,ACT[[№]:[№]],ACT[Container Type/ 
Тип контейнера],"",0,1)</f>
        <v>40'HC</v>
      </c>
      <c r="E51" s="21" cm="1">
        <f t="array" ref="E51">_xlfn.XLOOKUP($A51,ACT[[№]:[№]],ACT[Date of Dispatch/ 
Дата отгрузки],"",0,1)</f>
        <v>44965</v>
      </c>
      <c r="F51" s="22" t="str" cm="1">
        <f t="array" ref="F51">_xlfn.XLOOKUP($A51,ACT[[№]:[№]],ACT[Supplier/ Поставщик],"",0,1)</f>
        <v>UZAUTO KOREA</v>
      </c>
      <c r="G51" s="22" t="str" cm="1">
        <f t="array" ref="G51">_xlfn.XLOOKUP($A51,ACT[[№]:[№]],ACT[Supplier Invoice No/                          № Инвойса Поставщика],"",0,1)</f>
        <v>UZST-C230101EC(1)</v>
      </c>
      <c r="H51" s="23" cm="1">
        <f t="array" ref="H51">_xlfn.XLOOKUP($A51,ACT[[№]:[№]],ACT[CBM],"",0,1)</f>
        <v>0.62</v>
      </c>
      <c r="I51" s="23" cm="1">
        <f t="array" ref="I51">_xlfn.XLOOKUP($A51,ACT[[№]:[№]],ACT[Gross weight, kg/ Вес брутто, кг],"",0,1)</f>
        <v>163</v>
      </c>
      <c r="J51" s="23" t="str" cm="1">
        <f t="array" ref="J51">_xlfn.XLOOKUP($A51,ACT[[№]:[№]],ACT[Delivery terms / Условия поставки],"",0,1)</f>
        <v>FOB</v>
      </c>
      <c r="K51" s="23" cm="1">
        <f t="array" ref="K51">_xlfn.XLOOKUP($A51,ACT[[№]:[№]],ACT[Container total CBM],"",0,1)</f>
        <v>41.668999999999997</v>
      </c>
      <c r="L51" s="24" cm="1">
        <f t="array" ref="L51">_xlfn.XLOOKUP($A51,ACT[[№]:[№]],ACT[FTL inland freight cost per Invoice Appendix/ Стоимость внутренней наземной перевозки за инвойс Приложение                     KRW],"",0,1)</f>
        <v>0</v>
      </c>
      <c r="M51" s="24" cm="1">
        <f t="array" ref="M51">_xlfn.XLOOKUP($A51,ACT[[№]:[№]],ACT[Consolidation Work, Loading, Unloading/ Работы по консолидации, Погрузка, Разгрузка (Rate/Тариф - 8000 per CBM)                   KRW],"",0,1)</f>
        <v>0</v>
      </c>
      <c r="N51" s="24" cm="1">
        <f t="array" ref="N51">_xlfn.XLOOKUP($A51,ACT[[№]:[№]],ACT[Shoring, Banding, Sealing, Handling/ Крепление, Перевязка, Опечатование, Обработка
KRW],"",0,1)</f>
        <v>0</v>
      </c>
      <c r="O51" s="24" cm="1">
        <f t="array" ref="O51">_xlfn.XLOOKUP($A51,ACT[[№]:[№]],ACT[Documents Work/ Сбор за подготовку документов
KRW],"",0,1)</f>
        <v>0</v>
      </c>
      <c r="P51" s="24" cm="1">
        <f t="array" ref="P51">_xlfn.XLOOKUP($A51,ACT[[№]:[№]],ACT[THC/ Терминальная обработка
KRW],"",0,1)</f>
        <v>0</v>
      </c>
      <c r="Q51" s="24" cm="1">
        <f t="array" ref="Q51">_xlfn.XLOOKUP($A51,ACT[[№]:[№]],ACT[Wharfage/ Портовая пошлина
KRW],"",0,1)</f>
        <v>0</v>
      </c>
      <c r="R51" s="24" cm="1">
        <f t="array" ref="R51">_xlfn.XLOOKUP($A51,ACT[[№]:[№]],ACT[TRUCKING CHARGE],"",0,1)</f>
        <v>0</v>
      </c>
      <c r="S51" s="24" cm="1">
        <f t="array" ref="S51">_xlfn.XLOOKUP($A51,ACT[[№]:[№]],ACT[FCL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51" s="24" cm="1">
        <f t="array" ref="T51">_xlfn.XLOOKUP($A51,ACT[[№]:[№]],ACT[Special Wooden Shoring / Специальное деревянное крепление],"",0,1)</f>
        <v>0</v>
      </c>
      <c r="U51" s="9"/>
      <c r="V51" s="24" cm="1">
        <f t="array" ref="V51">_xlfn.XLOOKUP($A51,ACT[[№]:[№]],ACT[Total amount/ Общая стоимость KRW (10+11+12+13+14+15+16)],"",0,1)</f>
        <v>0</v>
      </c>
      <c r="W51" s="24" cm="1">
        <f t="array" ref="W51">_xlfn.XLOOKUP($A51,ACT[[№]:[№]],ACT[Total amount/ Общая стоимость (17*exchange rate/ обменный курс)
 USD],"",0,1)</f>
        <v>0</v>
      </c>
      <c r="X51" s="9" t="e" cm="1">
        <f t="array" ref="X51">IF(#REF!="",_xlfn.XLOOKUP("МАКС",#REF!,#REF!,,0,1),#REF!)</f>
        <v>#REF!</v>
      </c>
      <c r="Y51" s="12" t="e">
        <f>VLOOKUP(Шаблон_Формулы[[#This Row],[24]],#REF!,2,0)</f>
        <v>#REF!</v>
      </c>
      <c r="Z51" s="26" t="str">
        <f>IFERROR(Шаблон_Формулы[[#This Row],[23]]*Шаблон_Формулы[[#This Row],[25]],"")</f>
        <v/>
      </c>
      <c r="AA51" s="13" t="e" cm="1">
        <f t="array" ref="AA51">#REF!</f>
        <v>#REF!</v>
      </c>
    </row>
    <row r="52" spans="1:27" s="8" customFormat="1" ht="12">
      <c r="A52" s="11">
        <v>48</v>
      </c>
      <c r="B52" s="8" t="str" cm="1">
        <f t="array" ref="B52">_xlfn.XLOOKUP($A52,ACT[[№]:[№]],ACT[Container No/
№ Контейнера],"",0,1)</f>
        <v>TTNU9911618</v>
      </c>
      <c r="C52" s="8" t="str">
        <f t="shared" si="0"/>
        <v>UzAutoKorea</v>
      </c>
      <c r="D52" s="11" t="str" cm="1">
        <f t="array" ref="D52">_xlfn.XLOOKUP($A52,ACT[[№]:[№]],ACT[Container Type/ 
Тип контейнера],"",0,1)</f>
        <v>40'HC</v>
      </c>
      <c r="E52" s="21" cm="1">
        <f t="array" ref="E52">_xlfn.XLOOKUP($A52,ACT[[№]:[№]],ACT[Date of Dispatch/ 
Дата отгрузки],"",0,1)</f>
        <v>44965</v>
      </c>
      <c r="F52" s="22" t="str" cm="1">
        <f t="array" ref="F52">_xlfn.XLOOKUP($A52,ACT[[№]:[№]],ACT[Supplier/ Поставщик],"",0,1)</f>
        <v>UZAUTO KOREA</v>
      </c>
      <c r="G52" s="22" t="str" cm="1">
        <f t="array" ref="G52">_xlfn.XLOOKUP($A52,ACT[[№]:[№]],ACT[Supplier Invoice No/                          № Инвойса Поставщика],"",0,1)</f>
        <v>UZST-C230101EC(2)</v>
      </c>
      <c r="H52" s="23" cm="1">
        <f t="array" ref="H52">_xlfn.XLOOKUP($A52,ACT[[№]:[№]],ACT[CBM],"",0,1)</f>
        <v>3.524</v>
      </c>
      <c r="I52" s="23" cm="1">
        <f t="array" ref="I52">_xlfn.XLOOKUP($A52,ACT[[№]:[№]],ACT[Gross weight, kg/ Вес брутто, кг],"",0,1)</f>
        <v>696</v>
      </c>
      <c r="J52" s="23" t="str" cm="1">
        <f t="array" ref="J52">_xlfn.XLOOKUP($A52,ACT[[№]:[№]],ACT[Delivery terms / Условия поставки],"",0,1)</f>
        <v>FOB</v>
      </c>
      <c r="K52" s="23" cm="1">
        <f t="array" ref="K52">_xlfn.XLOOKUP($A52,ACT[[№]:[№]],ACT[Container total CBM],"",0,1)</f>
        <v>41.668999999999997</v>
      </c>
      <c r="L52" s="24" cm="1">
        <f t="array" ref="L52">_xlfn.XLOOKUP($A52,ACT[[№]:[№]],ACT[FTL inland freight cost per Invoice Appendix/ Стоимость внутренней наземной перевозки за инвойс Приложение                     KRW],"",0,1)</f>
        <v>0</v>
      </c>
      <c r="M52" s="24" cm="1">
        <f t="array" ref="M52">_xlfn.XLOOKUP($A52,ACT[[№]:[№]],ACT[Consolidation Work, Loading, Unloading/ Работы по консолидации, Погрузка, Разгрузка (Rate/Тариф - 8000 per CBM)                   KRW],"",0,1)</f>
        <v>0</v>
      </c>
      <c r="N52" s="24" cm="1">
        <f t="array" ref="N52">_xlfn.XLOOKUP($A52,ACT[[№]:[№]],ACT[Shoring, Banding, Sealing, Handling/ Крепление, Перевязка, Опечатование, Обработка
KRW],"",0,1)</f>
        <v>0</v>
      </c>
      <c r="O52" s="24" cm="1">
        <f t="array" ref="O52">_xlfn.XLOOKUP($A52,ACT[[№]:[№]],ACT[Documents Work/ Сбор за подготовку документов
KRW],"",0,1)</f>
        <v>0</v>
      </c>
      <c r="P52" s="24" cm="1">
        <f t="array" ref="P52">_xlfn.XLOOKUP($A52,ACT[[№]:[№]],ACT[THC/ Терминальная обработка
KRW],"",0,1)</f>
        <v>0</v>
      </c>
      <c r="Q52" s="24" cm="1">
        <f t="array" ref="Q52">_xlfn.XLOOKUP($A52,ACT[[№]:[№]],ACT[Wharfage/ Портовая пошлина
KRW],"",0,1)</f>
        <v>0</v>
      </c>
      <c r="R52" s="24" cm="1">
        <f t="array" ref="R52">_xlfn.XLOOKUP($A52,ACT[[№]:[№]],ACT[TRUCKING CHARGE],"",0,1)</f>
        <v>0</v>
      </c>
      <c r="S52" s="24" cm="1">
        <f t="array" ref="S52">_xlfn.XLOOKUP($A52,ACT[[№]:[№]],ACT[FCL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52" s="24" cm="1">
        <f t="array" ref="T52">_xlfn.XLOOKUP($A52,ACT[[№]:[№]],ACT[Special Wooden Shoring / Специальное деревянное крепление],"",0,1)</f>
        <v>0</v>
      </c>
      <c r="U52" s="9"/>
      <c r="V52" s="24" cm="1">
        <f t="array" ref="V52">_xlfn.XLOOKUP($A52,ACT[[№]:[№]],ACT[Total amount/ Общая стоимость KRW (10+11+12+13+14+15+16)],"",0,1)</f>
        <v>0</v>
      </c>
      <c r="W52" s="24" cm="1">
        <f t="array" ref="W52">_xlfn.XLOOKUP($A52,ACT[[№]:[№]],ACT[Total amount/ Общая стоимость (17*exchange rate/ обменный курс)
 USD],"",0,1)</f>
        <v>0</v>
      </c>
      <c r="X52" s="9" t="e" cm="1">
        <f t="array" ref="X52">IF(#REF!="",_xlfn.XLOOKUP("МАКС",#REF!,#REF!,,0,1),#REF!)</f>
        <v>#REF!</v>
      </c>
      <c r="Y52" s="12" t="e">
        <f>VLOOKUP(Шаблон_Формулы[[#This Row],[24]],#REF!,2,0)</f>
        <v>#REF!</v>
      </c>
      <c r="Z52" s="26" t="str">
        <f>IFERROR(Шаблон_Формулы[[#This Row],[23]]*Шаблон_Формулы[[#This Row],[25]],"")</f>
        <v/>
      </c>
      <c r="AA52" s="13" t="e" cm="1">
        <f t="array" ref="AA52">#REF!</f>
        <v>#REF!</v>
      </c>
    </row>
    <row r="53" spans="1:27" s="8" customFormat="1" ht="12">
      <c r="A53" s="11">
        <v>49</v>
      </c>
      <c r="B53" s="8" t="str" cm="1">
        <f t="array" ref="B53">_xlfn.XLOOKUP($A53,ACT[[№]:[№]],ACT[Container No/
№ Контейнера],"",0,1)</f>
        <v>TCNU9138978</v>
      </c>
      <c r="C53" s="8" t="str">
        <f t="shared" si="0"/>
        <v>UzAutoKorea</v>
      </c>
      <c r="D53" s="11" t="str" cm="1">
        <f t="array" ref="D53">_xlfn.XLOOKUP($A53,ACT[[№]:[№]],ACT[Container Type/ 
Тип контейнера],"",0,1)</f>
        <v>40'HC</v>
      </c>
      <c r="E53" s="21" cm="1">
        <f t="array" ref="E53">_xlfn.XLOOKUP($A53,ACT[[№]:[№]],ACT[Date of Dispatch/ 
Дата отгрузки],"",0,1)</f>
        <v>44965</v>
      </c>
      <c r="F53" s="22" t="str" cm="1">
        <f t="array" ref="F53">_xlfn.XLOOKUP($A53,ACT[[№]:[№]],ACT[Supplier/ Поставщик],"",0,1)</f>
        <v>Henkel</v>
      </c>
      <c r="G53" s="22" t="str" cm="1">
        <f t="array" ref="G53">_xlfn.XLOOKUP($A53,ACT[[№]:[№]],ACT[Supplier Invoice No/                          № Инвойса Поставщика],"",0,1)</f>
        <v>UZAUTO-230102</v>
      </c>
      <c r="H53" s="23" cm="1">
        <f t="array" ref="H53">_xlfn.XLOOKUP($A53,ACT[[№]:[№]],ACT[CBM],"",0,1)</f>
        <v>4.67</v>
      </c>
      <c r="I53" s="23" cm="1">
        <f t="array" ref="I53">_xlfn.XLOOKUP($A53,ACT[[№]:[№]],ACT[Gross weight, kg/ Вес брутто, кг],"",0,1)</f>
        <v>2198</v>
      </c>
      <c r="J53" s="23" t="str" cm="1">
        <f t="array" ref="J53">_xlfn.XLOOKUP($A53,ACT[[№]:[№]],ACT[Delivery terms / Условия поставки],"",0,1)</f>
        <v>FCA</v>
      </c>
      <c r="K53" s="23" cm="1">
        <f t="array" ref="K53">_xlfn.XLOOKUP($A53,ACT[[№]:[№]],ACT[Container total CBM],"",0,1)</f>
        <v>53.075000000000003</v>
      </c>
      <c r="L53" s="24" cm="1">
        <f t="array" ref="L53">_xlfn.XLOOKUP($A53,ACT[[№]:[№]],ACT[FTL inland freight cost per Invoice Appendix/ Стоимость внутренней наземной перевозки за инвойс Приложение                     KRW],"",0,1)</f>
        <v>385000</v>
      </c>
      <c r="M53" s="24" cm="1">
        <f t="array" ref="M53">_xlfn.XLOOKUP($A53,ACT[[№]:[№]],ACT[Consolidation Work, Loading, Unloading/ Работы по консолидации, Погрузка, Разгрузка (Rate/Тариф - 8000 per CBM)                   KRW],"",0,1)</f>
        <v>39648.300000000003</v>
      </c>
      <c r="N53" s="24" cm="1">
        <f t="array" ref="N53">_xlfn.XLOOKUP($A53,ACT[[№]:[№]],ACT[Shoring, Banding, Sealing, Handling/ Крепление, Перевязка, Опечатование, Обработка
KRW],"",0,1)</f>
        <v>17052.209138012247</v>
      </c>
      <c r="O53" s="24" cm="1">
        <f t="array" ref="O53">_xlfn.XLOOKUP($A53,ACT[[№]:[№]],ACT[Documents Work/ Сбор за подготовку документов
KRW],"",0,1)</f>
        <v>4399.4347621290626</v>
      </c>
      <c r="P53" s="24" cm="1">
        <f t="array" ref="P53">_xlfn.XLOOKUP($A53,ACT[[№]:[№]],ACT[THC/ Терминальная обработка
KRW],"",0,1)</f>
        <v>16313.104097974565</v>
      </c>
      <c r="Q53" s="24" cm="1">
        <f t="array" ref="Q53">_xlfn.XLOOKUP($A53,ACT[[№]:[№]],ACT[Wharfage/ Портовая пошлина
KRW],"",0,1)</f>
        <v>800.69712670748925</v>
      </c>
      <c r="R53" s="24" cm="1">
        <f t="array" ref="R53">_xlfn.XLOOKUP($A53,ACT[[№]:[№]],ACT[TRUCKING CHARGE],"",0,1)</f>
        <v>0</v>
      </c>
      <c r="S53" s="24" cm="1">
        <f t="array" ref="S53">_xlfn.XLOOKUP($A53,ACT[[№]:[№]],ACT[FCL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24680.829015544041</v>
      </c>
      <c r="T53" s="24" cm="1">
        <f t="array" ref="T53">_xlfn.XLOOKUP($A53,ACT[[№]:[№]],ACT[Special Wooden Shoring / Специальное деревянное крепление],"",0,1)</f>
        <v>0</v>
      </c>
      <c r="U53" s="9"/>
      <c r="V53" s="24" cm="1">
        <f t="array" ref="V53">_xlfn.XLOOKUP($A53,ACT[[№]:[№]],ACT[Total amount/ Общая стоимость KRW (10+11+12+13+14+15+16)],"",0,1)</f>
        <v>487894.57414036733</v>
      </c>
      <c r="W53" s="24" cm="1">
        <f t="array" ref="W53">_xlfn.XLOOKUP($A53,ACT[[№]:[№]],ACT[Total amount/ Общая стоимость (17*exchange rate/ обменный курс)
 USD],"",0,1)</f>
        <v>383.95</v>
      </c>
      <c r="X53" s="9" t="e" cm="1">
        <f t="array" ref="X53">IF(#REF!="",_xlfn.XLOOKUP("МАКС",#REF!,#REF!,,0,1),#REF!)</f>
        <v>#REF!</v>
      </c>
      <c r="Y53" s="12" t="e">
        <f>VLOOKUP(Шаблон_Формулы[[#This Row],[24]],#REF!,2,0)</f>
        <v>#REF!</v>
      </c>
      <c r="Z53" s="26" t="str">
        <f>IFERROR(Шаблон_Формулы[[#This Row],[23]]*Шаблон_Формулы[[#This Row],[25]],"")</f>
        <v/>
      </c>
      <c r="AA53" s="13" t="e" cm="1">
        <f t="array" ref="AA53">#REF!</f>
        <v>#REF!</v>
      </c>
    </row>
    <row r="54" spans="1:27" s="8" customFormat="1" ht="12">
      <c r="A54" s="11">
        <v>50</v>
      </c>
      <c r="B54" s="8" t="str" cm="1">
        <f t="array" ref="B54">_xlfn.XLOOKUP($A54,ACT[[№]:[№]],ACT[Container No/
№ Контейнера],"",0,1)</f>
        <v>TCNU9138978</v>
      </c>
      <c r="C54" s="8" t="str">
        <f t="shared" si="0"/>
        <v>UzAutoKorea</v>
      </c>
      <c r="D54" s="11" t="str" cm="1">
        <f t="array" ref="D54">_xlfn.XLOOKUP($A54,ACT[[№]:[№]],ACT[Container Type/ 
Тип контейнера],"",0,1)</f>
        <v>40'HC</v>
      </c>
      <c r="E54" s="21" cm="1">
        <f t="array" ref="E54">_xlfn.XLOOKUP($A54,ACT[[№]:[№]],ACT[Date of Dispatch/ 
Дата отгрузки],"",0,1)</f>
        <v>44965</v>
      </c>
      <c r="F54" s="22" t="str" cm="1">
        <f t="array" ref="F54">_xlfn.XLOOKUP($A54,ACT[[№]:[№]],ACT[Supplier/ Поставщик],"",0,1)</f>
        <v>UniTech</v>
      </c>
      <c r="G54" s="22" t="str" cm="1">
        <f t="array" ref="G54">_xlfn.XLOOKUP($A54,ACT[[№]:[№]],ACT[Supplier Invoice No/                          № Инвойса Поставщика],"",0,1)</f>
        <v>230114UZ-001 (SEA,2214)</v>
      </c>
      <c r="H54" s="23" cm="1">
        <f t="array" ref="H54">_xlfn.XLOOKUP($A54,ACT[[№]:[№]],ACT[CBM],"",0,1)</f>
        <v>12.054</v>
      </c>
      <c r="I54" s="23" cm="1">
        <f t="array" ref="I54">_xlfn.XLOOKUP($A54,ACT[[№]:[№]],ACT[Gross weight, kg/ Вес брутто, кг],"",0,1)</f>
        <v>7240</v>
      </c>
      <c r="J54" s="23" t="str" cm="1">
        <f t="array" ref="J54">_xlfn.XLOOKUP($A54,ACT[[№]:[№]],ACT[Delivery terms / Условия поставки],"",0,1)</f>
        <v>FCA</v>
      </c>
      <c r="K54" s="23" cm="1">
        <f t="array" ref="K54">_xlfn.XLOOKUP($A54,ACT[[№]:[№]],ACT[Container total CBM],"",0,1)</f>
        <v>53.075000000000003</v>
      </c>
      <c r="L54" s="24" cm="1">
        <f t="array" ref="L54">_xlfn.XLOOKUP($A54,ACT[[№]:[№]],ACT[FTL inland freight cost per Invoice Appendix/ Стоимость внутренней наземной перевозки за инвойс Приложение                     KRW],"",0,1)</f>
        <v>532000</v>
      </c>
      <c r="M54" s="24" cm="1">
        <f t="array" ref="M54">_xlfn.XLOOKUP($A54,ACT[[№]:[№]],ACT[Consolidation Work, Loading, Unloading/ Работы по консолидации, Погрузка, Разгрузка (Rate/Тариф - 8000 per CBM)                   KRW],"",0,1)</f>
        <v>102338.46</v>
      </c>
      <c r="N54" s="24" cm="1">
        <f t="array" ref="N54">_xlfn.XLOOKUP($A54,ACT[[№]:[№]],ACT[Shoring, Banding, Sealing, Handling/ Крепление, Перевязка, Опечатование, Обработка
KRW],"",0,1)</f>
        <v>44014.41733396137</v>
      </c>
      <c r="O54" s="24" cm="1">
        <f t="array" ref="O54">_xlfn.XLOOKUP($A54,ACT[[№]:[№]],ACT[Documents Work/ Сбор за подготовку документов
KRW],"",0,1)</f>
        <v>11355.628827131415</v>
      </c>
      <c r="P54" s="24" cm="1">
        <f t="array" ref="P54">_xlfn.XLOOKUP($A54,ACT[[№]:[№]],ACT[THC/ Терминальная обработка
KRW],"",0,1)</f>
        <v>42106.671691003299</v>
      </c>
      <c r="Q54" s="24" cm="1">
        <f t="array" ref="Q54">_xlfn.XLOOKUP($A54,ACT[[№]:[№]],ACT[Wharfage/ Портовая пошлина
KRW],"",0,1)</f>
        <v>2066.7244465379181</v>
      </c>
      <c r="R54" s="24" cm="1">
        <f t="array" ref="R54">_xlfn.XLOOKUP($A54,ACT[[№]:[№]],ACT[TRUCKING CHARGE],"",0,1)</f>
        <v>0</v>
      </c>
      <c r="S54" s="24" cm="1">
        <f t="array" ref="S54">_xlfn.XLOOKUP($A54,ACT[[№]:[№]],ACT[FCL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63705.07772020725</v>
      </c>
      <c r="T54" s="24" cm="1">
        <f t="array" ref="T54">_xlfn.XLOOKUP($A54,ACT[[№]:[№]],ACT[Special Wooden Shoring / Специальное деревянное крепление],"",0,1)</f>
        <v>0</v>
      </c>
      <c r="U54" s="9"/>
      <c r="V54" s="24" cm="1">
        <f t="array" ref="V54">_xlfn.XLOOKUP($A54,ACT[[№]:[№]],ACT[Total amount/ Общая стоимость KRW (10+11+12+13+14+15+16)],"",0,1)</f>
        <v>797586.98001884134</v>
      </c>
      <c r="W54" s="24" cm="1">
        <f t="array" ref="W54">_xlfn.XLOOKUP($A54,ACT[[№]:[№]],ACT[Total amount/ Общая стоимость (17*exchange rate/ обменный курс)
 USD],"",0,1)</f>
        <v>627.66</v>
      </c>
      <c r="X54" s="9" t="e" cm="1">
        <f t="array" ref="X54">IF(#REF!="",_xlfn.XLOOKUP("МАКС",#REF!,#REF!,,0,1),#REF!)</f>
        <v>#REF!</v>
      </c>
      <c r="Y54" s="12" t="e">
        <f>VLOOKUP(Шаблон_Формулы[[#This Row],[24]],#REF!,2,0)</f>
        <v>#REF!</v>
      </c>
      <c r="Z54" s="26" t="str">
        <f>IFERROR(Шаблон_Формулы[[#This Row],[23]]*Шаблон_Формулы[[#This Row],[25]],"")</f>
        <v/>
      </c>
      <c r="AA54" s="13" t="e" cm="1">
        <f t="array" ref="AA54">#REF!</f>
        <v>#REF!</v>
      </c>
    </row>
    <row r="55" spans="1:27" s="8" customFormat="1" ht="12">
      <c r="A55" s="11">
        <v>51</v>
      </c>
      <c r="B55" s="8" t="str" cm="1">
        <f t="array" ref="B55">_xlfn.XLOOKUP($A55,ACT[[№]:[№]],ACT[Container No/
№ Контейнера],"",0,1)</f>
        <v>TCNU9138978</v>
      </c>
      <c r="C55" s="8" t="str">
        <f t="shared" si="0"/>
        <v>UzAutoKorea</v>
      </c>
      <c r="D55" s="11" t="str" cm="1">
        <f t="array" ref="D55">_xlfn.XLOOKUP($A55,ACT[[№]:[№]],ACT[Container Type/ 
Тип контейнера],"",0,1)</f>
        <v>40'HC</v>
      </c>
      <c r="E55" s="21" cm="1">
        <f t="array" ref="E55">_xlfn.XLOOKUP($A55,ACT[[№]:[№]],ACT[Date of Dispatch/ 
Дата отгрузки],"",0,1)</f>
        <v>44965</v>
      </c>
      <c r="F55" s="22" t="str" cm="1">
        <f t="array" ref="F55">_xlfn.XLOOKUP($A55,ACT[[№]:[№]],ACT[Supplier/ Поставщик],"",0,1)</f>
        <v>Sehwa Automotive</v>
      </c>
      <c r="G55" s="22" t="str" cm="1">
        <f t="array" ref="G55">_xlfn.XLOOKUP($A55,ACT[[№]:[№]],ACT[Supplier Invoice No/                          № Инвойса Поставщика],"",0,1)</f>
        <v>SH-2301-UZ-4N02</v>
      </c>
      <c r="H55" s="23" cm="1">
        <f t="array" ref="H55">_xlfn.XLOOKUP($A55,ACT[[№]:[№]],ACT[CBM],"",0,1)</f>
        <v>10.53</v>
      </c>
      <c r="I55" s="23" cm="1">
        <f t="array" ref="I55">_xlfn.XLOOKUP($A55,ACT[[№]:[№]],ACT[Gross weight, kg/ Вес брутто, кг],"",0,1)</f>
        <v>6091</v>
      </c>
      <c r="J55" s="23" t="str" cm="1">
        <f t="array" ref="J55">_xlfn.XLOOKUP($A55,ACT[[№]:[№]],ACT[Delivery terms / Условия поставки],"",0,1)</f>
        <v>FCA</v>
      </c>
      <c r="K55" s="23" cm="1">
        <f t="array" ref="K55">_xlfn.XLOOKUP($A55,ACT[[№]:[№]],ACT[Container total CBM],"",0,1)</f>
        <v>53.075000000000003</v>
      </c>
      <c r="L55" s="24" cm="1">
        <f t="array" ref="L55">_xlfn.XLOOKUP($A55,ACT[[№]:[№]],ACT[FTL inland freight cost per Invoice Appendix/ Стоимость внутренней наземной перевозки за инвойс Приложение                     KRW],"",0,1)</f>
        <v>562000</v>
      </c>
      <c r="M55" s="24" cm="1">
        <f t="array" ref="M55">_xlfn.XLOOKUP($A55,ACT[[№]:[№]],ACT[Consolidation Work, Loading, Unloading/ Работы по консолидации, Погрузка, Разгрузка (Rate/Тариф - 8000 per CBM)                   KRW],"",0,1)</f>
        <v>89399.7</v>
      </c>
      <c r="N55" s="24" cm="1">
        <f t="array" ref="N55">_xlfn.XLOOKUP($A55,ACT[[№]:[№]],ACT[Shoring, Banding, Sealing, Handling/ Крепление, Перевязка, Опечатование, Обработка
KRW],"",0,1)</f>
        <v>38449.627885068294</v>
      </c>
      <c r="O55" s="24" cm="1">
        <f t="array" ref="O55">_xlfn.XLOOKUP($A55,ACT[[№]:[№]],ACT[Documents Work/ Сбор за подготовку документов
KRW],"",0,1)</f>
        <v>9919.9246349505393</v>
      </c>
      <c r="P55" s="24" cm="1">
        <f t="array" ref="P55">_xlfn.XLOOKUP($A55,ACT[[№]:[№]],ACT[THC/ Терминальная обработка
KRW],"",0,1)</f>
        <v>36783.080546396603</v>
      </c>
      <c r="Q55" s="24" cm="1">
        <f t="array" ref="Q55">_xlfn.XLOOKUP($A55,ACT[[№]:[№]],ACT[Wharfage/ Портовая пошлина
KRW],"",0,1)</f>
        <v>1805.4262835609984</v>
      </c>
      <c r="R55" s="24" cm="1">
        <f t="array" ref="R55">_xlfn.XLOOKUP($A55,ACT[[№]:[№]],ACT[TRUCKING CHARGE],"",0,1)</f>
        <v>0</v>
      </c>
      <c r="S55" s="24" cm="1">
        <f t="array" ref="S55">_xlfn.XLOOKUP($A55,ACT[[№]:[№]],ACT[FCL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55650.777202072532</v>
      </c>
      <c r="T55" s="24" cm="1">
        <f t="array" ref="T55">_xlfn.XLOOKUP($A55,ACT[[№]:[№]],ACT[Special Wooden Shoring / Специальное деревянное крепление],"",0,1)</f>
        <v>0</v>
      </c>
      <c r="U55" s="9"/>
      <c r="V55" s="24" cm="1">
        <f t="array" ref="V55">_xlfn.XLOOKUP($A55,ACT[[№]:[№]],ACT[Total amount/ Общая стоимость KRW (10+11+12+13+14+15+16)],"",0,1)</f>
        <v>794008.53655204899</v>
      </c>
      <c r="W55" s="24" cm="1">
        <f t="array" ref="W55">_xlfn.XLOOKUP($A55,ACT[[№]:[№]],ACT[Total amount/ Общая стоимость (17*exchange rate/ обменный курс)
 USD],"",0,1)</f>
        <v>624.84</v>
      </c>
      <c r="X55" s="9" t="e" cm="1">
        <f t="array" ref="X55">IF(#REF!="",_xlfn.XLOOKUP("МАКС",#REF!,#REF!,,0,1),#REF!)</f>
        <v>#REF!</v>
      </c>
      <c r="Y55" s="12" t="e">
        <f>VLOOKUP(Шаблон_Формулы[[#This Row],[24]],#REF!,2,0)</f>
        <v>#REF!</v>
      </c>
      <c r="Z55" s="26" t="str">
        <f>IFERROR(Шаблон_Формулы[[#This Row],[23]]*Шаблон_Формулы[[#This Row],[25]],"")</f>
        <v/>
      </c>
      <c r="AA55" s="13" t="e" cm="1">
        <f t="array" ref="AA55">#REF!</f>
        <v>#REF!</v>
      </c>
    </row>
    <row r="56" spans="1:27" s="8" customFormat="1" ht="12">
      <c r="A56" s="11">
        <v>52</v>
      </c>
      <c r="B56" s="8" t="str" cm="1">
        <f t="array" ref="B56">_xlfn.XLOOKUP($A56,ACT[[№]:[№]],ACT[Container No/
№ Контейнера],"",0,1)</f>
        <v>TCNU9138978</v>
      </c>
      <c r="C56" s="8" t="str">
        <f t="shared" si="0"/>
        <v>UzAutoKorea</v>
      </c>
      <c r="D56" s="11" t="str" cm="1">
        <f t="array" ref="D56">_xlfn.XLOOKUP($A56,ACT[[№]:[№]],ACT[Container Type/ 
Тип контейнера],"",0,1)</f>
        <v>40'HC</v>
      </c>
      <c r="E56" s="21" cm="1">
        <f t="array" ref="E56">_xlfn.XLOOKUP($A56,ACT[[№]:[№]],ACT[Date of Dispatch/ 
Дата отгрузки],"",0,1)</f>
        <v>44965</v>
      </c>
      <c r="F56" s="22" t="str" cm="1">
        <f t="array" ref="F56">_xlfn.XLOOKUP($A56,ACT[[№]:[№]],ACT[Supplier/ Поставщик],"",0,1)</f>
        <v>UZAUTO KOREA</v>
      </c>
      <c r="G56" s="22" t="str" cm="1">
        <f t="array" ref="G56">_xlfn.XLOOKUP($A56,ACT[[№]:[№]],ACT[Supplier Invoice No/                          № Инвойса Поставщика],"",0,1)</f>
        <v xml:space="preserve"> UZST-C230110C </v>
      </c>
      <c r="H56" s="23" cm="1">
        <f t="array" ref="H56">_xlfn.XLOOKUP($A56,ACT[[№]:[№]],ACT[CBM],"",0,1)</f>
        <v>23.754999999999999</v>
      </c>
      <c r="I56" s="23" cm="1">
        <f t="array" ref="I56">_xlfn.XLOOKUP($A56,ACT[[№]:[№]],ACT[Gross weight, kg/ Вес брутто, кг],"",0,1)</f>
        <v>3397.92</v>
      </c>
      <c r="J56" s="23" t="str" cm="1">
        <f t="array" ref="J56">_xlfn.XLOOKUP($A56,ACT[[№]:[№]],ACT[Delivery terms / Условия поставки],"",0,1)</f>
        <v>FOB</v>
      </c>
      <c r="K56" s="23" cm="1">
        <f t="array" ref="K56">_xlfn.XLOOKUP($A56,ACT[[№]:[№]],ACT[Container total CBM],"",0,1)</f>
        <v>53.075000000000003</v>
      </c>
      <c r="L56" s="24" cm="1">
        <f t="array" ref="L56">_xlfn.XLOOKUP($A56,ACT[[№]:[№]],ACT[FTL inland freight cost per Invoice Appendix/ Стоимость внутренней наземной перевозки за инвойс Приложение                     KRW],"",0,1)</f>
        <v>0</v>
      </c>
      <c r="M56" s="24" cm="1">
        <f t="array" ref="M56">_xlfn.XLOOKUP($A56,ACT[[№]:[№]],ACT[Consolidation Work, Loading, Unloading/ Работы по консолидации, Погрузка, Разгрузка (Rate/Тариф - 8000 per CBM)                   KRW],"",0,1)</f>
        <v>0</v>
      </c>
      <c r="N56" s="24" cm="1">
        <f t="array" ref="N56">_xlfn.XLOOKUP($A56,ACT[[№]:[№]],ACT[Shoring, Banding, Sealing, Handling/ Крепление, Перевязка, Опечатование, Обработка
KRW],"",0,1)</f>
        <v>0</v>
      </c>
      <c r="O56" s="24" cm="1">
        <f t="array" ref="O56">_xlfn.XLOOKUP($A56,ACT[[№]:[№]],ACT[Documents Work/ Сбор за подготовку документов
KRW],"",0,1)</f>
        <v>0</v>
      </c>
      <c r="P56" s="24" cm="1">
        <f t="array" ref="P56">_xlfn.XLOOKUP($A56,ACT[[№]:[№]],ACT[THC/ Терминальная обработка
KRW],"",0,1)</f>
        <v>0</v>
      </c>
      <c r="Q56" s="24" cm="1">
        <f t="array" ref="Q56">_xlfn.XLOOKUP($A56,ACT[[№]:[№]],ACT[Wharfage/ Портовая пошлина
KRW],"",0,1)</f>
        <v>0</v>
      </c>
      <c r="R56" s="24" cm="1">
        <f t="array" ref="R56">_xlfn.XLOOKUP($A56,ACT[[№]:[№]],ACT[TRUCKING CHARGE],"",0,1)</f>
        <v>0</v>
      </c>
      <c r="S56" s="24" cm="1">
        <f t="array" ref="S56">_xlfn.XLOOKUP($A56,ACT[[№]:[№]],ACT[FCL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56" s="24" cm="1">
        <f t="array" ref="T56">_xlfn.XLOOKUP($A56,ACT[[№]:[№]],ACT[Special Wooden Shoring / Специальное деревянное крепление],"",0,1)</f>
        <v>0</v>
      </c>
      <c r="U56" s="9"/>
      <c r="V56" s="24" cm="1">
        <f t="array" ref="V56">_xlfn.XLOOKUP($A56,ACT[[№]:[№]],ACT[Total amount/ Общая стоимость KRW (10+11+12+13+14+15+16)],"",0,1)</f>
        <v>0</v>
      </c>
      <c r="W56" s="24" cm="1">
        <f t="array" ref="W56">_xlfn.XLOOKUP($A56,ACT[[№]:[№]],ACT[Total amount/ Общая стоимость (17*exchange rate/ обменный курс)
 USD],"",0,1)</f>
        <v>0</v>
      </c>
      <c r="X56" s="9" t="e" cm="1">
        <f t="array" ref="X56">IF(#REF!="",_xlfn.XLOOKUP("МАКС",#REF!,#REF!,,0,1),#REF!)</f>
        <v>#REF!</v>
      </c>
      <c r="Y56" s="12" t="e">
        <f>VLOOKUP(Шаблон_Формулы[[#This Row],[24]],#REF!,2,0)</f>
        <v>#REF!</v>
      </c>
      <c r="Z56" s="26" t="str">
        <f>IFERROR(Шаблон_Формулы[[#This Row],[23]]*Шаблон_Формулы[[#This Row],[25]],"")</f>
        <v/>
      </c>
      <c r="AA56" s="13" t="e" cm="1">
        <f t="array" ref="AA56">#REF!</f>
        <v>#REF!</v>
      </c>
    </row>
    <row r="57" spans="1:27" s="8" customFormat="1" ht="12">
      <c r="A57" s="11">
        <v>53</v>
      </c>
      <c r="B57" s="8" t="str" cm="1">
        <f t="array" ref="B57">_xlfn.XLOOKUP($A57,ACT[[№]:[№]],ACT[Container No/
№ Контейнера],"",0,1)</f>
        <v>TCNU9138978</v>
      </c>
      <c r="C57" s="8" t="str">
        <f t="shared" si="0"/>
        <v>UzAutoKorea</v>
      </c>
      <c r="D57" s="11" t="str" cm="1">
        <f t="array" ref="D57">_xlfn.XLOOKUP($A57,ACT[[№]:[№]],ACT[Container Type/ 
Тип контейнера],"",0,1)</f>
        <v>40'HC</v>
      </c>
      <c r="E57" s="21" cm="1">
        <f t="array" ref="E57">_xlfn.XLOOKUP($A57,ACT[[№]:[№]],ACT[Date of Dispatch/ 
Дата отгрузки],"",0,1)</f>
        <v>44965</v>
      </c>
      <c r="F57" s="22" t="str" cm="1">
        <f t="array" ref="F57">_xlfn.XLOOKUP($A57,ACT[[№]:[№]],ACT[Supplier/ Поставщик],"",0,1)</f>
        <v>Punkang (GEM Project)</v>
      </c>
      <c r="G57" s="22" t="str" cm="1">
        <f t="array" ref="G57">_xlfn.XLOOKUP($A57,ACT[[№]:[№]],ACT[Supplier Invoice No/                          № Инвойса Поставщика],"",0,1)</f>
        <v>UZATK0035(2)</v>
      </c>
      <c r="H57" s="23" cm="1">
        <f t="array" ref="H57">_xlfn.XLOOKUP($A57,ACT[[№]:[№]],ACT[CBM],"",0,1)</f>
        <v>2.0659999999999998</v>
      </c>
      <c r="I57" s="23" cm="1">
        <f t="array" ref="I57">_xlfn.XLOOKUP($A57,ACT[[№]:[№]],ACT[Gross weight, kg/ Вес брутто, кг],"",0,1)</f>
        <v>2526.13</v>
      </c>
      <c r="J57" s="23" t="str" cm="1">
        <f t="array" ref="J57">_xlfn.XLOOKUP($A57,ACT[[№]:[№]],ACT[Delivery terms / Условия поставки],"",0,1)</f>
        <v>FCA</v>
      </c>
      <c r="K57" s="23" cm="1">
        <f t="array" ref="K57">_xlfn.XLOOKUP($A57,ACT[[№]:[№]],ACT[Container total CBM],"",0,1)</f>
        <v>53.075000000000003</v>
      </c>
      <c r="L57" s="24" cm="1">
        <f t="array" ref="L57">_xlfn.XLOOKUP($A57,ACT[[№]:[№]],ACT[FTL inland freight cost per Invoice Appendix/ Стоимость внутренней наземной перевозки за инвойс Приложение                     KRW],"",0,1)</f>
        <v>391000</v>
      </c>
      <c r="M57" s="24" cm="1">
        <f t="array" ref="M57">_xlfn.XLOOKUP($A57,ACT[[№]:[№]],ACT[Consolidation Work, Loading, Unloading/ Работы по консолидации, Погрузка, Разгрузка (Rate/Тариф - 8000 per CBM)                   KRW],"",0,1)</f>
        <v>17540.34</v>
      </c>
      <c r="N57" s="24" cm="1">
        <f t="array" ref="N57">_xlfn.XLOOKUP($A57,ACT[[№]:[№]],ACT[Shoring, Banding, Sealing, Handling/ Крепление, Перевязка, Опечатование, Обработка
KRW],"",0,1)</f>
        <v>7543.8681111634478</v>
      </c>
      <c r="O57" s="24" cm="1">
        <f t="array" ref="O57">_xlfn.XLOOKUP($A57,ACT[[№]:[№]],ACT[Documents Work/ Сбор за подготовку документов
KRW],"",0,1)</f>
        <v>1946.3024022609511</v>
      </c>
      <c r="P57" s="24" cm="1">
        <f t="array" ref="P57">_xlfn.XLOOKUP($A57,ACT[[№]:[№]],ACT[THC/ Терминальная обработка
KRW],"",0,1)</f>
        <v>7216.8893075836077</v>
      </c>
      <c r="Q57" s="24" cm="1">
        <f t="array" ref="Q57">_xlfn.XLOOKUP($A57,ACT[[№]:[№]],ACT[Wharfage/ Портовая пошлина
KRW],"",0,1)</f>
        <v>354.22703721149315</v>
      </c>
      <c r="R57" s="24" cm="1">
        <f t="array" ref="R57">_xlfn.XLOOKUP($A57,ACT[[№]:[№]],ACT[TRUCKING CHARGE],"",0,1)</f>
        <v>0</v>
      </c>
      <c r="S57" s="24" cm="1">
        <f t="array" ref="S57">_xlfn.XLOOKUP($A57,ACT[[№]:[№]],ACT[FCL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10918.756476683937</v>
      </c>
      <c r="T57" s="24" cm="1">
        <f t="array" ref="T57">_xlfn.XLOOKUP($A57,ACT[[№]:[№]],ACT[Special Wooden Shoring / Специальное деревянное крепление],"",0,1)</f>
        <v>0</v>
      </c>
      <c r="U57" s="9"/>
      <c r="V57" s="24" cm="1">
        <f t="array" ref="V57">_xlfn.XLOOKUP($A57,ACT[[№]:[№]],ACT[Total amount/ Общая стоимость KRW (10+11+12+13+14+15+16)],"",0,1)</f>
        <v>436520.38333490345</v>
      </c>
      <c r="W57" s="24" cm="1">
        <f t="array" ref="W57">_xlfn.XLOOKUP($A57,ACT[[№]:[№]],ACT[Total amount/ Общая стоимость (17*exchange rate/ обменный курс)
 USD],"",0,1)</f>
        <v>343.52</v>
      </c>
      <c r="X57" s="9" t="e" cm="1">
        <f t="array" ref="X57">IF(#REF!="",_xlfn.XLOOKUP("МАКС",#REF!,#REF!,,0,1),#REF!)</f>
        <v>#REF!</v>
      </c>
      <c r="Y57" s="12" t="e">
        <f>VLOOKUP(Шаблон_Формулы[[#This Row],[24]],#REF!,2,0)</f>
        <v>#REF!</v>
      </c>
      <c r="Z57" s="26" t="str">
        <f>IFERROR(Шаблон_Формулы[[#This Row],[23]]*Шаблон_Формулы[[#This Row],[25]],"")</f>
        <v/>
      </c>
      <c r="AA57" s="13" t="e" cm="1">
        <f t="array" ref="AA57">#REF!</f>
        <v>#REF!</v>
      </c>
    </row>
    <row r="58" spans="1:27" s="8" customFormat="1" ht="12">
      <c r="A58" s="11">
        <v>54</v>
      </c>
      <c r="B58" s="8" t="str" cm="1">
        <f t="array" ref="B58">_xlfn.XLOOKUP($A58,ACT[[№]:[№]],ACT[Container No/
№ Контейнера],"",0,1)</f>
        <v>HDMU6781345</v>
      </c>
      <c r="C58" s="8" t="str">
        <f t="shared" si="0"/>
        <v>UzAutoKorea</v>
      </c>
      <c r="D58" s="11" t="str" cm="1">
        <f t="array" ref="D58">_xlfn.XLOOKUP($A58,ACT[[№]:[№]],ACT[Container Type/ 
Тип контейнера],"",0,1)</f>
        <v>40'HC</v>
      </c>
      <c r="E58" s="21" cm="1">
        <f t="array" ref="E58">_xlfn.XLOOKUP($A58,ACT[[№]:[№]],ACT[Date of Dispatch/ 
Дата отгрузки],"",0,1)</f>
        <v>44965</v>
      </c>
      <c r="F58" s="22" t="str" cm="1">
        <f t="array" ref="F58">_xlfn.XLOOKUP($A58,ACT[[№]:[№]],ACT[Supplier/ Поставщик],"",0,1)</f>
        <v>Mando Wonju</v>
      </c>
      <c r="G58" s="22" t="str" cm="1">
        <f t="array" ref="G58">_xlfn.XLOOKUP($A58,ACT[[№]:[№]],ACT[Supplier Invoice No/                          № Инвойса Поставщика],"",0,1)</f>
        <v>CKSD2301042</v>
      </c>
      <c r="H58" s="23" cm="1">
        <f t="array" ref="H58">_xlfn.XLOOKUP($A58,ACT[[№]:[№]],ACT[CBM],"",0,1)</f>
        <v>51.600999999999999</v>
      </c>
      <c r="I58" s="23" cm="1">
        <f t="array" ref="I58">_xlfn.XLOOKUP($A58,ACT[[№]:[№]],ACT[Gross weight, kg/ Вес брутто, кг],"",0,1)</f>
        <v>9477.1</v>
      </c>
      <c r="J58" s="23" t="str" cm="1">
        <f t="array" ref="J58">_xlfn.XLOOKUP($A58,ACT[[№]:[№]],ACT[Delivery terms / Условия поставки],"",0,1)</f>
        <v>FCA</v>
      </c>
      <c r="K58" s="23" cm="1">
        <f t="array" ref="K58">_xlfn.XLOOKUP($A58,ACT[[№]:[№]],ACT[Container total CBM],"",0,1)</f>
        <v>66.710000000000008</v>
      </c>
      <c r="L58" s="24" cm="1">
        <f t="array" ref="L58">_xlfn.XLOOKUP($A58,ACT[[№]:[№]],ACT[FTL inland freight cost per Invoice Appendix/ Стоимость внутренней наземной перевозки за инвойс Приложение                     KRW],"",0,1)</f>
        <v>1038000</v>
      </c>
      <c r="M58" s="24" cm="1">
        <f t="array" ref="M58">_xlfn.XLOOKUP($A58,ACT[[№]:[№]],ACT[Consolidation Work, Loading, Unloading/ Работы по консолидации, Погрузка, Разгрузка (Rate/Тариф - 8000 per CBM)                   KRW],"",0,1)</f>
        <v>438092.49</v>
      </c>
      <c r="N58" s="24" cm="1">
        <f t="array" ref="N58">_xlfn.XLOOKUP($A58,ACT[[№]:[№]],ACT[Shoring, Banding, Sealing, Handling/ Крепление, Перевязка, Опечатование, Обработка
KRW],"",0,1)</f>
        <v>149906.66766601708</v>
      </c>
      <c r="O58" s="24" cm="1">
        <f t="array" ref="O58">_xlfn.XLOOKUP($A58,ACT[[№]:[№]],ACT[Documents Work/ Сбор за подготовку документов
KRW],"",0,1)</f>
        <v>38675.610852945581</v>
      </c>
      <c r="P58" s="24" cm="1">
        <f t="array" ref="P58">_xlfn.XLOOKUP($A58,ACT[[№]:[№]],ACT[THC/ Терминальная обработка
KRW],"",0,1)</f>
        <v>143409.16504272222</v>
      </c>
      <c r="Q58" s="24" cm="1">
        <f t="array" ref="Q58">_xlfn.XLOOKUP($A58,ACT[[№]:[№]],ACT[Wharfage/ Портовая пошлина
KRW],"",0,1)</f>
        <v>7038.9611752360952</v>
      </c>
      <c r="R58" s="24" cm="1">
        <f t="array" ref="R58">_xlfn.XLOOKUP($A58,ACT[[№]:[№]],ACT[TRUCKING CHARGE],"",0,1)</f>
        <v>0</v>
      </c>
      <c r="S58" s="24" cm="1">
        <f t="array" ref="S58">_xlfn.XLOOKUP($A58,ACT[[№]:[№]],ACT[FCL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216970.1768850247</v>
      </c>
      <c r="T58" s="24" cm="1">
        <f t="array" ref="T58">_xlfn.XLOOKUP($A58,ACT[[№]:[№]],ACT[Special Wooden Shoring / Специальное деревянное крепление],"",0,1)</f>
        <v>0</v>
      </c>
      <c r="U58" s="9"/>
      <c r="V58" s="24" cm="1">
        <f t="array" ref="V58">_xlfn.XLOOKUP($A58,ACT[[№]:[№]],ACT[Total amount/ Общая стоимость KRW (10+11+12+13+14+15+16)],"",0,1)</f>
        <v>2032093.0716219456</v>
      </c>
      <c r="W58" s="24" cm="1">
        <f t="array" ref="W58">_xlfn.XLOOKUP($A58,ACT[[№]:[№]],ACT[Total amount/ Общая стоимость (17*exchange rate/ обменный курс)
 USD],"",0,1)</f>
        <v>1599.14</v>
      </c>
      <c r="X58" s="9" t="e" cm="1">
        <f t="array" ref="X58">IF(#REF!="",_xlfn.XLOOKUP("МАКС",#REF!,#REF!,,0,1),#REF!)</f>
        <v>#REF!</v>
      </c>
      <c r="Y58" s="12" t="e">
        <f>VLOOKUP(Шаблон_Формулы[[#This Row],[24]],#REF!,2,0)</f>
        <v>#REF!</v>
      </c>
      <c r="Z58" s="26" t="str">
        <f>IFERROR(Шаблон_Формулы[[#This Row],[23]]*Шаблон_Формулы[[#This Row],[25]],"")</f>
        <v/>
      </c>
      <c r="AA58" s="13" t="e" cm="1">
        <f t="array" ref="AA58">#REF!</f>
        <v>#REF!</v>
      </c>
    </row>
    <row r="59" spans="1:27" s="8" customFormat="1" ht="12">
      <c r="A59" s="11">
        <v>55</v>
      </c>
      <c r="B59" s="8" t="str" cm="1">
        <f t="array" ref="B59">_xlfn.XLOOKUP($A59,ACT[[№]:[№]],ACT[Container No/
№ Контейнера],"",0,1)</f>
        <v>HDMU6781345</v>
      </c>
      <c r="C59" s="8" t="str">
        <f t="shared" si="0"/>
        <v>UzAutoKorea</v>
      </c>
      <c r="D59" s="11" t="str" cm="1">
        <f t="array" ref="D59">_xlfn.XLOOKUP($A59,ACT[[№]:[№]],ACT[Container Type/ 
Тип контейнера],"",0,1)</f>
        <v>40'HC</v>
      </c>
      <c r="E59" s="21" cm="1">
        <f t="array" ref="E59">_xlfn.XLOOKUP($A59,ACT[[№]:[№]],ACT[Date of Dispatch/ 
Дата отгрузки],"",0,1)</f>
        <v>44965</v>
      </c>
      <c r="F59" s="22" t="str" cm="1">
        <f t="array" ref="F59">_xlfn.XLOOKUP($A59,ACT[[№]:[№]],ACT[Supplier/ Поставщик],"",0,1)</f>
        <v>Samshin</v>
      </c>
      <c r="G59" s="22" t="str" cm="1">
        <f t="array" ref="G59">_xlfn.XLOOKUP($A59,ACT[[№]:[№]],ACT[Supplier Invoice No/                          № Инвойса Поставщика],"",0,1)</f>
        <v>SUZ-2022-1228</v>
      </c>
      <c r="H59" s="23" cm="1">
        <f t="array" ref="H59">_xlfn.XLOOKUP($A59,ACT[[№]:[№]],ACT[CBM],"",0,1)</f>
        <v>0.59699999999999998</v>
      </c>
      <c r="I59" s="23" cm="1">
        <f t="array" ref="I59">_xlfn.XLOOKUP($A59,ACT[[№]:[№]],ACT[Gross weight, kg/ Вес брутто, кг],"",0,1)</f>
        <v>25</v>
      </c>
      <c r="J59" s="23" t="str" cm="1">
        <f t="array" ref="J59">_xlfn.XLOOKUP($A59,ACT[[№]:[№]],ACT[Delivery terms / Условия поставки],"",0,1)</f>
        <v>FCA</v>
      </c>
      <c r="K59" s="23" cm="1">
        <f t="array" ref="K59">_xlfn.XLOOKUP($A59,ACT[[№]:[№]],ACT[Container total CBM],"",0,1)</f>
        <v>66.710000000000008</v>
      </c>
      <c r="L59" s="24" cm="1">
        <f t="array" ref="L59">_xlfn.XLOOKUP($A59,ACT[[№]:[№]],ACT[FTL inland freight cost per Invoice Appendix/ Стоимость внутренней наземной перевозки за инвойс Приложение                     KRW],"",0,1)</f>
        <v>288000</v>
      </c>
      <c r="M59" s="24" cm="1">
        <f t="array" ref="M59">_xlfn.XLOOKUP($A59,ACT[[№]:[№]],ACT[Consolidation Work, Loading, Unloading/ Работы по консолидации, Погрузка, Разгрузка (Rate/Тариф - 8000 per CBM)                   KRW],"",0,1)</f>
        <v>5068.53</v>
      </c>
      <c r="N59" s="24" cm="1">
        <f t="array" ref="N59">_xlfn.XLOOKUP($A59,ACT[[№]:[№]],ACT[Shoring, Banding, Sealing, Handling/ Крепление, Перевязка, Опечатование, Обработка
KRW],"",0,1)</f>
        <v>1734.3516714135808</v>
      </c>
      <c r="O59" s="24" cm="1">
        <f t="array" ref="O59">_xlfn.XLOOKUP($A59,ACT[[№]:[№]],ACT[Documents Work/ Сбор за подготовку документов
KRW],"",0,1)</f>
        <v>447.45915155149146</v>
      </c>
      <c r="P59" s="24" cm="1">
        <f t="array" ref="P59">_xlfn.XLOOKUP($A59,ACT[[№]:[№]],ACT[THC/ Терминальная обработка
KRW],"",0,1)</f>
        <v>1659.1785339529304</v>
      </c>
      <c r="Q59" s="24" cm="1">
        <f t="array" ref="Q59">_xlfn.XLOOKUP($A59,ACT[[№]:[№]],ACT[Wharfage/ Портовая пошлина
KRW],"",0,1)</f>
        <v>81.437565582371462</v>
      </c>
      <c r="R59" s="24" cm="1">
        <f t="array" ref="R59">_xlfn.XLOOKUP($A59,ACT[[№]:[№]],ACT[TRUCKING CHARGE],"",0,1)</f>
        <v>0</v>
      </c>
      <c r="S59" s="24" cm="1">
        <f t="array" ref="S59">_xlfn.XLOOKUP($A59,ACT[[№]:[№]],ACT[FCL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2510.2458402038669</v>
      </c>
      <c r="T59" s="24" cm="1">
        <f t="array" ref="T59">_xlfn.XLOOKUP($A59,ACT[[№]:[№]],ACT[Special Wooden Shoring / Специальное деревянное крепление],"",0,1)</f>
        <v>0</v>
      </c>
      <c r="U59" s="9"/>
      <c r="V59" s="24" cm="1">
        <f t="array" ref="V59">_xlfn.XLOOKUP($A59,ACT[[№]:[№]],ACT[Total amount/ Общая стоимость KRW (10+11+12+13+14+15+16)],"",0,1)</f>
        <v>299501.20276270428</v>
      </c>
      <c r="W59" s="24" cm="1">
        <f t="array" ref="W59">_xlfn.XLOOKUP($A59,ACT[[№]:[№]],ACT[Total amount/ Общая стоимость (17*exchange rate/ обменный курс)
 USD],"",0,1)</f>
        <v>235.69</v>
      </c>
      <c r="X59" s="9" t="e" cm="1">
        <f t="array" ref="X59">IF(#REF!="",_xlfn.XLOOKUP("МАКС",#REF!,#REF!,,0,1),#REF!)</f>
        <v>#REF!</v>
      </c>
      <c r="Y59" s="12" t="e">
        <f>VLOOKUP(Шаблон_Формулы[[#This Row],[24]],#REF!,2,0)</f>
        <v>#REF!</v>
      </c>
      <c r="Z59" s="26" t="str">
        <f>IFERROR(Шаблон_Формулы[[#This Row],[23]]*Шаблон_Формулы[[#This Row],[25]],"")</f>
        <v/>
      </c>
      <c r="AA59" s="13" t="e" cm="1">
        <f t="array" ref="AA59">#REF!</f>
        <v>#REF!</v>
      </c>
    </row>
    <row r="60" spans="1:27" s="8" customFormat="1" ht="12">
      <c r="A60" s="11">
        <v>56</v>
      </c>
      <c r="B60" s="8" t="str" cm="1">
        <f t="array" ref="B60">_xlfn.XLOOKUP($A60,ACT[[№]:[№]],ACT[Container No/
№ Контейнера],"",0,1)</f>
        <v>HDMU6781345</v>
      </c>
      <c r="C60" s="8" t="str">
        <f t="shared" si="0"/>
        <v>UzAutoKorea</v>
      </c>
      <c r="D60" s="11" t="str" cm="1">
        <f t="array" ref="D60">_xlfn.XLOOKUP($A60,ACT[[№]:[№]],ACT[Container Type/ 
Тип контейнера],"",0,1)</f>
        <v>40'HC</v>
      </c>
      <c r="E60" s="21" cm="1">
        <f t="array" ref="E60">_xlfn.XLOOKUP($A60,ACT[[№]:[№]],ACT[Date of Dispatch/ 
Дата отгрузки],"",0,1)</f>
        <v>44965</v>
      </c>
      <c r="F60" s="22" t="str" cm="1">
        <f t="array" ref="F60">_xlfn.XLOOKUP($A60,ACT[[№]:[№]],ACT[Supplier/ Поставщик],"",0,1)</f>
        <v>CheongHa (GEM Project)</v>
      </c>
      <c r="G60" s="22" t="str" cm="1">
        <f t="array" ref="G60">_xlfn.XLOOKUP($A60,ACT[[№]:[№]],ACT[Supplier Invoice No/                          № Инвойса Поставщика],"",0,1)</f>
        <v>UZATK0035(3)</v>
      </c>
      <c r="H60" s="23" cm="1">
        <f t="array" ref="H60">_xlfn.XLOOKUP($A60,ACT[[№]:[№]],ACT[CBM],"",0,1)</f>
        <v>8.0679999999999996</v>
      </c>
      <c r="I60" s="23" cm="1">
        <f t="array" ref="I60">_xlfn.XLOOKUP($A60,ACT[[№]:[№]],ACT[Gross weight, kg/ Вес брутто, кг],"",0,1)</f>
        <v>742</v>
      </c>
      <c r="J60" s="23" t="str" cm="1">
        <f t="array" ref="J60">_xlfn.XLOOKUP($A60,ACT[[№]:[№]],ACT[Delivery terms / Условия поставки],"",0,1)</f>
        <v>FCA</v>
      </c>
      <c r="K60" s="23" cm="1">
        <f t="array" ref="K60">_xlfn.XLOOKUP($A60,ACT[[№]:[№]],ACT[Container total CBM],"",0,1)</f>
        <v>66.710000000000008</v>
      </c>
      <c r="L60" s="24" cm="1">
        <f t="array" ref="L60">_xlfn.XLOOKUP($A60,ACT[[№]:[№]],ACT[FTL inland freight cost per Invoice Appendix/ Стоимость внутренней наземной перевозки за инвойс Приложение                     KRW],"",0,1)</f>
        <v>465000</v>
      </c>
      <c r="M60" s="24" cm="1">
        <f t="array" ref="M60">_xlfn.XLOOKUP($A60,ACT[[№]:[№]],ACT[Consolidation Work, Loading, Unloading/ Работы по консолидации, Погрузка, Разгрузка (Rate/Тариф - 8000 per CBM)                   KRW],"",0,1)</f>
        <v>68497.319999999992</v>
      </c>
      <c r="N60" s="24" cm="1">
        <f t="array" ref="N60">_xlfn.XLOOKUP($A60,ACT[[№]:[№]],ACT[Shoring, Banding, Sealing, Handling/ Крепление, Перевязка, Опечатование, Обработка
KRW],"",0,1)</f>
        <v>23438.441013341329</v>
      </c>
      <c r="O60" s="24" cm="1">
        <f t="array" ref="O60">_xlfn.XLOOKUP($A60,ACT[[№]:[№]],ACT[Documents Work/ Сбор за подготовку документов
KRW],"",0,1)</f>
        <v>6047.0694048868227</v>
      </c>
      <c r="P60" s="24" cm="1">
        <f t="array" ref="P60">_xlfn.XLOOKUP($A60,ACT[[№]:[№]],ACT[THC/ Терминальная обработка
KRW],"",0,1)</f>
        <v>22422.533353320337</v>
      </c>
      <c r="Q60" s="24" cm="1">
        <f t="array" ref="Q60">_xlfn.XLOOKUP($A60,ACT[[№]:[№]],ACT[Wharfage/ Портовая пошлина
KRW],"",0,1)</f>
        <v>1100.5666316894017</v>
      </c>
      <c r="R60" s="24" cm="1">
        <f t="array" ref="R60">_xlfn.XLOOKUP($A60,ACT[[№]:[№]],ACT[TRUCKING CHARGE],"",0,1)</f>
        <v>0</v>
      </c>
      <c r="S60" s="24" cm="1">
        <f t="array" ref="S60">_xlfn.XLOOKUP($A60,ACT[[№]:[№]],ACT[FCL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33924.059361415078</v>
      </c>
      <c r="T60" s="24" cm="1">
        <f t="array" ref="T60">_xlfn.XLOOKUP($A60,ACT[[№]:[№]],ACT[Special Wooden Shoring / Специальное деревянное крепление],"",0,1)</f>
        <v>0</v>
      </c>
      <c r="U60" s="9"/>
      <c r="V60" s="24" cm="1">
        <f t="array" ref="V60">_xlfn.XLOOKUP($A60,ACT[[№]:[№]],ACT[Total amount/ Общая стоимость KRW (10+11+12+13+14+15+16)],"",0,1)</f>
        <v>620429.98976465291</v>
      </c>
      <c r="W60" s="24" cm="1">
        <f t="array" ref="W60">_xlfn.XLOOKUP($A60,ACT[[№]:[№]],ACT[Total amount/ Общая стоимость (17*exchange rate/ обменный курс)
 USD],"",0,1)</f>
        <v>488.24</v>
      </c>
      <c r="X60" s="9" t="e" cm="1">
        <f t="array" ref="X60">IF(#REF!="",_xlfn.XLOOKUP("МАКС",#REF!,#REF!,,0,1),#REF!)</f>
        <v>#REF!</v>
      </c>
      <c r="Y60" s="12" t="e">
        <f>VLOOKUP(Шаблон_Формулы[[#This Row],[24]],#REF!,2,0)</f>
        <v>#REF!</v>
      </c>
      <c r="Z60" s="26" t="str">
        <f>IFERROR(Шаблон_Формулы[[#This Row],[23]]*Шаблон_Формулы[[#This Row],[25]],"")</f>
        <v/>
      </c>
      <c r="AA60" s="13" t="e" cm="1">
        <f t="array" ref="AA60">#REF!</f>
        <v>#REF!</v>
      </c>
    </row>
    <row r="61" spans="1:27" s="8" customFormat="1" ht="12">
      <c r="A61" s="11">
        <v>57</v>
      </c>
      <c r="B61" s="8" t="str" cm="1">
        <f t="array" ref="B61">_xlfn.XLOOKUP($A61,ACT[[№]:[№]],ACT[Container No/
№ Контейнера],"",0,1)</f>
        <v>HDMU6781345</v>
      </c>
      <c r="C61" s="8" t="str">
        <f t="shared" si="0"/>
        <v>UzAutoKorea</v>
      </c>
      <c r="D61" s="11" t="str" cm="1">
        <f t="array" ref="D61">_xlfn.XLOOKUP($A61,ACT[[№]:[№]],ACT[Container Type/ 
Тип контейнера],"",0,1)</f>
        <v>40'HC</v>
      </c>
      <c r="E61" s="21" cm="1">
        <f t="array" ref="E61">_xlfn.XLOOKUP($A61,ACT[[№]:[№]],ACT[Date of Dispatch/ 
Дата отгрузки],"",0,1)</f>
        <v>44965</v>
      </c>
      <c r="F61" s="22" t="str" cm="1">
        <f t="array" ref="F61">_xlfn.XLOOKUP($A61,ACT[[№]:[№]],ACT[Supplier/ Поставщик],"",0,1)</f>
        <v>Samshin(GEM Project)</v>
      </c>
      <c r="G61" s="22" t="str" cm="1">
        <f t="array" ref="G61">_xlfn.XLOOKUP($A61,ACT[[№]:[№]],ACT[Supplier Invoice No/                          № Инвойса Поставщика],"",0,1)</f>
        <v>UZATK0035(4)</v>
      </c>
      <c r="H61" s="23" cm="1">
        <f t="array" ref="H61">_xlfn.XLOOKUP($A61,ACT[[№]:[№]],ACT[CBM],"",0,1)</f>
        <v>2.1480000000000001</v>
      </c>
      <c r="I61" s="23" cm="1">
        <f t="array" ref="I61">_xlfn.XLOOKUP($A61,ACT[[№]:[№]],ACT[Gross weight, kg/ Вес брутто, кг],"",0,1)</f>
        <v>182</v>
      </c>
      <c r="J61" s="23" t="str" cm="1">
        <f t="array" ref="J61">_xlfn.XLOOKUP($A61,ACT[[№]:[№]],ACT[Delivery terms / Условия поставки],"",0,1)</f>
        <v>FCA</v>
      </c>
      <c r="K61" s="23" cm="1">
        <f t="array" ref="K61">_xlfn.XLOOKUP($A61,ACT[[№]:[№]],ACT[Container total CBM],"",0,1)</f>
        <v>66.710000000000008</v>
      </c>
      <c r="L61" s="24" cm="1">
        <f t="array" ref="L61">_xlfn.XLOOKUP($A61,ACT[[№]:[№]],ACT[FTL inland freight cost per Invoice Appendix/ Стоимость внутренней наземной перевозки за инвойс Приложение                     KRW],"",0,1)</f>
        <v>288000</v>
      </c>
      <c r="M61" s="24" cm="1">
        <f t="array" ref="M61">_xlfn.XLOOKUP($A61,ACT[[№]:[№]],ACT[Consolidation Work, Loading, Unloading/ Работы по консолидации, Погрузка, Разгрузка (Rate/Тариф - 8000 per CBM)                   KRW],"",0,1)</f>
        <v>18236.52</v>
      </c>
      <c r="N61" s="24" cm="1">
        <f t="array" ref="N61">_xlfn.XLOOKUP($A61,ACT[[№]:[№]],ACT[Shoring, Banding, Sealing, Handling/ Крепление, Перевязка, Опечатование, Обработка
KRW],"",0,1)</f>
        <v>6240.1798830760008</v>
      </c>
      <c r="O61" s="24" cm="1">
        <f t="array" ref="O61">_xlfn.XLOOKUP($A61,ACT[[№]:[№]],ACT[Documents Work/ Сбор за подготовку документов
KRW],"",0,1)</f>
        <v>1609.9535302053664</v>
      </c>
      <c r="P61" s="24" cm="1">
        <f t="array" ref="P61">_xlfn.XLOOKUP($A61,ACT[[№]:[№]],ACT[THC/ Терминальная обработка
KRW],"",0,1)</f>
        <v>5969.707690001499</v>
      </c>
      <c r="Q61" s="24" cm="1">
        <f t="array" ref="Q61">_xlfn.XLOOKUP($A61,ACT[[№]:[№]],ACT[Wharfage/ Портовая пошлина
KRW],"",0,1)</f>
        <v>293.01154249737669</v>
      </c>
      <c r="R61" s="24" cm="1">
        <f t="array" ref="R61">_xlfn.XLOOKUP($A61,ACT[[№]:[№]],ACT[TRUCKING CHARGE],"",0,1)</f>
        <v>0</v>
      </c>
      <c r="S61" s="24" cm="1">
        <f t="array" ref="S61">_xlfn.XLOOKUP($A61,ACT[[№]:[№]],ACT[FCL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9031.8393044521054</v>
      </c>
      <c r="T61" s="24" cm="1">
        <f t="array" ref="T61">_xlfn.XLOOKUP($A61,ACT[[№]:[№]],ACT[Special Wooden Shoring / Специальное деревянное крепление],"",0,1)</f>
        <v>0</v>
      </c>
      <c r="U61" s="9"/>
      <c r="V61" s="24" cm="1">
        <f t="array" ref="V61">_xlfn.XLOOKUP($A61,ACT[[№]:[№]],ACT[Total amount/ Общая стоимость KRW (10+11+12+13+14+15+16)],"",0,1)</f>
        <v>329381.21195023239</v>
      </c>
      <c r="W61" s="24" cm="1">
        <f t="array" ref="W61">_xlfn.XLOOKUP($A61,ACT[[№]:[№]],ACT[Total amount/ Общая стоимость (17*exchange rate/ обменный курс)
 USD],"",0,1)</f>
        <v>259.2</v>
      </c>
      <c r="X61" s="9" t="e" cm="1">
        <f t="array" ref="X61">IF(#REF!="",_xlfn.XLOOKUP("МАКС",#REF!,#REF!,,0,1),#REF!)</f>
        <v>#REF!</v>
      </c>
      <c r="Y61" s="12" t="e">
        <f>VLOOKUP(Шаблон_Формулы[[#This Row],[24]],#REF!,2,0)</f>
        <v>#REF!</v>
      </c>
      <c r="Z61" s="26" t="str">
        <f>IFERROR(Шаблон_Формулы[[#This Row],[23]]*Шаблон_Формулы[[#This Row],[25]],"")</f>
        <v/>
      </c>
      <c r="AA61" s="13" t="e" cm="1">
        <f t="array" ref="AA61">#REF!</f>
        <v>#REF!</v>
      </c>
    </row>
    <row r="62" spans="1:27" s="8" customFormat="1" ht="12">
      <c r="A62" s="11">
        <v>58</v>
      </c>
      <c r="B62" s="8" t="str" cm="1">
        <f t="array" ref="B62">_xlfn.XLOOKUP($A62,ACT[[№]:[№]],ACT[Container No/
№ Контейнера],"",0,1)</f>
        <v>HDMU6781345</v>
      </c>
      <c r="C62" s="8" t="str">
        <f t="shared" si="0"/>
        <v>UzAutoKorea</v>
      </c>
      <c r="D62" s="11" t="str" cm="1">
        <f t="array" ref="D62">_xlfn.XLOOKUP($A62,ACT[[№]:[№]],ACT[Container Type/ 
Тип контейнера],"",0,1)</f>
        <v>40'HC</v>
      </c>
      <c r="E62" s="21" cm="1">
        <f t="array" ref="E62">_xlfn.XLOOKUP($A62,ACT[[№]:[№]],ACT[Date of Dispatch/ 
Дата отгрузки],"",0,1)</f>
        <v>44965</v>
      </c>
      <c r="F62" s="22" t="str" cm="1">
        <f t="array" ref="F62">_xlfn.XLOOKUP($A62,ACT[[№]:[№]],ACT[Supplier/ Поставщик],"",0,1)</f>
        <v>Samshin(GEM Project)</v>
      </c>
      <c r="G62" s="22" t="str" cm="1">
        <f t="array" ref="G62">_xlfn.XLOOKUP($A62,ACT[[№]:[№]],ACT[Supplier Invoice No/                          № Инвойса Поставщика],"",0,1)</f>
        <v>UZATK0035(5)</v>
      </c>
      <c r="H62" s="23" cm="1">
        <f t="array" ref="H62">_xlfn.XLOOKUP($A62,ACT[[№]:[№]],ACT[CBM],"",0,1)</f>
        <v>4.2960000000000003</v>
      </c>
      <c r="I62" s="23" cm="1">
        <f t="array" ref="I62">_xlfn.XLOOKUP($A62,ACT[[№]:[№]],ACT[Gross weight, kg/ Вес брутто, кг],"",0,1)</f>
        <v>378</v>
      </c>
      <c r="J62" s="23" t="str" cm="1">
        <f t="array" ref="J62">_xlfn.XLOOKUP($A62,ACT[[№]:[№]],ACT[Delivery terms / Условия поставки],"",0,1)</f>
        <v>FCA</v>
      </c>
      <c r="K62" s="23" cm="1">
        <f t="array" ref="K62">_xlfn.XLOOKUP($A62,ACT[[№]:[№]],ACT[Container total CBM],"",0,1)</f>
        <v>66.710000000000008</v>
      </c>
      <c r="L62" s="24" cm="1">
        <f t="array" ref="L62">_xlfn.XLOOKUP($A62,ACT[[№]:[№]],ACT[FTL inland freight cost per Invoice Appendix/ Стоимость внутренней наземной перевозки за инвойс Приложение                     KRW],"",0,1)</f>
        <v>408000</v>
      </c>
      <c r="M62" s="24" cm="1">
        <f t="array" ref="M62">_xlfn.XLOOKUP($A62,ACT[[№]:[№]],ACT[Consolidation Work, Loading, Unloading/ Работы по консолидации, Погрузка, Разгрузка (Rate/Тариф - 8000 per CBM)                   KRW],"",0,1)</f>
        <v>36473.040000000001</v>
      </c>
      <c r="N62" s="24" cm="1">
        <f t="array" ref="N62">_xlfn.XLOOKUP($A62,ACT[[№]:[№]],ACT[Shoring, Banding, Sealing, Handling/ Крепление, Перевязка, Опечатование, Обработка
KRW],"",0,1)</f>
        <v>12480.359766152002</v>
      </c>
      <c r="O62" s="24" cm="1">
        <f t="array" ref="O62">_xlfn.XLOOKUP($A62,ACT[[№]:[№]],ACT[Documents Work/ Сбор за подготовку документов
KRW],"",0,1)</f>
        <v>3219.9070604107328</v>
      </c>
      <c r="P62" s="24" cm="1">
        <f t="array" ref="P62">_xlfn.XLOOKUP($A62,ACT[[№]:[№]],ACT[THC/ Терминальная обработка
KRW],"",0,1)</f>
        <v>11939.415380002998</v>
      </c>
      <c r="Q62" s="24" cm="1">
        <f t="array" ref="Q62">_xlfn.XLOOKUP($A62,ACT[[№]:[№]],ACT[Wharfage/ Портовая пошлина
KRW],"",0,1)</f>
        <v>586.02308499475339</v>
      </c>
      <c r="R62" s="24" cm="1">
        <f t="array" ref="R62">_xlfn.XLOOKUP($A62,ACT[[№]:[№]],ACT[TRUCKING CHARGE],"",0,1)</f>
        <v>0</v>
      </c>
      <c r="S62" s="24" cm="1">
        <f t="array" ref="S62">_xlfn.XLOOKUP($A62,ACT[[№]:[№]],ACT[FCL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18063.678608904211</v>
      </c>
      <c r="T62" s="24" cm="1">
        <f t="array" ref="T62">_xlfn.XLOOKUP($A62,ACT[[№]:[№]],ACT[Special Wooden Shoring / Специальное деревянное крепление],"",0,1)</f>
        <v>0</v>
      </c>
      <c r="U62" s="9"/>
      <c r="V62" s="24" cm="1">
        <f t="array" ref="V62">_xlfn.XLOOKUP($A62,ACT[[№]:[№]],ACT[Total amount/ Общая стоимость KRW (10+11+12+13+14+15+16)],"",0,1)</f>
        <v>490762.42390046467</v>
      </c>
      <c r="W62" s="24" cm="1">
        <f t="array" ref="W62">_xlfn.XLOOKUP($A62,ACT[[№]:[№]],ACT[Total amount/ Общая стоимость (17*exchange rate/ обменный курс)
 USD],"",0,1)</f>
        <v>386.2</v>
      </c>
      <c r="X62" s="9" t="e" cm="1">
        <f t="array" ref="X62">IF(#REF!="",_xlfn.XLOOKUP("МАКС",#REF!,#REF!,,0,1),#REF!)</f>
        <v>#REF!</v>
      </c>
      <c r="Y62" s="12" t="e">
        <f>VLOOKUP(Шаблон_Формулы[[#This Row],[24]],#REF!,2,0)</f>
        <v>#REF!</v>
      </c>
      <c r="Z62" s="26" t="str">
        <f>IFERROR(Шаблон_Формулы[[#This Row],[23]]*Шаблон_Формулы[[#This Row],[25]],"")</f>
        <v/>
      </c>
      <c r="AA62" s="13" t="e" cm="1">
        <f t="array" ref="AA62">#REF!</f>
        <v>#REF!</v>
      </c>
    </row>
    <row r="63" spans="1:27" s="8" customFormat="1" ht="12">
      <c r="A63" s="11">
        <v>59</v>
      </c>
      <c r="B63" s="8" t="str" cm="1">
        <f t="array" ref="B63">_xlfn.XLOOKUP($A63,ACT[[№]:[№]],ACT[Container No/
№ Контейнера],"",0,1)</f>
        <v>FCIU8107361</v>
      </c>
      <c r="C63" s="8" t="str">
        <f t="shared" si="0"/>
        <v>UzAutoKorea</v>
      </c>
      <c r="D63" s="11" t="str" cm="1">
        <f t="array" ref="D63">_xlfn.XLOOKUP($A63,ACT[[№]:[№]],ACT[Container Type/ 
Тип контейнера],"",0,1)</f>
        <v>40'HC</v>
      </c>
      <c r="E63" s="21" cm="1">
        <f t="array" ref="E63">_xlfn.XLOOKUP($A63,ACT[[№]:[№]],ACT[Date of Dispatch/ 
Дата отгрузки],"",0,1)</f>
        <v>44965</v>
      </c>
      <c r="F63" s="22" t="str" cm="1">
        <f t="array" ref="F63">_xlfn.XLOOKUP($A63,ACT[[№]:[№]],ACT[Supplier/ Поставщик],"",0,1)</f>
        <v>SNT Motiv</v>
      </c>
      <c r="G63" s="22" t="str" cm="1">
        <f t="array" ref="G63">_xlfn.XLOOKUP($A63,ACT[[№]:[№]],ACT[Supplier Invoice No/                          № Инвойса Поставщика],"",0,1)</f>
        <v>CUZ230112</v>
      </c>
      <c r="H63" s="23" cm="1">
        <f t="array" ref="H63">_xlfn.XLOOKUP($A63,ACT[[№]:[№]],ACT[CBM],"",0,1)</f>
        <v>28.216999999999999</v>
      </c>
      <c r="I63" s="23" cm="1">
        <f t="array" ref="I63">_xlfn.XLOOKUP($A63,ACT[[№]:[№]],ACT[Gross weight, kg/ Вес брутто, кг],"",0,1)</f>
        <v>2220</v>
      </c>
      <c r="J63" s="23" t="str" cm="1">
        <f t="array" ref="J63">_xlfn.XLOOKUP($A63,ACT[[№]:[№]],ACT[Delivery terms / Условия поставки],"",0,1)</f>
        <v>FCA</v>
      </c>
      <c r="K63" s="23" cm="1">
        <f t="array" ref="K63">_xlfn.XLOOKUP($A63,ACT[[№]:[№]],ACT[Container total CBM],"",0,1)</f>
        <v>66.617000000000004</v>
      </c>
      <c r="L63" s="24" cm="1">
        <f t="array" ref="L63">_xlfn.XLOOKUP($A63,ACT[[№]:[№]],ACT[FTL inland freight cost per Invoice Appendix/ Стоимость внутренней наземной перевозки за инвойс Приложение                     KRW],"",0,1)</f>
        <v>291000</v>
      </c>
      <c r="M63" s="24" cm="1">
        <f t="array" ref="M63">_xlfn.XLOOKUP($A63,ACT[[№]:[№]],ACT[Consolidation Work, Loading, Unloading/ Работы по консолидации, Погрузка, Разгрузка (Rate/Тариф - 8000 per CBM)                   KRW],"",0,1)</f>
        <v>239562.33</v>
      </c>
      <c r="N63" s="24" cm="1">
        <f t="array" ref="N63">_xlfn.XLOOKUP($A63,ACT[[№]:[№]],ACT[Shoring, Banding, Sealing, Handling/ Крепление, Перевязка, Опечатование, Обработка
KRW],"",0,1)</f>
        <v>82087.974541033065</v>
      </c>
      <c r="O63" s="24" cm="1">
        <f t="array" ref="O63">_xlfn.XLOOKUP($A63,ACT[[№]:[№]],ACT[Documents Work/ Сбор за подготовку документов
KRW],"",0,1)</f>
        <v>21178.528003362502</v>
      </c>
      <c r="P63" s="24" cm="1">
        <f t="array" ref="P63">_xlfn.XLOOKUP($A63,ACT[[№]:[№]],ACT[THC/ Терминальная обработка
KRW],"",0,1)</f>
        <v>78529.981836468171</v>
      </c>
      <c r="Q63" s="24" cm="1">
        <f t="array" ref="Q63">_xlfn.XLOOKUP($A63,ACT[[№]:[№]],ACT[Wharfage/ Портовая пошлина
KRW],"",0,1)</f>
        <v>3854.4920966119762</v>
      </c>
      <c r="R63" s="24" cm="1">
        <f t="array" ref="R63">_xlfn.XLOOKUP($A63,ACT[[№]:[№]],ACT[TRUCKING CHARGE],"",0,1)</f>
        <v>0</v>
      </c>
      <c r="S63" s="24" cm="1">
        <f t="array" ref="S63">_xlfn.XLOOKUP($A63,ACT[[№]:[№]],ACT[FCL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118811.54209886365</v>
      </c>
      <c r="T63" s="24" cm="1">
        <f t="array" ref="T63">_xlfn.XLOOKUP($A63,ACT[[№]:[№]],ACT[Special Wooden Shoring / Специальное деревянное крепление],"",0,1)</f>
        <v>0</v>
      </c>
      <c r="U63" s="9"/>
      <c r="V63" s="24" cm="1">
        <f t="array" ref="V63">_xlfn.XLOOKUP($A63,ACT[[№]:[№]],ACT[Total amount/ Общая стоимость KRW (10+11+12+13+14+15+16)],"",0,1)</f>
        <v>835024.84857633931</v>
      </c>
      <c r="W63" s="24" cm="1">
        <f t="array" ref="W63">_xlfn.XLOOKUP($A63,ACT[[№]:[№]],ACT[Total amount/ Общая стоимость (17*exchange rate/ обменный курс)
 USD],"",0,1)</f>
        <v>657.12</v>
      </c>
      <c r="X63" s="9" t="e" cm="1">
        <f t="array" ref="X63">IF(#REF!="",_xlfn.XLOOKUP("МАКС",#REF!,#REF!,,0,1),#REF!)</f>
        <v>#REF!</v>
      </c>
      <c r="Y63" s="12" t="e">
        <f>VLOOKUP(Шаблон_Формулы[[#This Row],[24]],#REF!,2,0)</f>
        <v>#REF!</v>
      </c>
      <c r="Z63" s="26" t="str">
        <f>IFERROR(Шаблон_Формулы[[#This Row],[23]]*Шаблон_Формулы[[#This Row],[25]],"")</f>
        <v/>
      </c>
      <c r="AA63" s="13" t="e" cm="1">
        <f t="array" ref="AA63">#REF!</f>
        <v>#REF!</v>
      </c>
    </row>
    <row r="64" spans="1:27" s="8" customFormat="1" ht="12">
      <c r="A64" s="11">
        <v>60</v>
      </c>
      <c r="B64" s="8" t="str" cm="1">
        <f t="array" ref="B64">_xlfn.XLOOKUP($A64,ACT[[№]:[№]],ACT[Container No/
№ Контейнера],"",0,1)</f>
        <v>FCIU8107361</v>
      </c>
      <c r="C64" s="8" t="str">
        <f t="shared" si="0"/>
        <v>UzAutoKorea</v>
      </c>
      <c r="D64" s="11" t="str" cm="1">
        <f t="array" ref="D64">_xlfn.XLOOKUP($A64,ACT[[№]:[№]],ACT[Container Type/ 
Тип контейнера],"",0,1)</f>
        <v>40'HC</v>
      </c>
      <c r="E64" s="21" cm="1">
        <f t="array" ref="E64">_xlfn.XLOOKUP($A64,ACT[[№]:[№]],ACT[Date of Dispatch/ 
Дата отгрузки],"",0,1)</f>
        <v>44965</v>
      </c>
      <c r="F64" s="22" t="str" cm="1">
        <f t="array" ref="F64">_xlfn.XLOOKUP($A64,ACT[[№]:[№]],ACT[Supplier/ Поставщик],"",0,1)</f>
        <v>Pyeonghwa (GEM Project)</v>
      </c>
      <c r="G64" s="22" t="str" cm="1">
        <f t="array" ref="G64">_xlfn.XLOOKUP($A64,ACT[[№]:[№]],ACT[Supplier Invoice No/                          № Инвойса Поставщика],"",0,1)</f>
        <v>UZATK0035(6)</v>
      </c>
      <c r="H64" s="23" cm="1">
        <f t="array" ref="H64">_xlfn.XLOOKUP($A64,ACT[[№]:[№]],ACT[CBM],"",0,1)</f>
        <v>17.600000000000001</v>
      </c>
      <c r="I64" s="23" cm="1">
        <f t="array" ref="I64">_xlfn.XLOOKUP($A64,ACT[[№]:[№]],ACT[Gross weight, kg/ Вес брутто, кг],"",0,1)</f>
        <v>8504.5400000000009</v>
      </c>
      <c r="J64" s="23" t="str" cm="1">
        <f t="array" ref="J64">_xlfn.XLOOKUP($A64,ACT[[№]:[№]],ACT[Delivery terms / Условия поставки],"",0,1)</f>
        <v>FCA</v>
      </c>
      <c r="K64" s="23" cm="1">
        <f t="array" ref="K64">_xlfn.XLOOKUP($A64,ACT[[№]:[№]],ACT[Container total CBM],"",0,1)</f>
        <v>66.617000000000004</v>
      </c>
      <c r="L64" s="24" cm="1">
        <f t="array" ref="L64">_xlfn.XLOOKUP($A64,ACT[[№]:[№]],ACT[FTL inland freight cost per Invoice Appendix/ Стоимость внутренней наземной перевозки за инвойс Приложение                     KRW],"",0,1)</f>
        <v>392000</v>
      </c>
      <c r="M64" s="24" cm="1">
        <f t="array" ref="M64">_xlfn.XLOOKUP($A64,ACT[[№]:[№]],ACT[Consolidation Work, Loading, Unloading/ Работы по консолидации, Погрузка, Разгрузка (Rate/Тариф - 8000 per CBM)                   KRW],"",0,1)</f>
        <v>149424</v>
      </c>
      <c r="N64" s="24" cm="1">
        <f t="array" ref="N64">_xlfn.XLOOKUP($A64,ACT[[№]:[№]],ACT[Shoring, Banding, Sealing, Handling/ Крепление, Перевязка, Опечатование, Обработка
KRW],"",0,1)</f>
        <v>51201.345002026515</v>
      </c>
      <c r="O64" s="24" cm="1">
        <f t="array" ref="O64">_xlfn.XLOOKUP($A64,ACT[[№]:[№]],ACT[Documents Work/ Сбор за подготовку документов
KRW],"",0,1)</f>
        <v>13209.841331792186</v>
      </c>
      <c r="P64" s="24" cm="1">
        <f t="array" ref="P64">_xlfn.XLOOKUP($A64,ACT[[№]:[№]],ACT[THC/ Терминальная обработка
KRW],"",0,1)</f>
        <v>48982.091658285426</v>
      </c>
      <c r="Q64" s="24" cm="1">
        <f t="array" ref="Q64">_xlfn.XLOOKUP($A64,ACT[[№]:[№]],ACT[Wharfage/ Портовая пошлина
KRW],"",0,1)</f>
        <v>2404.1911223861775</v>
      </c>
      <c r="R64" s="24" cm="1">
        <f t="array" ref="R64">_xlfn.XLOOKUP($A64,ACT[[№]:[№]],ACT[TRUCKING CHARGE],"",0,1)</f>
        <v>0</v>
      </c>
      <c r="S64" s="24" cm="1">
        <f t="array" ref="S64">_xlfn.XLOOKUP($A64,ACT[[№]:[№]],ACT[FCL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74107.209871354164</v>
      </c>
      <c r="T64" s="24" cm="1">
        <f t="array" ref="T64">_xlfn.XLOOKUP($A64,ACT[[№]:[№]],ACT[Special Wooden Shoring / Специальное деревянное крепление],"",0,1)</f>
        <v>0</v>
      </c>
      <c r="U64" s="9"/>
      <c r="V64" s="24" cm="1">
        <f t="array" ref="V64">_xlfn.XLOOKUP($A64,ACT[[№]:[№]],ACT[Total amount/ Общая стоимость KRW (10+11+12+13+14+15+16)],"",0,1)</f>
        <v>731328.67898584448</v>
      </c>
      <c r="W64" s="24" cm="1">
        <f t="array" ref="W64">_xlfn.XLOOKUP($A64,ACT[[№]:[№]],ACT[Total amount/ Общая стоимость (17*exchange rate/ обменный курс)
 USD],"",0,1)</f>
        <v>575.51</v>
      </c>
      <c r="X64" s="9" t="e" cm="1">
        <f t="array" ref="X64">IF(#REF!="",_xlfn.XLOOKUP("МАКС",#REF!,#REF!,,0,1),#REF!)</f>
        <v>#REF!</v>
      </c>
      <c r="Y64" s="12" t="e">
        <f>VLOOKUP(Шаблон_Формулы[[#This Row],[24]],#REF!,2,0)</f>
        <v>#REF!</v>
      </c>
      <c r="Z64" s="26" t="str">
        <f>IFERROR(Шаблон_Формулы[[#This Row],[23]]*Шаблон_Формулы[[#This Row],[25]],"")</f>
        <v/>
      </c>
      <c r="AA64" s="13" t="e" cm="1">
        <f t="array" ref="AA64">#REF!</f>
        <v>#REF!</v>
      </c>
    </row>
    <row r="65" spans="1:27" s="8" customFormat="1" ht="12">
      <c r="A65" s="11">
        <v>61</v>
      </c>
      <c r="B65" s="8" t="str" cm="1">
        <f t="array" ref="B65">_xlfn.XLOOKUP($A65,ACT[[№]:[№]],ACT[Container No/
№ Контейнера],"",0,1)</f>
        <v>FCIU8107361</v>
      </c>
      <c r="C65" s="8" t="str">
        <f t="shared" si="0"/>
        <v>UzAutoKorea</v>
      </c>
      <c r="D65" s="11" t="str" cm="1">
        <f t="array" ref="D65">_xlfn.XLOOKUP($A65,ACT[[№]:[№]],ACT[Container Type/ 
Тип контейнера],"",0,1)</f>
        <v>40'HC</v>
      </c>
      <c r="E65" s="21" cm="1">
        <f t="array" ref="E65">_xlfn.XLOOKUP($A65,ACT[[№]:[№]],ACT[Date of Dispatch/ 
Дата отгрузки],"",0,1)</f>
        <v>44965</v>
      </c>
      <c r="F65" s="22" t="str" cm="1">
        <f t="array" ref="F65">_xlfn.XLOOKUP($A65,ACT[[№]:[№]],ACT[Supplier/ Поставщик],"",0,1)</f>
        <v>Pyeonghwa (GEM Project)</v>
      </c>
      <c r="G65" s="22" t="str" cm="1">
        <f t="array" ref="G65">_xlfn.XLOOKUP($A65,ACT[[№]:[№]],ACT[Supplier Invoice No/                          № Инвойса Поставщика],"",0,1)</f>
        <v>UZATK0035(7)</v>
      </c>
      <c r="H65" s="23" cm="1">
        <f t="array" ref="H65">_xlfn.XLOOKUP($A65,ACT[[№]:[№]],ACT[CBM],"",0,1)</f>
        <v>20.8</v>
      </c>
      <c r="I65" s="23" cm="1">
        <f t="array" ref="I65">_xlfn.XLOOKUP($A65,ACT[[№]:[№]],ACT[Gross weight, kg/ Вес брутто, кг],"",0,1)</f>
        <v>14142.94</v>
      </c>
      <c r="J65" s="23" t="str" cm="1">
        <f t="array" ref="J65">_xlfn.XLOOKUP($A65,ACT[[№]:[№]],ACT[Delivery terms / Условия поставки],"",0,1)</f>
        <v>FCA</v>
      </c>
      <c r="K65" s="23" cm="1">
        <f t="array" ref="K65">_xlfn.XLOOKUP($A65,ACT[[№]:[№]],ACT[Container total CBM],"",0,1)</f>
        <v>66.617000000000004</v>
      </c>
      <c r="L65" s="24" cm="1">
        <f t="array" ref="L65">_xlfn.XLOOKUP($A65,ACT[[№]:[№]],ACT[FTL inland freight cost per Invoice Appendix/ Стоимость внутренней наземной перевозки за инвойс Приложение                     KRW],"",0,1)</f>
        <v>724000</v>
      </c>
      <c r="M65" s="24" cm="1">
        <f t="array" ref="M65">_xlfn.XLOOKUP($A65,ACT[[№]:[№]],ACT[Consolidation Work, Loading, Unloading/ Работы по консолидации, Погрузка, Разгрузка (Rate/Тариф - 8000 per CBM)                   KRW],"",0,1)</f>
        <v>176592</v>
      </c>
      <c r="N65" s="24" cm="1">
        <f t="array" ref="N65">_xlfn.XLOOKUP($A65,ACT[[№]:[№]],ACT[Shoring, Banding, Sealing, Handling/ Крепление, Перевязка, Опечатование, Обработка
KRW],"",0,1)</f>
        <v>60510.680456940419</v>
      </c>
      <c r="O65" s="24" cm="1">
        <f t="array" ref="O65">_xlfn.XLOOKUP($A65,ACT[[№]:[№]],ACT[Documents Work/ Сбор за подготовку документов
KRW],"",0,1)</f>
        <v>15611.630664845308</v>
      </c>
      <c r="P65" s="24" cm="1">
        <f t="array" ref="P65">_xlfn.XLOOKUP($A65,ACT[[№]:[№]],ACT[THC/ Терминальная обработка
KRW],"",0,1)</f>
        <v>57887.926505246403</v>
      </c>
      <c r="Q65" s="24" cm="1">
        <f t="array" ref="Q65">_xlfn.XLOOKUP($A65,ACT[[№]:[№]],ACT[Wharfage/ Портовая пошлина
KRW],"",0,1)</f>
        <v>2841.3167810018463</v>
      </c>
      <c r="R65" s="24" cm="1">
        <f t="array" ref="R65">_xlfn.XLOOKUP($A65,ACT[[№]:[№]],ACT[TRUCKING CHARGE],"",0,1)</f>
        <v>0</v>
      </c>
      <c r="S65" s="24" cm="1">
        <f t="array" ref="S65">_xlfn.XLOOKUP($A65,ACT[[№]:[№]],ACT[FCL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87581.248029782175</v>
      </c>
      <c r="T65" s="24" cm="1">
        <f t="array" ref="T65">_xlfn.XLOOKUP($A65,ACT[[№]:[№]],ACT[Special Wooden Shoring / Специальное деревянное крепление],"",0,1)</f>
        <v>0</v>
      </c>
      <c r="U65" s="9"/>
      <c r="V65" s="24" cm="1">
        <f t="array" ref="V65">_xlfn.XLOOKUP($A65,ACT[[№]:[№]],ACT[Total amount/ Общая стоимость KRW (10+11+12+13+14+15+16)],"",0,1)</f>
        <v>1125024.8024378165</v>
      </c>
      <c r="W65" s="24" cm="1">
        <f t="array" ref="W65">_xlfn.XLOOKUP($A65,ACT[[№]:[№]],ACT[Total amount/ Общая стоимость (17*exchange rate/ обменный курс)
 USD],"",0,1)</f>
        <v>885.33</v>
      </c>
      <c r="X65" s="9" t="e" cm="1">
        <f t="array" ref="X65">IF(#REF!="",_xlfn.XLOOKUP("МАКС",#REF!,#REF!,,0,1),#REF!)</f>
        <v>#REF!</v>
      </c>
      <c r="Y65" s="12" t="e">
        <f>VLOOKUP(Шаблон_Формулы[[#This Row],[24]],#REF!,2,0)</f>
        <v>#REF!</v>
      </c>
      <c r="Z65" s="26" t="str">
        <f>IFERROR(Шаблон_Формулы[[#This Row],[23]]*Шаблон_Формулы[[#This Row],[25]],"")</f>
        <v/>
      </c>
      <c r="AA65" s="13" t="e" cm="1">
        <f t="array" ref="AA65">#REF!</f>
        <v>#REF!</v>
      </c>
    </row>
    <row r="66" spans="1:27" s="8" customFormat="1" ht="12">
      <c r="A66" s="11">
        <v>62</v>
      </c>
      <c r="B66" s="8" t="str" cm="1">
        <f t="array" ref="B66">_xlfn.XLOOKUP($A66,ACT[[№]:[№]],ACT[Container No/
№ Контейнера],"",0,1)</f>
        <v>TCNU7501226</v>
      </c>
      <c r="C66" s="8" t="str">
        <f t="shared" si="0"/>
        <v>UzAutoKorea</v>
      </c>
      <c r="D66" s="11" t="str" cm="1">
        <f t="array" ref="D66">_xlfn.XLOOKUP($A66,ACT[[№]:[№]],ACT[Container Type/ 
Тип контейнера],"",0,1)</f>
        <v>40'HC</v>
      </c>
      <c r="E66" s="21" cm="1">
        <f t="array" ref="E66">_xlfn.XLOOKUP($A66,ACT[[№]:[№]],ACT[Date of Dispatch/ 
Дата отгрузки],"",0,1)</f>
        <v>44965</v>
      </c>
      <c r="F66" s="22" t="str" cm="1">
        <f t="array" ref="F66">_xlfn.XLOOKUP($A66,ACT[[№]:[№]],ACT[Supplier/ Поставщик],"",0,1)</f>
        <v>Iljin Global</v>
      </c>
      <c r="G66" s="22" t="str" cm="1">
        <f t="array" ref="G66">_xlfn.XLOOKUP($A66,ACT[[№]:[№]],ACT[Supplier Invoice No/                          № Инвойса Поставщика],"",0,1)</f>
        <v>IJG-SA11GMUZ2</v>
      </c>
      <c r="H66" s="23" cm="1">
        <f t="array" ref="H66">_xlfn.XLOOKUP($A66,ACT[[№]:[№]],ACT[CBM],"",0,1)</f>
        <v>1.746</v>
      </c>
      <c r="I66" s="23" cm="1">
        <f t="array" ref="I66">_xlfn.XLOOKUP($A66,ACT[[№]:[№]],ACT[Gross weight, kg/ Вес брутто, кг],"",0,1)</f>
        <v>1139.4000000000001</v>
      </c>
      <c r="J66" s="23" t="str" cm="1">
        <f t="array" ref="J66">_xlfn.XLOOKUP($A66,ACT[[№]:[№]],ACT[Delivery terms / Условия поставки],"",0,1)</f>
        <v>FCA</v>
      </c>
      <c r="K66" s="23" cm="1">
        <f t="array" ref="K66">_xlfn.XLOOKUP($A66,ACT[[№]:[№]],ACT[Container total CBM],"",0,1)</f>
        <v>32.297000000000004</v>
      </c>
      <c r="L66" s="24" cm="1">
        <f t="array" ref="L66">_xlfn.XLOOKUP($A66,ACT[[№]:[№]],ACT[FTL inland freight cost per Invoice Appendix/ Стоимость внутренней наземной перевозки за инвойс Приложение                     KRW],"",0,1)</f>
        <v>371000</v>
      </c>
      <c r="M66" s="24" cm="1">
        <f t="array" ref="M66">_xlfn.XLOOKUP($A66,ACT[[№]:[№]],ACT[Consolidation Work, Loading, Unloading/ Работы по консолидации, Погрузка, Разгрузка (Rate/Тариф - 8000 per CBM)                   KRW],"",0,1)</f>
        <v>14823.54</v>
      </c>
      <c r="N66" s="24" cm="1">
        <f t="array" ref="N66">_xlfn.XLOOKUP($A66,ACT[[№]:[№]],ACT[Shoring, Banding, Sealing, Handling/ Крепление, Перевязка, Опечатование, Обработка
KRW],"",0,1)</f>
        <v>10476.973093476174</v>
      </c>
      <c r="O66" s="24" cm="1">
        <f t="array" ref="O66">_xlfn.XLOOKUP($A66,ACT[[№]:[№]],ACT[Documents Work/ Сбор за подготовку документов
KRW],"",0,1)</f>
        <v>2703.037433817382</v>
      </c>
      <c r="P66" s="24" cm="1">
        <f t="array" ref="P66">_xlfn.XLOOKUP($A66,ACT[[№]:[№]],ACT[THC/ Терминальная обработка
KRW],"",0,1)</f>
        <v>10022.862804594854</v>
      </c>
      <c r="Q66" s="24" cm="1">
        <f t="array" ref="Q66">_xlfn.XLOOKUP($A66,ACT[[№]:[№]],ACT[Wharfage/ Портовая пошлина
KRW],"",0,1)</f>
        <v>491.95281295476354</v>
      </c>
      <c r="R66" s="24" cm="1">
        <f t="array" ref="R66">_xlfn.XLOOKUP($A66,ACT[[№]:[№]],ACT[TRUCKING CHARGE],"",0,1)</f>
        <v>0</v>
      </c>
      <c r="S66" s="24" cm="1">
        <f t="array" ref="S66">_xlfn.XLOOKUP($A66,ACT[[№]:[№]],ACT[FCL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15164.040003715514</v>
      </c>
      <c r="T66" s="24" cm="1">
        <f t="array" ref="T66">_xlfn.XLOOKUP($A66,ACT[[№]:[№]],ACT[Special Wooden Shoring / Специальное деревянное крепление],"",0,1)</f>
        <v>0</v>
      </c>
      <c r="U66" s="9"/>
      <c r="V66" s="24" cm="1">
        <f t="array" ref="V66">_xlfn.XLOOKUP($A66,ACT[[№]:[№]],ACT[Total amount/ Общая стоимость KRW (10+11+12+13+14+15+16)],"",0,1)</f>
        <v>424682.40614855866</v>
      </c>
      <c r="W66" s="24" cm="1">
        <f t="array" ref="W66">_xlfn.XLOOKUP($A66,ACT[[№]:[№]],ACT[Total amount/ Общая стоимость (17*exchange rate/ обменный курс)
 USD],"",0,1)</f>
        <v>334.2</v>
      </c>
      <c r="X66" s="9" t="e" cm="1">
        <f t="array" ref="X66">IF(#REF!="",_xlfn.XLOOKUP("МАКС",#REF!,#REF!,,0,1),#REF!)</f>
        <v>#REF!</v>
      </c>
      <c r="Y66" s="12" t="e">
        <f>VLOOKUP(Шаблон_Формулы[[#This Row],[24]],#REF!,2,0)</f>
        <v>#REF!</v>
      </c>
      <c r="Z66" s="26" t="str">
        <f>IFERROR(Шаблон_Формулы[[#This Row],[23]]*Шаблон_Формулы[[#This Row],[25]],"")</f>
        <v/>
      </c>
      <c r="AA66" s="13" t="e" cm="1">
        <f t="array" ref="AA66">#REF!</f>
        <v>#REF!</v>
      </c>
    </row>
    <row r="67" spans="1:27" s="8" customFormat="1" ht="12">
      <c r="A67" s="11">
        <v>63</v>
      </c>
      <c r="B67" s="8" t="str" cm="1">
        <f t="array" ref="B67">_xlfn.XLOOKUP($A67,ACT[[№]:[№]],ACT[Container No/
№ Контейнера],"",0,1)</f>
        <v>TCNU7501226</v>
      </c>
      <c r="C67" s="8" t="str">
        <f t="shared" si="0"/>
        <v>UzAutoKorea</v>
      </c>
      <c r="D67" s="11" t="str" cm="1">
        <f t="array" ref="D67">_xlfn.XLOOKUP($A67,ACT[[№]:[№]],ACT[Container Type/ 
Тип контейнера],"",0,1)</f>
        <v>40'HC</v>
      </c>
      <c r="E67" s="21" cm="1">
        <f t="array" ref="E67">_xlfn.XLOOKUP($A67,ACT[[№]:[№]],ACT[Date of Dispatch/ 
Дата отгрузки],"",0,1)</f>
        <v>44965</v>
      </c>
      <c r="F67" s="22" t="str" cm="1">
        <f t="array" ref="F67">_xlfn.XLOOKUP($A67,ACT[[№]:[№]],ACT[Supplier/ Поставщик],"",0,1)</f>
        <v>Iljin Global(GEM Project)</v>
      </c>
      <c r="G67" s="22" t="str" cm="1">
        <f t="array" ref="G67">_xlfn.XLOOKUP($A67,ACT[[№]:[№]],ACT[Supplier Invoice No/                          № Инвойса Поставщика],"",0,1)</f>
        <v>UZATK0035(8)</v>
      </c>
      <c r="H67" s="23" cm="1">
        <f t="array" ref="H67">_xlfn.XLOOKUP($A67,ACT[[№]:[№]],ACT[CBM],"",0,1)</f>
        <v>8.75</v>
      </c>
      <c r="I67" s="23" cm="1">
        <f t="array" ref="I67">_xlfn.XLOOKUP($A67,ACT[[№]:[№]],ACT[Gross weight, kg/ Вес брутто, кг],"",0,1)</f>
        <v>4715.2</v>
      </c>
      <c r="J67" s="23" t="str" cm="1">
        <f t="array" ref="J67">_xlfn.XLOOKUP($A67,ACT[[№]:[№]],ACT[Delivery terms / Условия поставки],"",0,1)</f>
        <v>FCA</v>
      </c>
      <c r="K67" s="23" cm="1">
        <f t="array" ref="K67">_xlfn.XLOOKUP($A67,ACT[[№]:[№]],ACT[Container total CBM],"",0,1)</f>
        <v>32.297000000000004</v>
      </c>
      <c r="L67" s="24" cm="1">
        <f t="array" ref="L67">_xlfn.XLOOKUP($A67,ACT[[№]:[№]],ACT[FTL inland freight cost per Invoice Appendix/ Стоимость внутренней наземной перевозки за инвойс Приложение                     KRW],"",0,1)</f>
        <v>443000</v>
      </c>
      <c r="M67" s="24" cm="1">
        <f t="array" ref="M67">_xlfn.XLOOKUP($A67,ACT[[№]:[№]],ACT[Consolidation Work, Loading, Unloading/ Работы по консолидации, Погрузка, Разгрузка (Rate/Тариф - 8000 per CBM)                   KRW],"",0,1)</f>
        <v>74287.5</v>
      </c>
      <c r="N67" s="24" cm="1">
        <f t="array" ref="N67">_xlfn.XLOOKUP($A67,ACT[[№]:[№]],ACT[Shoring, Banding, Sealing, Handling/ Крепление, Перевязка, Опечатование, Обработка
KRW],"",0,1)</f>
        <v>52504.876613926986</v>
      </c>
      <c r="O67" s="24" cm="1">
        <f t="array" ref="O67">_xlfn.XLOOKUP($A67,ACT[[№]:[№]],ACT[Documents Work/ Сбор за подготовку документов
KRW],"",0,1)</f>
        <v>13546.149797194785</v>
      </c>
      <c r="P67" s="24" cm="1">
        <f t="array" ref="P67">_xlfn.XLOOKUP($A67,ACT[[№]:[№]],ACT[THC/ Терминальная обработка
KRW],"",0,1)</f>
        <v>50229.12344799826</v>
      </c>
      <c r="Q67" s="24" cm="1">
        <f t="array" ref="Q67">_xlfn.XLOOKUP($A67,ACT[[№]:[№]],ACT[Wharfage/ Портовая пошлина
KRW],"",0,1)</f>
        <v>2465.3992630894509</v>
      </c>
      <c r="R67" s="24" cm="1">
        <f t="array" ref="R67">_xlfn.XLOOKUP($A67,ACT[[№]:[№]],ACT[TRUCKING CHARGE],"",0,1)</f>
        <v>0</v>
      </c>
      <c r="S67" s="24" cm="1">
        <f t="array" ref="S67">_xlfn.XLOOKUP($A67,ACT[[№]:[№]],ACT[FCL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75993.900362262735</v>
      </c>
      <c r="T67" s="24" cm="1">
        <f t="array" ref="T67">_xlfn.XLOOKUP($A67,ACT[[№]:[№]],ACT[Special Wooden Shoring / Специальное деревянное крепление],"",0,1)</f>
        <v>0</v>
      </c>
      <c r="U67" s="9"/>
      <c r="V67" s="24" cm="1">
        <f t="array" ref="V67">_xlfn.XLOOKUP($A67,ACT[[№]:[№]],ACT[Total amount/ Общая стоимость KRW (10+11+12+13+14+15+16)],"",0,1)</f>
        <v>712026.94948447216</v>
      </c>
      <c r="W67" s="24" cm="1">
        <f t="array" ref="W67">_xlfn.XLOOKUP($A67,ACT[[№]:[№]],ACT[Total amount/ Общая стоимость (17*exchange rate/ обменный курс)
 USD],"",0,1)</f>
        <v>560.32000000000005</v>
      </c>
      <c r="X67" s="9" t="e" cm="1">
        <f t="array" ref="X67">IF(#REF!="",_xlfn.XLOOKUP("МАКС",#REF!,#REF!,,0,1),#REF!)</f>
        <v>#REF!</v>
      </c>
      <c r="Y67" s="12" t="e">
        <f>VLOOKUP(Шаблон_Формулы[[#This Row],[24]],#REF!,2,0)</f>
        <v>#REF!</v>
      </c>
      <c r="Z67" s="26" t="str">
        <f>IFERROR(Шаблон_Формулы[[#This Row],[23]]*Шаблон_Формулы[[#This Row],[25]],"")</f>
        <v/>
      </c>
      <c r="AA67" s="13" t="e" cm="1">
        <f t="array" ref="AA67">#REF!</f>
        <v>#REF!</v>
      </c>
    </row>
    <row r="68" spans="1:27" s="8" customFormat="1" ht="12">
      <c r="A68" s="11">
        <v>64</v>
      </c>
      <c r="B68" s="8" t="str" cm="1">
        <f t="array" ref="B68">_xlfn.XLOOKUP($A68,ACT[[№]:[№]],ACT[Container No/
№ Контейнера],"",0,1)</f>
        <v>TCNU7501226</v>
      </c>
      <c r="C68" s="8" t="str">
        <f t="shared" si="0"/>
        <v>UzAutoKorea</v>
      </c>
      <c r="D68" s="11" t="str" cm="1">
        <f t="array" ref="D68">_xlfn.XLOOKUP($A68,ACT[[№]:[№]],ACT[Container Type/ 
Тип контейнера],"",0,1)</f>
        <v>40'HC</v>
      </c>
      <c r="E68" s="21" cm="1">
        <f t="array" ref="E68">_xlfn.XLOOKUP($A68,ACT[[№]:[№]],ACT[Date of Dispatch/ 
Дата отгрузки],"",0,1)</f>
        <v>44965</v>
      </c>
      <c r="F68" s="22" t="str" cm="1">
        <f t="array" ref="F68">_xlfn.XLOOKUP($A68,ACT[[№]:[№]],ACT[Supplier/ Поставщик],"",0,1)</f>
        <v>Chungwoo(GEM Project)</v>
      </c>
      <c r="G68" s="22" t="str" cm="1">
        <f t="array" ref="G68">_xlfn.XLOOKUP($A68,ACT[[№]:[№]],ACT[Supplier Invoice No/                          № Инвойса Поставщика],"",0,1)</f>
        <v>UZATK0035(9)</v>
      </c>
      <c r="H68" s="23" cm="1">
        <f t="array" ref="H68">_xlfn.XLOOKUP($A68,ACT[[№]:[№]],ACT[CBM],"",0,1)</f>
        <v>4.8600000000000003</v>
      </c>
      <c r="I68" s="23" cm="1">
        <f t="array" ref="I68">_xlfn.XLOOKUP($A68,ACT[[№]:[№]],ACT[Gross weight, kg/ Вес брутто, кг],"",0,1)</f>
        <v>4612</v>
      </c>
      <c r="J68" s="23" t="str" cm="1">
        <f t="array" ref="J68">_xlfn.XLOOKUP($A68,ACT[[№]:[№]],ACT[Delivery terms / Условия поставки],"",0,1)</f>
        <v>FCA</v>
      </c>
      <c r="K68" s="23" cm="1">
        <f t="array" ref="K68">_xlfn.XLOOKUP($A68,ACT[[№]:[№]],ACT[Container total CBM],"",0,1)</f>
        <v>32.297000000000004</v>
      </c>
      <c r="L68" s="24" cm="1">
        <f t="array" ref="L68">_xlfn.XLOOKUP($A68,ACT[[№]:[№]],ACT[FTL inland freight cost per Invoice Appendix/ Стоимость внутренней наземной перевозки за инвойс Приложение                     KRW],"",0,1)</f>
        <v>632500</v>
      </c>
      <c r="M68" s="24" cm="1">
        <f t="array" ref="M68">_xlfn.XLOOKUP($A68,ACT[[№]:[№]],ACT[Consolidation Work, Loading, Unloading/ Работы по консолидации, Погрузка, Разгрузка (Rate/Тариф - 8000 per CBM)                   KRW],"",0,1)</f>
        <v>41261.4</v>
      </c>
      <c r="N68" s="24" cm="1">
        <f t="array" ref="N68">_xlfn.XLOOKUP($A68,ACT[[№]:[№]],ACT[Shoring, Banding, Sealing, Handling/ Крепление, Перевязка, Опечатование, Обработка
KRW],"",0,1)</f>
        <v>29162.708610706875</v>
      </c>
      <c r="O68" s="24" cm="1">
        <f t="array" ref="O68">_xlfn.XLOOKUP($A68,ACT[[№]:[№]],ACT[Documents Work/ Сбор за подготовку документов
KRW],"",0,1)</f>
        <v>7523.918630213333</v>
      </c>
      <c r="P68" s="24" cm="1">
        <f t="array" ref="P68">_xlfn.XLOOKUP($A68,ACT[[№]:[№]],ACT[THC/ Терминальная обработка
KRW],"",0,1)</f>
        <v>27898.690280831033</v>
      </c>
      <c r="Q68" s="24" cm="1">
        <f t="array" ref="Q68">_xlfn.XLOOKUP($A68,ACT[[№]:[№]],ACT[Wharfage/ Портовая пошлина
KRW],"",0,1)</f>
        <v>1369.3531906988264</v>
      </c>
      <c r="R68" s="24" cm="1">
        <f t="array" ref="R68">_xlfn.XLOOKUP($A68,ACT[[№]:[№]],ACT[TRUCKING CHARGE],"",0,1)</f>
        <v>0</v>
      </c>
      <c r="S68" s="24" cm="1">
        <f t="array" ref="S68">_xlfn.XLOOKUP($A68,ACT[[№]:[№]],ACT[FCL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42209.183515496792</v>
      </c>
      <c r="T68" s="24" cm="1">
        <f t="array" ref="T68">_xlfn.XLOOKUP($A68,ACT[[№]:[№]],ACT[Special Wooden Shoring / Специальное деревянное крепление],"",0,1)</f>
        <v>0</v>
      </c>
      <c r="U68" s="9"/>
      <c r="V68" s="24" cm="1">
        <f t="array" ref="V68">_xlfn.XLOOKUP($A68,ACT[[№]:[№]],ACT[Total amount/ Общая стоимость KRW (10+11+12+13+14+15+16)],"",0,1)</f>
        <v>781925.25422794686</v>
      </c>
      <c r="W68" s="24" cm="1">
        <f t="array" ref="W68">_xlfn.XLOOKUP($A68,ACT[[№]:[№]],ACT[Total amount/ Общая стоимость (17*exchange rate/ обменный курс)
 USD],"",0,1)</f>
        <v>615.33000000000004</v>
      </c>
      <c r="X68" s="9" t="e" cm="1">
        <f t="array" ref="X68">IF(#REF!="",_xlfn.XLOOKUP("МАКС",#REF!,#REF!,,0,1),#REF!)</f>
        <v>#REF!</v>
      </c>
      <c r="Y68" s="12" t="e">
        <f>VLOOKUP(Шаблон_Формулы[[#This Row],[24]],#REF!,2,0)</f>
        <v>#REF!</v>
      </c>
      <c r="Z68" s="26" t="str">
        <f>IFERROR(Шаблон_Формулы[[#This Row],[23]]*Шаблон_Формулы[[#This Row],[25]],"")</f>
        <v/>
      </c>
      <c r="AA68" s="13" t="e" cm="1">
        <f t="array" ref="AA68">#REF!</f>
        <v>#REF!</v>
      </c>
    </row>
    <row r="69" spans="1:27" s="8" customFormat="1" ht="12">
      <c r="A69" s="11">
        <v>65</v>
      </c>
      <c r="B69" s="8" t="str" cm="1">
        <f t="array" ref="B69">_xlfn.XLOOKUP($A69,ACT[[№]:[№]],ACT[Container No/
№ Контейнера],"",0,1)</f>
        <v>TCNU7501226</v>
      </c>
      <c r="C69" s="8" t="str">
        <f t="shared" si="0"/>
        <v>UzAutoKorea</v>
      </c>
      <c r="D69" s="11" t="str" cm="1">
        <f t="array" ref="D69">_xlfn.XLOOKUP($A69,ACT[[№]:[№]],ACT[Container Type/ 
Тип контейнера],"",0,1)</f>
        <v>40'HC</v>
      </c>
      <c r="E69" s="21" cm="1">
        <f t="array" ref="E69">_xlfn.XLOOKUP($A69,ACT[[№]:[№]],ACT[Date of Dispatch/ 
Дата отгрузки],"",0,1)</f>
        <v>44965</v>
      </c>
      <c r="F69" s="22" t="str" cm="1">
        <f t="array" ref="F69">_xlfn.XLOOKUP($A69,ACT[[№]:[№]],ACT[Supplier/ Поставщик],"",0,1)</f>
        <v>DAEKIE EST(GEM Project)</v>
      </c>
      <c r="G69" s="22" t="str" cm="1">
        <f t="array" ref="G69">_xlfn.XLOOKUP($A69,ACT[[№]:[№]],ACT[Supplier Invoice No/                          № Инвойса Поставщика],"",0,1)</f>
        <v>UZATK0035(10)</v>
      </c>
      <c r="H69" s="23" cm="1">
        <f t="array" ref="H69">_xlfn.XLOOKUP($A69,ACT[[№]:[№]],ACT[CBM],"",0,1)</f>
        <v>3.17</v>
      </c>
      <c r="I69" s="23" cm="1">
        <f t="array" ref="I69">_xlfn.XLOOKUP($A69,ACT[[№]:[№]],ACT[Gross weight, kg/ Вес брутто, кг],"",0,1)</f>
        <v>1184.5</v>
      </c>
      <c r="J69" s="23" t="str" cm="1">
        <f t="array" ref="J69">_xlfn.XLOOKUP($A69,ACT[[№]:[№]],ACT[Delivery terms / Условия поставки],"",0,1)</f>
        <v>FCA</v>
      </c>
      <c r="K69" s="23" cm="1">
        <f t="array" ref="K69">_xlfn.XLOOKUP($A69,ACT[[№]:[№]],ACT[Container total CBM],"",0,1)</f>
        <v>32.297000000000004</v>
      </c>
      <c r="L69" s="24" cm="1">
        <f t="array" ref="L69">_xlfn.XLOOKUP($A69,ACT[[№]:[№]],ACT[FTL inland freight cost per Invoice Appendix/ Стоимость внутренней наземной перевозки за инвойс Приложение                     KRW],"",0,1)</f>
        <v>408000</v>
      </c>
      <c r="M69" s="24" cm="1">
        <f t="array" ref="M69">_xlfn.XLOOKUP($A69,ACT[[№]:[№]],ACT[Consolidation Work, Loading, Unloading/ Работы по консолидации, Погрузка, Разгрузка (Rate/Тариф - 8000 per CBM)                   KRW],"",0,1)</f>
        <v>26913.3</v>
      </c>
      <c r="N69" s="24" cm="1">
        <f t="array" ref="N69">_xlfn.XLOOKUP($A69,ACT[[№]:[№]],ACT[Shoring, Banding, Sealing, Handling/ Крепление, Перевязка, Опечатование, Обработка
KRW],"",0,1)</f>
        <v>19021.766727559832</v>
      </c>
      <c r="O69" s="24" cm="1">
        <f t="array" ref="O69">_xlfn.XLOOKUP($A69,ACT[[№]:[№]],ACT[Documents Work/ Сбор за подготовку документов
KRW],"",0,1)</f>
        <v>4907.5765550979959</v>
      </c>
      <c r="P69" s="24" cm="1">
        <f t="array" ref="P69">_xlfn.XLOOKUP($A69,ACT[[№]:[№]],ACT[THC/ Терминальная обработка
KRW],"",0,1)</f>
        <v>18197.293866303367</v>
      </c>
      <c r="Q69" s="24" cm="1">
        <f t="array" ref="Q69">_xlfn.XLOOKUP($A69,ACT[[№]:[№]],ACT[Wharfage/ Портовая пошлина
KRW],"",0,1)</f>
        <v>893.17893302783523</v>
      </c>
      <c r="R69" s="24" cm="1">
        <f t="array" ref="R69">_xlfn.XLOOKUP($A69,ACT[[№]:[№]],ACT[TRUCKING CHARGE],"",0,1)</f>
        <v>0</v>
      </c>
      <c r="S69" s="24" cm="1">
        <f t="array" ref="S69">_xlfn.XLOOKUP($A69,ACT[[№]:[№]],ACT[FCL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27531.504474099755</v>
      </c>
      <c r="T69" s="24" cm="1">
        <f t="array" ref="T69">_xlfn.XLOOKUP($A69,ACT[[№]:[№]],ACT[Special Wooden Shoring / Специальное деревянное крепление],"",0,1)</f>
        <v>0</v>
      </c>
      <c r="U69" s="9"/>
      <c r="V69" s="24" cm="1">
        <f t="array" ref="V69">_xlfn.XLOOKUP($A69,ACT[[№]:[№]],ACT[Total amount/ Общая стоимость KRW (10+11+12+13+14+15+16)],"",0,1)</f>
        <v>505464.62055608875</v>
      </c>
      <c r="W69" s="24" cm="1">
        <f t="array" ref="W69">_xlfn.XLOOKUP($A69,ACT[[№]:[№]],ACT[Total amount/ Общая стоимость (17*exchange rate/ обменный курс)
 USD],"",0,1)</f>
        <v>397.77</v>
      </c>
      <c r="X69" s="9" t="e" cm="1">
        <f t="array" ref="X69">IF(#REF!="",_xlfn.XLOOKUP("МАКС",#REF!,#REF!,,0,1),#REF!)</f>
        <v>#REF!</v>
      </c>
      <c r="Y69" s="12" t="e">
        <f>VLOOKUP(Шаблон_Формулы[[#This Row],[24]],#REF!,2,0)</f>
        <v>#REF!</v>
      </c>
      <c r="Z69" s="26" t="str">
        <f>IFERROR(Шаблон_Формулы[[#This Row],[23]]*Шаблон_Формулы[[#This Row],[25]],"")</f>
        <v/>
      </c>
      <c r="AA69" s="13" t="e" cm="1">
        <f t="array" ref="AA69">#REF!</f>
        <v>#REF!</v>
      </c>
    </row>
    <row r="70" spans="1:27" s="8" customFormat="1" ht="12">
      <c r="A70" s="11">
        <v>66</v>
      </c>
      <c r="B70" s="8" t="str" cm="1">
        <f t="array" ref="B70">_xlfn.XLOOKUP($A70,ACT[[№]:[№]],ACT[Container No/
№ Контейнера],"",0,1)</f>
        <v>TCNU7501226</v>
      </c>
      <c r="C70" s="8" t="str">
        <f t="shared" ref="C70:C133" si="1">"UzAutoKorea"</f>
        <v>UzAutoKorea</v>
      </c>
      <c r="D70" s="11" t="str" cm="1">
        <f t="array" ref="D70">_xlfn.XLOOKUP($A70,ACT[[№]:[№]],ACT[Container Type/ 
Тип контейнера],"",0,1)</f>
        <v>40'HC</v>
      </c>
      <c r="E70" s="21" cm="1">
        <f t="array" ref="E70">_xlfn.XLOOKUP($A70,ACT[[№]:[№]],ACT[Date of Dispatch/ 
Дата отгрузки],"",0,1)</f>
        <v>44965</v>
      </c>
      <c r="F70" s="22" t="str" cm="1">
        <f t="array" ref="F70">_xlfn.XLOOKUP($A70,ACT[[№]:[№]],ACT[Supplier/ Поставщик],"",0,1)</f>
        <v>UZAUTO KOREA</v>
      </c>
      <c r="G70" s="22" t="str" cm="1">
        <f t="array" ref="G70">_xlfn.XLOOKUP($A70,ACT[[№]:[№]],ACT[Supplier Invoice No/                          № Инвойса Поставщика],"",0,1)</f>
        <v>UZST-C230108M(1)</v>
      </c>
      <c r="H70" s="23" cm="1">
        <f t="array" ref="H70">_xlfn.XLOOKUP($A70,ACT[[№]:[№]],ACT[CBM],"",0,1)</f>
        <v>6.9119999999999999</v>
      </c>
      <c r="I70" s="23" cm="1">
        <f t="array" ref="I70">_xlfn.XLOOKUP($A70,ACT[[№]:[№]],ACT[Gross weight, kg/ Вес брутто, кг],"",0,1)</f>
        <v>1840</v>
      </c>
      <c r="J70" s="23" t="str" cm="1">
        <f t="array" ref="J70">_xlfn.XLOOKUP($A70,ACT[[№]:[№]],ACT[Delivery terms / Условия поставки],"",0,1)</f>
        <v>FOB</v>
      </c>
      <c r="K70" s="23" cm="1">
        <f t="array" ref="K70">_xlfn.XLOOKUP($A70,ACT[[№]:[№]],ACT[Container total CBM],"",0,1)</f>
        <v>32.297000000000004</v>
      </c>
      <c r="L70" s="24" cm="1">
        <f t="array" ref="L70">_xlfn.XLOOKUP($A70,ACT[[№]:[№]],ACT[FTL inland freight cost per Invoice Appendix/ Стоимость внутренней наземной перевозки за инвойс Приложение                     KRW],"",0,1)</f>
        <v>0</v>
      </c>
      <c r="M70" s="24" cm="1">
        <f t="array" ref="M70">_xlfn.XLOOKUP($A70,ACT[[№]:[№]],ACT[Consolidation Work, Loading, Unloading/ Работы по консолидации, Погрузка, Разгрузка (Rate/Тариф - 8000 per CBM)                   KRW],"",0,1)</f>
        <v>0</v>
      </c>
      <c r="N70" s="24" cm="1">
        <f t="array" ref="N70">_xlfn.XLOOKUP($A70,ACT[[№]:[№]],ACT[Shoring, Banding, Sealing, Handling/ Крепление, Перевязка, Опечатование, Обработка
KRW],"",0,1)</f>
        <v>0</v>
      </c>
      <c r="O70" s="24" cm="1">
        <f t="array" ref="O70">_xlfn.XLOOKUP($A70,ACT[[№]:[№]],ACT[Documents Work/ Сбор за подготовку документов
KRW],"",0,1)</f>
        <v>0</v>
      </c>
      <c r="P70" s="24" cm="1">
        <f t="array" ref="P70">_xlfn.XLOOKUP($A70,ACT[[№]:[№]],ACT[THC/ Терминальная обработка
KRW],"",0,1)</f>
        <v>0</v>
      </c>
      <c r="Q70" s="24" cm="1">
        <f t="array" ref="Q70">_xlfn.XLOOKUP($A70,ACT[[№]:[№]],ACT[Wharfage/ Портовая пошлина
KRW],"",0,1)</f>
        <v>0</v>
      </c>
      <c r="R70" s="24" cm="1">
        <f t="array" ref="R70">_xlfn.XLOOKUP($A70,ACT[[№]:[№]],ACT[TRUCKING CHARGE],"",0,1)</f>
        <v>0</v>
      </c>
      <c r="S70" s="24" cm="1">
        <f t="array" ref="S70">_xlfn.XLOOKUP($A70,ACT[[№]:[№]],ACT[FCL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70" s="24" cm="1">
        <f t="array" ref="T70">_xlfn.XLOOKUP($A70,ACT[[№]:[№]],ACT[Special Wooden Shoring / Специальное деревянное крепление],"",0,1)</f>
        <v>0</v>
      </c>
      <c r="U70" s="9"/>
      <c r="V70" s="24" cm="1">
        <f t="array" ref="V70">_xlfn.XLOOKUP($A70,ACT[[№]:[№]],ACT[Total amount/ Общая стоимость KRW (10+11+12+13+14+15+16)],"",0,1)</f>
        <v>0</v>
      </c>
      <c r="W70" s="24" cm="1">
        <f t="array" ref="W70">_xlfn.XLOOKUP($A70,ACT[[№]:[№]],ACT[Total amount/ Общая стоимость (17*exchange rate/ обменный курс)
 USD],"",0,1)</f>
        <v>0</v>
      </c>
      <c r="X70" s="9" t="e" cm="1">
        <f t="array" ref="X70">IF(#REF!="",_xlfn.XLOOKUP("МАКС",#REF!,#REF!,,0,1),#REF!)</f>
        <v>#REF!</v>
      </c>
      <c r="Y70" s="12" t="e">
        <f>VLOOKUP(Шаблон_Формулы[[#This Row],[24]],#REF!,2,0)</f>
        <v>#REF!</v>
      </c>
      <c r="Z70" s="26" t="str">
        <f>IFERROR(Шаблон_Формулы[[#This Row],[23]]*Шаблон_Формулы[[#This Row],[25]],"")</f>
        <v/>
      </c>
      <c r="AA70" s="13" t="e" cm="1">
        <f t="array" ref="AA70">#REF!</f>
        <v>#REF!</v>
      </c>
    </row>
    <row r="71" spans="1:27" s="8" customFormat="1" ht="12">
      <c r="A71" s="11">
        <v>67</v>
      </c>
      <c r="B71" s="8" t="str" cm="1">
        <f t="array" ref="B71">_xlfn.XLOOKUP($A71,ACT[[№]:[№]],ACT[Container No/
№ Контейнера],"",0,1)</f>
        <v>TCNU7501226</v>
      </c>
      <c r="C71" s="8" t="str">
        <f t="shared" si="1"/>
        <v>UzAutoKorea</v>
      </c>
      <c r="D71" s="11" t="str" cm="1">
        <f t="array" ref="D71">_xlfn.XLOOKUP($A71,ACT[[№]:[№]],ACT[Container Type/ 
Тип контейнера],"",0,1)</f>
        <v>40'HC</v>
      </c>
      <c r="E71" s="21" cm="1">
        <f t="array" ref="E71">_xlfn.XLOOKUP($A71,ACT[[№]:[№]],ACT[Date of Dispatch/ 
Дата отгрузки],"",0,1)</f>
        <v>44965</v>
      </c>
      <c r="F71" s="22" t="str" cm="1">
        <f t="array" ref="F71">_xlfn.XLOOKUP($A71,ACT[[№]:[№]],ACT[Supplier/ Поставщик],"",0,1)</f>
        <v>UZAUTO KOREA</v>
      </c>
      <c r="G71" s="22" t="str" cm="1">
        <f t="array" ref="G71">_xlfn.XLOOKUP($A71,ACT[[№]:[№]],ACT[Supplier Invoice No/                          № Инвойса Поставщика],"",0,1)</f>
        <v>UZST-C230108M(2)</v>
      </c>
      <c r="H71" s="23" cm="1">
        <f t="array" ref="H71">_xlfn.XLOOKUP($A71,ACT[[№]:[№]],ACT[CBM],"",0,1)</f>
        <v>0.27200000000000002</v>
      </c>
      <c r="I71" s="23" cm="1">
        <f t="array" ref="I71">_xlfn.XLOOKUP($A71,ACT[[№]:[№]],ACT[Gross weight, kg/ Вес брутто, кг],"",0,1)</f>
        <v>84.2</v>
      </c>
      <c r="J71" s="23" t="str" cm="1">
        <f t="array" ref="J71">_xlfn.XLOOKUP($A71,ACT[[№]:[№]],ACT[Delivery terms / Условия поставки],"",0,1)</f>
        <v>FOB</v>
      </c>
      <c r="K71" s="23" cm="1">
        <f t="array" ref="K71">_xlfn.XLOOKUP($A71,ACT[[№]:[№]],ACT[Container total CBM],"",0,1)</f>
        <v>32.297000000000004</v>
      </c>
      <c r="L71" s="24" cm="1">
        <f t="array" ref="L71">_xlfn.XLOOKUP($A71,ACT[[№]:[№]],ACT[FTL inland freight cost per Invoice Appendix/ Стоимость внутренней наземной перевозки за инвойс Приложение                     KRW],"",0,1)</f>
        <v>0</v>
      </c>
      <c r="M71" s="24" cm="1">
        <f t="array" ref="M71">_xlfn.XLOOKUP($A71,ACT[[№]:[№]],ACT[Consolidation Work, Loading, Unloading/ Работы по консолидации, Погрузка, Разгрузка (Rate/Тариф - 8000 per CBM)                   KRW],"",0,1)</f>
        <v>0</v>
      </c>
      <c r="N71" s="24" cm="1">
        <f t="array" ref="N71">_xlfn.XLOOKUP($A71,ACT[[№]:[№]],ACT[Shoring, Banding, Sealing, Handling/ Крепление, Перевязка, Опечатование, Обработка
KRW],"",0,1)</f>
        <v>0</v>
      </c>
      <c r="O71" s="24" cm="1">
        <f t="array" ref="O71">_xlfn.XLOOKUP($A71,ACT[[№]:[№]],ACT[Documents Work/ Сбор за подготовку документов
KRW],"",0,1)</f>
        <v>0</v>
      </c>
      <c r="P71" s="24" cm="1">
        <f t="array" ref="P71">_xlfn.XLOOKUP($A71,ACT[[№]:[№]],ACT[THC/ Терминальная обработка
KRW],"",0,1)</f>
        <v>0</v>
      </c>
      <c r="Q71" s="24" cm="1">
        <f t="array" ref="Q71">_xlfn.XLOOKUP($A71,ACT[[№]:[№]],ACT[Wharfage/ Портовая пошлина
KRW],"",0,1)</f>
        <v>0</v>
      </c>
      <c r="R71" s="24" cm="1">
        <f t="array" ref="R71">_xlfn.XLOOKUP($A71,ACT[[№]:[№]],ACT[TRUCKING CHARGE],"",0,1)</f>
        <v>0</v>
      </c>
      <c r="S71" s="24" cm="1">
        <f t="array" ref="S71">_xlfn.XLOOKUP($A71,ACT[[№]:[№]],ACT[FCL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71" s="24" cm="1">
        <f t="array" ref="T71">_xlfn.XLOOKUP($A71,ACT[[№]:[№]],ACT[Special Wooden Shoring / Специальное деревянное крепление],"",0,1)</f>
        <v>0</v>
      </c>
      <c r="U71" s="9"/>
      <c r="V71" s="24" cm="1">
        <f t="array" ref="V71">_xlfn.XLOOKUP($A71,ACT[[№]:[№]],ACT[Total amount/ Общая стоимость KRW (10+11+12+13+14+15+16)],"",0,1)</f>
        <v>0</v>
      </c>
      <c r="W71" s="24" cm="1">
        <f t="array" ref="W71">_xlfn.XLOOKUP($A71,ACT[[№]:[№]],ACT[Total amount/ Общая стоимость (17*exchange rate/ обменный курс)
 USD],"",0,1)</f>
        <v>0</v>
      </c>
      <c r="X71" s="9" t="e" cm="1">
        <f t="array" ref="X71">IF(#REF!="",_xlfn.XLOOKUP("МАКС",#REF!,#REF!,,0,1),#REF!)</f>
        <v>#REF!</v>
      </c>
      <c r="Y71" s="12" t="e">
        <f>VLOOKUP(Шаблон_Формулы[[#This Row],[24]],#REF!,2,0)</f>
        <v>#REF!</v>
      </c>
      <c r="Z71" s="26" t="str">
        <f>IFERROR(Шаблон_Формулы[[#This Row],[23]]*Шаблон_Формулы[[#This Row],[25]],"")</f>
        <v/>
      </c>
      <c r="AA71" s="13" t="e" cm="1">
        <f t="array" ref="AA71">#REF!</f>
        <v>#REF!</v>
      </c>
    </row>
    <row r="72" spans="1:27" s="8" customFormat="1" ht="12">
      <c r="A72" s="11">
        <v>68</v>
      </c>
      <c r="B72" s="8" t="str" cm="1">
        <f t="array" ref="B72">_xlfn.XLOOKUP($A72,ACT[[№]:[№]],ACT[Container No/
№ Контейнера],"",0,1)</f>
        <v>TCNU7501226</v>
      </c>
      <c r="C72" s="8" t="str">
        <f t="shared" si="1"/>
        <v>UzAutoKorea</v>
      </c>
      <c r="D72" s="11" t="str" cm="1">
        <f t="array" ref="D72">_xlfn.XLOOKUP($A72,ACT[[№]:[№]],ACT[Container Type/ 
Тип контейнера],"",0,1)</f>
        <v>40'HC</v>
      </c>
      <c r="E72" s="21" cm="1">
        <f t="array" ref="E72">_xlfn.XLOOKUP($A72,ACT[[№]:[№]],ACT[Date of Dispatch/ 
Дата отгрузки],"",0,1)</f>
        <v>44965</v>
      </c>
      <c r="F72" s="22" t="str" cm="1">
        <f t="array" ref="F72">_xlfn.XLOOKUP($A72,ACT[[№]:[№]],ACT[Supplier/ Поставщик],"",0,1)</f>
        <v>UZAUTO KOREA</v>
      </c>
      <c r="G72" s="22" t="str" cm="1">
        <f t="array" ref="G72">_xlfn.XLOOKUP($A72,ACT[[№]:[№]],ACT[Supplier Invoice No/                          № Инвойса Поставщика],"",0,1)</f>
        <v>UZST-C230108M(3)</v>
      </c>
      <c r="H72" s="23" cm="1">
        <f t="array" ref="H72">_xlfn.XLOOKUP($A72,ACT[[№]:[№]],ACT[CBM],"",0,1)</f>
        <v>3.9E-2</v>
      </c>
      <c r="I72" s="23" cm="1">
        <f t="array" ref="I72">_xlfn.XLOOKUP($A72,ACT[[№]:[№]],ACT[Gross weight, kg/ Вес брутто, кг],"",0,1)</f>
        <v>15.3</v>
      </c>
      <c r="J72" s="23" t="str" cm="1">
        <f t="array" ref="J72">_xlfn.XLOOKUP($A72,ACT[[№]:[№]],ACT[Delivery terms / Условия поставки],"",0,1)</f>
        <v>FOB</v>
      </c>
      <c r="K72" s="23" cm="1">
        <f t="array" ref="K72">_xlfn.XLOOKUP($A72,ACT[[№]:[№]],ACT[Container total CBM],"",0,1)</f>
        <v>32.297000000000004</v>
      </c>
      <c r="L72" s="24" cm="1">
        <f t="array" ref="L72">_xlfn.XLOOKUP($A72,ACT[[№]:[№]],ACT[FTL inland freight cost per Invoice Appendix/ Стоимость внутренней наземной перевозки за инвойс Приложение                     KRW],"",0,1)</f>
        <v>0</v>
      </c>
      <c r="M72" s="24" cm="1">
        <f t="array" ref="M72">_xlfn.XLOOKUP($A72,ACT[[№]:[№]],ACT[Consolidation Work, Loading, Unloading/ Работы по консолидации, Погрузка, Разгрузка (Rate/Тариф - 8000 per CBM)                   KRW],"",0,1)</f>
        <v>0</v>
      </c>
      <c r="N72" s="24" cm="1">
        <f t="array" ref="N72">_xlfn.XLOOKUP($A72,ACT[[№]:[№]],ACT[Shoring, Banding, Sealing, Handling/ Крепление, Перевязка, Опечатование, Обработка
KRW],"",0,1)</f>
        <v>0</v>
      </c>
      <c r="O72" s="24" cm="1">
        <f t="array" ref="O72">_xlfn.XLOOKUP($A72,ACT[[№]:[№]],ACT[Documents Work/ Сбор за подготовку документов
KRW],"",0,1)</f>
        <v>0</v>
      </c>
      <c r="P72" s="24" cm="1">
        <f t="array" ref="P72">_xlfn.XLOOKUP($A72,ACT[[№]:[№]],ACT[THC/ Терминальная обработка
KRW],"",0,1)</f>
        <v>0</v>
      </c>
      <c r="Q72" s="24" cm="1">
        <f t="array" ref="Q72">_xlfn.XLOOKUP($A72,ACT[[№]:[№]],ACT[Wharfage/ Портовая пошлина
KRW],"",0,1)</f>
        <v>0</v>
      </c>
      <c r="R72" s="24" cm="1">
        <f t="array" ref="R72">_xlfn.XLOOKUP($A72,ACT[[№]:[№]],ACT[TRUCKING CHARGE],"",0,1)</f>
        <v>0</v>
      </c>
      <c r="S72" s="24" cm="1">
        <f t="array" ref="S72">_xlfn.XLOOKUP($A72,ACT[[№]:[№]],ACT[FCL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72" s="24" cm="1">
        <f t="array" ref="T72">_xlfn.XLOOKUP($A72,ACT[[№]:[№]],ACT[Special Wooden Shoring / Специальное деревянное крепление],"",0,1)</f>
        <v>0</v>
      </c>
      <c r="U72" s="9"/>
      <c r="V72" s="24" cm="1">
        <f t="array" ref="V72">_xlfn.XLOOKUP($A72,ACT[[№]:[№]],ACT[Total amount/ Общая стоимость KRW (10+11+12+13+14+15+16)],"",0,1)</f>
        <v>0</v>
      </c>
      <c r="W72" s="24" cm="1">
        <f t="array" ref="W72">_xlfn.XLOOKUP($A72,ACT[[№]:[№]],ACT[Total amount/ Общая стоимость (17*exchange rate/ обменный курс)
 USD],"",0,1)</f>
        <v>0</v>
      </c>
      <c r="X72" s="9" t="e" cm="1">
        <f t="array" ref="X72">IF(#REF!="",_xlfn.XLOOKUP("МАКС",#REF!,#REF!,,0,1),#REF!)</f>
        <v>#REF!</v>
      </c>
      <c r="Y72" s="12" t="e">
        <f>VLOOKUP(Шаблон_Формулы[[#This Row],[24]],#REF!,2,0)</f>
        <v>#REF!</v>
      </c>
      <c r="Z72" s="26" t="str">
        <f>IFERROR(Шаблон_Формулы[[#This Row],[23]]*Шаблон_Формулы[[#This Row],[25]],"")</f>
        <v/>
      </c>
      <c r="AA72" s="13" t="e" cm="1">
        <f t="array" ref="AA72">#REF!</f>
        <v>#REF!</v>
      </c>
    </row>
    <row r="73" spans="1:27" s="8" customFormat="1" ht="12">
      <c r="A73" s="11">
        <v>69</v>
      </c>
      <c r="B73" s="8" t="str" cm="1">
        <f t="array" ref="B73">_xlfn.XLOOKUP($A73,ACT[[№]:[№]],ACT[Container No/
№ Контейнера],"",0,1)</f>
        <v>TCNU7501226</v>
      </c>
      <c r="C73" s="8" t="str">
        <f t="shared" si="1"/>
        <v>UzAutoKorea</v>
      </c>
      <c r="D73" s="11" t="str" cm="1">
        <f t="array" ref="D73">_xlfn.XLOOKUP($A73,ACT[[№]:[№]],ACT[Container Type/ 
Тип контейнера],"",0,1)</f>
        <v>40'HC</v>
      </c>
      <c r="E73" s="21" cm="1">
        <f t="array" ref="E73">_xlfn.XLOOKUP($A73,ACT[[№]:[№]],ACT[Date of Dispatch/ 
Дата отгрузки],"",0,1)</f>
        <v>44965</v>
      </c>
      <c r="F73" s="22" t="str" cm="1">
        <f t="array" ref="F73">_xlfn.XLOOKUP($A73,ACT[[№]:[№]],ACT[Supplier/ Поставщик],"",0,1)</f>
        <v>UZAUTO KOREA</v>
      </c>
      <c r="G73" s="22" t="str" cm="1">
        <f t="array" ref="G73">_xlfn.XLOOKUP($A73,ACT[[№]:[№]],ACT[Supplier Invoice No/                          № Инвойса Поставщика],"",0,1)</f>
        <v>UZST-C230108M(4)</v>
      </c>
      <c r="H73" s="23" cm="1">
        <f t="array" ref="H73">_xlfn.XLOOKUP($A73,ACT[[№]:[№]],ACT[CBM],"",0,1)</f>
        <v>5.8319999999999999</v>
      </c>
      <c r="I73" s="23" cm="1">
        <f t="array" ref="I73">_xlfn.XLOOKUP($A73,ACT[[№]:[№]],ACT[Gross weight, kg/ Вес брутто, кг],"",0,1)</f>
        <v>7114.08</v>
      </c>
      <c r="J73" s="23" t="str" cm="1">
        <f t="array" ref="J73">_xlfn.XLOOKUP($A73,ACT[[№]:[№]],ACT[Delivery terms / Условия поставки],"",0,1)</f>
        <v>FOB</v>
      </c>
      <c r="K73" s="23" cm="1">
        <f t="array" ref="K73">_xlfn.XLOOKUP($A73,ACT[[№]:[№]],ACT[Container total CBM],"",0,1)</f>
        <v>32.297000000000004</v>
      </c>
      <c r="L73" s="24" cm="1">
        <f t="array" ref="L73">_xlfn.XLOOKUP($A73,ACT[[№]:[№]],ACT[FTL inland freight cost per Invoice Appendix/ Стоимость внутренней наземной перевозки за инвойс Приложение                     KRW],"",0,1)</f>
        <v>0</v>
      </c>
      <c r="M73" s="24" cm="1">
        <f t="array" ref="M73">_xlfn.XLOOKUP($A73,ACT[[№]:[№]],ACT[Consolidation Work, Loading, Unloading/ Работы по консолидации, Погрузка, Разгрузка (Rate/Тариф - 8000 per CBM)                   KRW],"",0,1)</f>
        <v>0</v>
      </c>
      <c r="N73" s="24" cm="1">
        <f t="array" ref="N73">_xlfn.XLOOKUP($A73,ACT[[№]:[№]],ACT[Shoring, Banding, Sealing, Handling/ Крепление, Перевязка, Опечатование, Обработка
KRW],"",0,1)</f>
        <v>0</v>
      </c>
      <c r="O73" s="24" cm="1">
        <f t="array" ref="O73">_xlfn.XLOOKUP($A73,ACT[[№]:[№]],ACT[Documents Work/ Сбор за подготовку документов
KRW],"",0,1)</f>
        <v>0</v>
      </c>
      <c r="P73" s="24" cm="1">
        <f t="array" ref="P73">_xlfn.XLOOKUP($A73,ACT[[№]:[№]],ACT[THC/ Терминальная обработка
KRW],"",0,1)</f>
        <v>0</v>
      </c>
      <c r="Q73" s="24" cm="1">
        <f t="array" ref="Q73">_xlfn.XLOOKUP($A73,ACT[[№]:[№]],ACT[Wharfage/ Портовая пошлина
KRW],"",0,1)</f>
        <v>0</v>
      </c>
      <c r="R73" s="24" cm="1">
        <f t="array" ref="R73">_xlfn.XLOOKUP($A73,ACT[[№]:[№]],ACT[TRUCKING CHARGE],"",0,1)</f>
        <v>0</v>
      </c>
      <c r="S73" s="24" cm="1">
        <f t="array" ref="S73">_xlfn.XLOOKUP($A73,ACT[[№]:[№]],ACT[FCL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73" s="24" cm="1">
        <f t="array" ref="T73">_xlfn.XLOOKUP($A73,ACT[[№]:[№]],ACT[Special Wooden Shoring / Специальное деревянное крепление],"",0,1)</f>
        <v>0</v>
      </c>
      <c r="U73" s="9"/>
      <c r="V73" s="24" cm="1">
        <f t="array" ref="V73">_xlfn.XLOOKUP($A73,ACT[[№]:[№]],ACT[Total amount/ Общая стоимость KRW (10+11+12+13+14+15+16)],"",0,1)</f>
        <v>0</v>
      </c>
      <c r="W73" s="24" cm="1">
        <f t="array" ref="W73">_xlfn.XLOOKUP($A73,ACT[[№]:[№]],ACT[Total amount/ Общая стоимость (17*exchange rate/ обменный курс)
 USD],"",0,1)</f>
        <v>0</v>
      </c>
      <c r="X73" s="9" t="e" cm="1">
        <f t="array" ref="X73">IF(#REF!="",_xlfn.XLOOKUP("МАКС",#REF!,#REF!,,0,1),#REF!)</f>
        <v>#REF!</v>
      </c>
      <c r="Y73" s="12" t="e">
        <f>VLOOKUP(Шаблон_Формулы[[#This Row],[24]],#REF!,2,0)</f>
        <v>#REF!</v>
      </c>
      <c r="Z73" s="26" t="str">
        <f>IFERROR(Шаблон_Формулы[[#This Row],[23]]*Шаблон_Формулы[[#This Row],[25]],"")</f>
        <v/>
      </c>
      <c r="AA73" s="13" t="e" cm="1">
        <f t="array" ref="AA73">#REF!</f>
        <v>#REF!</v>
      </c>
    </row>
    <row r="74" spans="1:27" s="8" customFormat="1" ht="12">
      <c r="A74" s="11">
        <v>70</v>
      </c>
      <c r="B74" s="8" t="str" cm="1">
        <f t="array" ref="B74">_xlfn.XLOOKUP($A74,ACT[[№]:[№]],ACT[Container No/
№ Контейнера],"",0,1)</f>
        <v>TCNU7501226</v>
      </c>
      <c r="C74" s="8" t="str">
        <f t="shared" si="1"/>
        <v>UzAutoKorea</v>
      </c>
      <c r="D74" s="11" t="str" cm="1">
        <f t="array" ref="D74">_xlfn.XLOOKUP($A74,ACT[[№]:[№]],ACT[Container Type/ 
Тип контейнера],"",0,1)</f>
        <v>40'HC</v>
      </c>
      <c r="E74" s="21" cm="1">
        <f t="array" ref="E74">_xlfn.XLOOKUP($A74,ACT[[№]:[№]],ACT[Date of Dispatch/ 
Дата отгрузки],"",0,1)</f>
        <v>44965</v>
      </c>
      <c r="F74" s="22" t="str" cm="1">
        <f t="array" ref="F74">_xlfn.XLOOKUP($A74,ACT[[№]:[№]],ACT[Supplier/ Поставщик],"",0,1)</f>
        <v>UZAUTO KOREA</v>
      </c>
      <c r="G74" s="22" t="str" cm="1">
        <f t="array" ref="G74">_xlfn.XLOOKUP($A74,ACT[[№]:[№]],ACT[Supplier Invoice No/                          № Инвойса Поставщика],"",0,1)</f>
        <v>UZST-C230108M(5)</v>
      </c>
      <c r="H74" s="23" cm="1">
        <f t="array" ref="H74">_xlfn.XLOOKUP($A74,ACT[[№]:[№]],ACT[CBM],"",0,1)</f>
        <v>0.71599999999999997</v>
      </c>
      <c r="I74" s="23" cm="1">
        <f t="array" ref="I74">_xlfn.XLOOKUP($A74,ACT[[№]:[№]],ACT[Gross weight, kg/ Вес брутто, кг],"",0,1)</f>
        <v>372</v>
      </c>
      <c r="J74" s="23" t="str" cm="1">
        <f t="array" ref="J74">_xlfn.XLOOKUP($A74,ACT[[№]:[№]],ACT[Delivery terms / Условия поставки],"",0,1)</f>
        <v>FOB</v>
      </c>
      <c r="K74" s="23" cm="1">
        <f t="array" ref="K74">_xlfn.XLOOKUP($A74,ACT[[№]:[№]],ACT[Container total CBM],"",0,1)</f>
        <v>32.297000000000004</v>
      </c>
      <c r="L74" s="24" cm="1">
        <f t="array" ref="L74">_xlfn.XLOOKUP($A74,ACT[[№]:[№]],ACT[FTL inland freight cost per Invoice Appendix/ Стоимость внутренней наземной перевозки за инвойс Приложение                     KRW],"",0,1)</f>
        <v>0</v>
      </c>
      <c r="M74" s="24" cm="1">
        <f t="array" ref="M74">_xlfn.XLOOKUP($A74,ACT[[№]:[№]],ACT[Consolidation Work, Loading, Unloading/ Работы по консолидации, Погрузка, Разгрузка (Rate/Тариф - 8000 per CBM)                   KRW],"",0,1)</f>
        <v>0</v>
      </c>
      <c r="N74" s="24" cm="1">
        <f t="array" ref="N74">_xlfn.XLOOKUP($A74,ACT[[№]:[№]],ACT[Shoring, Banding, Sealing, Handling/ Крепление, Перевязка, Опечатование, Обработка
KRW],"",0,1)</f>
        <v>0</v>
      </c>
      <c r="O74" s="24" cm="1">
        <f t="array" ref="O74">_xlfn.XLOOKUP($A74,ACT[[№]:[№]],ACT[Documents Work/ Сбор за подготовку документов
KRW],"",0,1)</f>
        <v>0</v>
      </c>
      <c r="P74" s="24" cm="1">
        <f t="array" ref="P74">_xlfn.XLOOKUP($A74,ACT[[№]:[№]],ACT[THC/ Терминальная обработка
KRW],"",0,1)</f>
        <v>0</v>
      </c>
      <c r="Q74" s="24" cm="1">
        <f t="array" ref="Q74">_xlfn.XLOOKUP($A74,ACT[[№]:[№]],ACT[Wharfage/ Портовая пошлина
KRW],"",0,1)</f>
        <v>0</v>
      </c>
      <c r="R74" s="24" cm="1">
        <f t="array" ref="R74">_xlfn.XLOOKUP($A74,ACT[[№]:[№]],ACT[TRUCKING CHARGE],"",0,1)</f>
        <v>0</v>
      </c>
      <c r="S74" s="24" cm="1">
        <f t="array" ref="S74">_xlfn.XLOOKUP($A74,ACT[[№]:[№]],ACT[FCL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74" s="24" cm="1">
        <f t="array" ref="T74">_xlfn.XLOOKUP($A74,ACT[[№]:[№]],ACT[Special Wooden Shoring / Специальное деревянное крепление],"",0,1)</f>
        <v>0</v>
      </c>
      <c r="U74" s="9"/>
      <c r="V74" s="24" cm="1">
        <f t="array" ref="V74">_xlfn.XLOOKUP($A74,ACT[[№]:[№]],ACT[Total amount/ Общая стоимость KRW (10+11+12+13+14+15+16)],"",0,1)</f>
        <v>0</v>
      </c>
      <c r="W74" s="24" cm="1">
        <f t="array" ref="W74">_xlfn.XLOOKUP($A74,ACT[[№]:[№]],ACT[Total amount/ Общая стоимость (17*exchange rate/ обменный курс)
 USD],"",0,1)</f>
        <v>0</v>
      </c>
      <c r="X74" s="9" t="e" cm="1">
        <f t="array" ref="X74">IF(#REF!="",_xlfn.XLOOKUP("МАКС",#REF!,#REF!,,0,1),#REF!)</f>
        <v>#REF!</v>
      </c>
      <c r="Y74" s="12" t="e">
        <f>VLOOKUP(Шаблон_Формулы[[#This Row],[24]],#REF!,2,0)</f>
        <v>#REF!</v>
      </c>
      <c r="Z74" s="26" t="str">
        <f>IFERROR(Шаблон_Формулы[[#This Row],[23]]*Шаблон_Формулы[[#This Row],[25]],"")</f>
        <v/>
      </c>
      <c r="AA74" s="13" t="e" cm="1">
        <f t="array" ref="AA74">#REF!</f>
        <v>#REF!</v>
      </c>
    </row>
    <row r="75" spans="1:27" s="8" customFormat="1" ht="12">
      <c r="A75" s="11">
        <v>71</v>
      </c>
      <c r="B75" s="8" t="str" cm="1">
        <f t="array" ref="B75">_xlfn.XLOOKUP($A75,ACT[[№]:[№]],ACT[Container No/
№ Контейнера],"",0,1)</f>
        <v>TRLU7254410</v>
      </c>
      <c r="C75" s="8" t="str">
        <f t="shared" si="1"/>
        <v>UzAutoKorea</v>
      </c>
      <c r="D75" s="11" t="str" cm="1">
        <f t="array" ref="D75">_xlfn.XLOOKUP($A75,ACT[[№]:[№]],ACT[Container Type/ 
Тип контейнера],"",0,1)</f>
        <v>40'HC</v>
      </c>
      <c r="E75" s="21" cm="1">
        <f t="array" ref="E75">_xlfn.XLOOKUP($A75,ACT[[№]:[№]],ACT[Date of Dispatch/ 
Дата отгрузки],"",0,1)</f>
        <v>44965</v>
      </c>
      <c r="F75" s="22" t="str" cm="1">
        <f t="array" ref="F75">_xlfn.XLOOKUP($A75,ACT[[№]:[№]],ACT[Supplier/ Поставщик],"",0,1)</f>
        <v>SAMJINJEONGGONG(GEM Project)</v>
      </c>
      <c r="G75" s="22" t="str" cm="1">
        <f t="array" ref="G75">_xlfn.XLOOKUP($A75,ACT[[№]:[№]],ACT[Supplier Invoice No/                          № Инвойса Поставщика],"",0,1)</f>
        <v>UZATK0035(11)</v>
      </c>
      <c r="H75" s="23" cm="1">
        <f t="array" ref="H75">_xlfn.XLOOKUP($A75,ACT[[№]:[№]],ACT[CBM],"",0,1)</f>
        <v>8.0190000000000001</v>
      </c>
      <c r="I75" s="23" cm="1">
        <f t="array" ref="I75">_xlfn.XLOOKUP($A75,ACT[[№]:[№]],ACT[Gross weight, kg/ Вес брутто, кг],"",0,1)</f>
        <v>7621</v>
      </c>
      <c r="J75" s="23" t="str" cm="1">
        <f t="array" ref="J75">_xlfn.XLOOKUP($A75,ACT[[№]:[№]],ACT[Delivery terms / Условия поставки],"",0,1)</f>
        <v>FCA</v>
      </c>
      <c r="K75" s="23" cm="1">
        <f t="array" ref="K75">_xlfn.XLOOKUP($A75,ACT[[№]:[№]],ACT[Container total CBM],"",0,1)</f>
        <v>21.277999999999999</v>
      </c>
      <c r="L75" s="24" cm="1">
        <f t="array" ref="L75">_xlfn.XLOOKUP($A75,ACT[[№]:[№]],ACT[FTL inland freight cost per Invoice Appendix/ Стоимость внутренней наземной перевозки за инвойс Приложение                     KRW],"",0,1)</f>
        <v>640000</v>
      </c>
      <c r="M75" s="24" cm="1">
        <f t="array" ref="M75">_xlfn.XLOOKUP($A75,ACT[[№]:[№]],ACT[Consolidation Work, Loading, Unloading/ Работы по консолидации, Погрузка, Разгрузка (Rate/Тариф - 8000 per CBM)                   KRW],"",0,1)</f>
        <v>68081.31</v>
      </c>
      <c r="N75" s="24" cm="1">
        <f t="array" ref="N75">_xlfn.XLOOKUP($A75,ACT[[№]:[№]],ACT[Shoring, Banding, Sealing, Handling/ Крепление, Перевязка, Опечатование, Обработка
KRW],"",0,1)</f>
        <v>73037.042955164958</v>
      </c>
      <c r="O75" s="24" cm="1">
        <f t="array" ref="O75">_xlfn.XLOOKUP($A75,ACT[[№]:[№]],ACT[Documents Work/ Сбор за подготовку документов
KRW],"",0,1)</f>
        <v>18843.406335181877</v>
      </c>
      <c r="P75" s="24" cm="1">
        <f t="array" ref="P75">_xlfn.XLOOKUP($A75,ACT[[№]:[№]],ACT[THC/ Терминальная обработка
KRW],"",0,1)</f>
        <v>69871.350690854408</v>
      </c>
      <c r="Q75" s="24" cm="1">
        <f t="array" ref="Q75">_xlfn.XLOOKUP($A75,ACT[[№]:[№]],ACT[Wharfage/ Портовая пошлина
KRW],"",0,1)</f>
        <v>3429.4999530031014</v>
      </c>
      <c r="R75" s="24" cm="1">
        <f t="array" ref="R75">_xlfn.XLOOKUP($A75,ACT[[№]:[№]],ACT[TRUCKING CHARGE],"",0,1)</f>
        <v>0</v>
      </c>
      <c r="S75" s="24" cm="1">
        <f t="array" ref="S75">_xlfn.XLOOKUP($A75,ACT[[№]:[№]],ACT[FCL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105711.50954037032</v>
      </c>
      <c r="T75" s="24" cm="1">
        <f t="array" ref="T75">_xlfn.XLOOKUP($A75,ACT[[№]:[№]],ACT[Special Wooden Shoring / Специальное деревянное крепление],"",0,1)</f>
        <v>0</v>
      </c>
      <c r="U75" s="9"/>
      <c r="V75" s="24" cm="1">
        <f t="array" ref="V75">_xlfn.XLOOKUP($A75,ACT[[№]:[№]],ACT[Total amount/ Общая стоимость KRW (10+11+12+13+14+15+16)],"",0,1)</f>
        <v>978974.11947457469</v>
      </c>
      <c r="W75" s="24" cm="1">
        <f t="array" ref="W75">_xlfn.XLOOKUP($A75,ACT[[№]:[№]],ACT[Total amount/ Общая стоимость (17*exchange rate/ обменный курс)
 USD],"",0,1)</f>
        <v>770.4</v>
      </c>
      <c r="X75" s="9" t="e" cm="1">
        <f t="array" ref="X75">IF(#REF!="",_xlfn.XLOOKUP("МАКС",#REF!,#REF!,,0,1),#REF!)</f>
        <v>#REF!</v>
      </c>
      <c r="Y75" s="12" t="e">
        <f>VLOOKUP(Шаблон_Формулы[[#This Row],[24]],#REF!,2,0)</f>
        <v>#REF!</v>
      </c>
      <c r="Z75" s="26" t="str">
        <f>IFERROR(Шаблон_Формулы[[#This Row],[23]]*Шаблон_Формулы[[#This Row],[25]],"")</f>
        <v/>
      </c>
      <c r="AA75" s="13" t="e" cm="1">
        <f t="array" ref="AA75">#REF!</f>
        <v>#REF!</v>
      </c>
    </row>
    <row r="76" spans="1:27" s="8" customFormat="1" ht="12">
      <c r="A76" s="11">
        <v>72</v>
      </c>
      <c r="B76" s="8" t="str" cm="1">
        <f t="array" ref="B76">_xlfn.XLOOKUP($A76,ACT[[№]:[№]],ACT[Container No/
№ Контейнера],"",0,1)</f>
        <v>TRLU7254410</v>
      </c>
      <c r="C76" s="8" t="str">
        <f t="shared" si="1"/>
        <v>UzAutoKorea</v>
      </c>
      <c r="D76" s="11" t="str" cm="1">
        <f t="array" ref="D76">_xlfn.XLOOKUP($A76,ACT[[№]:[№]],ACT[Container Type/ 
Тип контейнера],"",0,1)</f>
        <v>40'HC</v>
      </c>
      <c r="E76" s="21" cm="1">
        <f t="array" ref="E76">_xlfn.XLOOKUP($A76,ACT[[№]:[№]],ACT[Date of Dispatch/ 
Дата отгрузки],"",0,1)</f>
        <v>44965</v>
      </c>
      <c r="F76" s="22" t="str" cm="1">
        <f t="array" ref="F76">_xlfn.XLOOKUP($A76,ACT[[№]:[№]],ACT[Supplier/ Поставщик],"",0,1)</f>
        <v>KYUNGMIN(GEM Project)</v>
      </c>
      <c r="G76" s="22" t="str" cm="1">
        <f t="array" ref="G76">_xlfn.XLOOKUP($A76,ACT[[№]:[№]],ACT[Supplier Invoice No/                          № Инвойса Поставщика],"",0,1)</f>
        <v>UZATK0035(12)</v>
      </c>
      <c r="H76" s="23" cm="1">
        <f t="array" ref="H76">_xlfn.XLOOKUP($A76,ACT[[№]:[№]],ACT[CBM],"",0,1)</f>
        <v>0.53200000000000003</v>
      </c>
      <c r="I76" s="23" cm="1">
        <f t="array" ref="I76">_xlfn.XLOOKUP($A76,ACT[[№]:[№]],ACT[Gross weight, kg/ Вес брутто, кг],"",0,1)</f>
        <v>328.26</v>
      </c>
      <c r="J76" s="23" t="str" cm="1">
        <f t="array" ref="J76">_xlfn.XLOOKUP($A76,ACT[[№]:[№]],ACT[Delivery terms / Условия поставки],"",0,1)</f>
        <v>FCA</v>
      </c>
      <c r="K76" s="23" cm="1">
        <f t="array" ref="K76">_xlfn.XLOOKUP($A76,ACT[[№]:[№]],ACT[Container total CBM],"",0,1)</f>
        <v>21.277999999999999</v>
      </c>
      <c r="L76" s="24" cm="1">
        <f t="array" ref="L76">_xlfn.XLOOKUP($A76,ACT[[№]:[№]],ACT[FTL inland freight cost per Invoice Appendix/ Стоимость внутренней наземной перевозки за инвойс Приложение                     KRW],"",0,1)</f>
        <v>288000</v>
      </c>
      <c r="M76" s="24" cm="1">
        <f t="array" ref="M76">_xlfn.XLOOKUP($A76,ACT[[№]:[№]],ACT[Consolidation Work, Loading, Unloading/ Работы по консолидации, Погрузка, Разгрузка (Rate/Тариф - 8000 per CBM)                   KRW],"",0,1)</f>
        <v>4516.68</v>
      </c>
      <c r="N76" s="24" cm="1">
        <f t="array" ref="N76">_xlfn.XLOOKUP($A76,ACT[[№]:[№]],ACT[Shoring, Banding, Sealing, Handling/ Крепление, Перевязка, Опечатование, Обработка
KRW],"",0,1)</f>
        <v>4845.4553999436048</v>
      </c>
      <c r="O76" s="24" cm="1">
        <f t="array" ref="O76">_xlfn.XLOOKUP($A76,ACT[[№]:[№]],ACT[Documents Work/ Сбор за подготовку документов
KRW],"",0,1)</f>
        <v>1250.117492245512</v>
      </c>
      <c r="P76" s="24" cm="1">
        <f t="array" ref="P76">_xlfn.XLOOKUP($A76,ACT[[№]:[№]],ACT[THC/ Терминальная обработка
KRW],"",0,1)</f>
        <v>4635.435661246358</v>
      </c>
      <c r="Q76" s="24" cm="1">
        <f t="array" ref="Q76">_xlfn.XLOOKUP($A76,ACT[[№]:[№]],ACT[Wharfage/ Портовая пошлина
KRW],"",0,1)</f>
        <v>227.52138358868316</v>
      </c>
      <c r="R76" s="24" cm="1">
        <f t="array" ref="R76">_xlfn.XLOOKUP($A76,ACT[[№]:[№]],ACT[TRUCKING CHARGE],"",0,1)</f>
        <v>0</v>
      </c>
      <c r="S76" s="24" cm="1">
        <f t="array" ref="S76">_xlfn.XLOOKUP($A76,ACT[[№]:[№]],ACT[FCL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7013.1591314973221</v>
      </c>
      <c r="T76" s="24" cm="1">
        <f t="array" ref="T76">_xlfn.XLOOKUP($A76,ACT[[№]:[№]],ACT[Special Wooden Shoring / Специальное деревянное крепление],"",0,1)</f>
        <v>0</v>
      </c>
      <c r="U76" s="9"/>
      <c r="V76" s="24" cm="1">
        <f t="array" ref="V76">_xlfn.XLOOKUP($A76,ACT[[№]:[№]],ACT[Total amount/ Общая стоимость KRW (10+11+12+13+14+15+16)],"",0,1)</f>
        <v>310488.36906852148</v>
      </c>
      <c r="W76" s="24" cm="1">
        <f t="array" ref="W76">_xlfn.XLOOKUP($A76,ACT[[№]:[№]],ACT[Total amount/ Общая стоимость (17*exchange rate/ обменный курс)
 USD],"",0,1)</f>
        <v>244.34</v>
      </c>
      <c r="X76" s="9" t="e" cm="1">
        <f t="array" ref="X76">IF(#REF!="",_xlfn.XLOOKUP("МАКС",#REF!,#REF!,,0,1),#REF!)</f>
        <v>#REF!</v>
      </c>
      <c r="Y76" s="12" t="e">
        <f>VLOOKUP(Шаблон_Формулы[[#This Row],[24]],#REF!,2,0)</f>
        <v>#REF!</v>
      </c>
      <c r="Z76" s="26" t="str">
        <f>IFERROR(Шаблон_Формулы[[#This Row],[23]]*Шаблон_Формулы[[#This Row],[25]],"")</f>
        <v/>
      </c>
      <c r="AA76" s="13" t="e" cm="1">
        <f t="array" ref="AA76">#REF!</f>
        <v>#REF!</v>
      </c>
    </row>
    <row r="77" spans="1:27" s="8" customFormat="1" ht="12">
      <c r="A77" s="11">
        <v>73</v>
      </c>
      <c r="B77" s="8" t="str" cm="1">
        <f t="array" ref="B77">_xlfn.XLOOKUP($A77,ACT[[№]:[№]],ACT[Container No/
№ Контейнера],"",0,1)</f>
        <v>TRLU7254410</v>
      </c>
      <c r="C77" s="8" t="str">
        <f t="shared" si="1"/>
        <v>UzAutoKorea</v>
      </c>
      <c r="D77" s="11" t="str" cm="1">
        <f t="array" ref="D77">_xlfn.XLOOKUP($A77,ACT[[№]:[№]],ACT[Container Type/ 
Тип контейнера],"",0,1)</f>
        <v>40'HC</v>
      </c>
      <c r="E77" s="21" cm="1">
        <f t="array" ref="E77">_xlfn.XLOOKUP($A77,ACT[[№]:[№]],ACT[Date of Dispatch/ 
Дата отгрузки],"",0,1)</f>
        <v>44965</v>
      </c>
      <c r="F77" s="22" t="str" cm="1">
        <f t="array" ref="F77">_xlfn.XLOOKUP($A77,ACT[[№]:[№]],ACT[Supplier/ Поставщик],"",0,1)</f>
        <v>SH-BP(GEM Project)</v>
      </c>
      <c r="G77" s="22" t="str" cm="1">
        <f t="array" ref="G77">_xlfn.XLOOKUP($A77,ACT[[№]:[№]],ACT[Supplier Invoice No/                          № Инвойса Поставщика],"",0,1)</f>
        <v>UZATK0035(13)</v>
      </c>
      <c r="H77" s="23" cm="1">
        <f t="array" ref="H77">_xlfn.XLOOKUP($A77,ACT[[№]:[№]],ACT[CBM],"",0,1)</f>
        <v>1.2E-2</v>
      </c>
      <c r="I77" s="23" cm="1">
        <f t="array" ref="I77">_xlfn.XLOOKUP($A77,ACT[[№]:[№]],ACT[Gross weight, kg/ Вес брутто, кг],"",0,1)</f>
        <v>1.4</v>
      </c>
      <c r="J77" s="23" t="str" cm="1">
        <f t="array" ref="J77">_xlfn.XLOOKUP($A77,ACT[[№]:[№]],ACT[Delivery terms / Условия поставки],"",0,1)</f>
        <v>FCA</v>
      </c>
      <c r="K77" s="23" cm="1">
        <f t="array" ref="K77">_xlfn.XLOOKUP($A77,ACT[[№]:[№]],ACT[Container total CBM],"",0,1)</f>
        <v>21.277999999999999</v>
      </c>
      <c r="L77" s="24" cm="1">
        <f t="array" ref="L77">_xlfn.XLOOKUP($A77,ACT[[№]:[№]],ACT[FTL inland freight cost per Invoice Appendix/ Стоимость внутренней наземной перевозки за инвойс Приложение                     KRW],"",0,1)</f>
        <v>265000</v>
      </c>
      <c r="M77" s="24" cm="1">
        <f t="array" ref="M77">_xlfn.XLOOKUP($A77,ACT[[№]:[№]],ACT[Consolidation Work, Loading, Unloading/ Работы по консолидации, Погрузка, Разгрузка (Rate/Тариф - 8000 per CBM)                   KRW],"",0,1)</f>
        <v>101.88</v>
      </c>
      <c r="N77" s="24" cm="1">
        <f t="array" ref="N77">_xlfn.XLOOKUP($A77,ACT[[№]:[№]],ACT[Shoring, Banding, Sealing, Handling/ Крепление, Перевязка, Опечатование, Обработка
KRW],"",0,1)</f>
        <v>109.29598646489332</v>
      </c>
      <c r="O77" s="24" cm="1">
        <f t="array" ref="O77">_xlfn.XLOOKUP($A77,ACT[[№]:[№]],ACT[Documents Work/ Сбор за подготовку документов
KRW],"",0,1)</f>
        <v>28.198138922831092</v>
      </c>
      <c r="P77" s="24" cm="1">
        <f t="array" ref="P77">_xlfn.XLOOKUP($A77,ACT[[№]:[№]],ACT[THC/ Терминальная обработка
KRW],"",0,1)</f>
        <v>104.55869912585769</v>
      </c>
      <c r="Q77" s="24" cm="1">
        <f t="array" ref="Q77">_xlfn.XLOOKUP($A77,ACT[[№]:[№]],ACT[Wharfage/ Портовая пошлина
KRW],"",0,1)</f>
        <v>5.1320612839552586</v>
      </c>
      <c r="R77" s="24" cm="1">
        <f t="array" ref="R77">_xlfn.XLOOKUP($A77,ACT[[№]:[№]],ACT[TRUCKING CHARGE],"",0,1)</f>
        <v>0</v>
      </c>
      <c r="S77" s="24" cm="1">
        <f t="array" ref="S77">_xlfn.XLOOKUP($A77,ACT[[№]:[№]],ACT[FCL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158.19155935708244</v>
      </c>
      <c r="T77" s="24" cm="1">
        <f t="array" ref="T77">_xlfn.XLOOKUP($A77,ACT[[№]:[№]],ACT[Special Wooden Shoring / Специальное деревянное крепление],"",0,1)</f>
        <v>0</v>
      </c>
      <c r="U77" s="9"/>
      <c r="V77" s="24" cm="1">
        <f t="array" ref="V77">_xlfn.XLOOKUP($A77,ACT[[№]:[№]],ACT[Total amount/ Общая стоимость KRW (10+11+12+13+14+15+16)],"",0,1)</f>
        <v>265507.25644515461</v>
      </c>
      <c r="W77" s="24" cm="1">
        <f t="array" ref="W77">_xlfn.XLOOKUP($A77,ACT[[№]:[№]],ACT[Total amount/ Общая стоимость (17*exchange rate/ обменный курс)
 USD],"",0,1)</f>
        <v>208.94</v>
      </c>
      <c r="X77" s="9" t="e" cm="1">
        <f t="array" ref="X77">IF(#REF!="",_xlfn.XLOOKUP("МАКС",#REF!,#REF!,,0,1),#REF!)</f>
        <v>#REF!</v>
      </c>
      <c r="Y77" s="12" t="e">
        <f>VLOOKUP(Шаблон_Формулы[[#This Row],[24]],#REF!,2,0)</f>
        <v>#REF!</v>
      </c>
      <c r="Z77" s="26" t="str">
        <f>IFERROR(Шаблон_Формулы[[#This Row],[23]]*Шаблон_Формулы[[#This Row],[25]],"")</f>
        <v/>
      </c>
      <c r="AA77" s="13" t="e" cm="1">
        <f t="array" ref="AA77">#REF!</f>
        <v>#REF!</v>
      </c>
    </row>
    <row r="78" spans="1:27" s="8" customFormat="1" ht="12">
      <c r="A78" s="11">
        <v>74</v>
      </c>
      <c r="B78" s="8" t="str" cm="1">
        <f t="array" ref="B78">_xlfn.XLOOKUP($A78,ACT[[№]:[№]],ACT[Container No/
№ Контейнера],"",0,1)</f>
        <v>TRLU7254410</v>
      </c>
      <c r="C78" s="8" t="str">
        <f t="shared" si="1"/>
        <v>UzAutoKorea</v>
      </c>
      <c r="D78" s="11" t="str" cm="1">
        <f t="array" ref="D78">_xlfn.XLOOKUP($A78,ACT[[№]:[№]],ACT[Container Type/ 
Тип контейнера],"",0,1)</f>
        <v>40'HC</v>
      </c>
      <c r="E78" s="21" cm="1">
        <f t="array" ref="E78">_xlfn.XLOOKUP($A78,ACT[[№]:[№]],ACT[Date of Dispatch/ 
Дата отгрузки],"",0,1)</f>
        <v>44965</v>
      </c>
      <c r="F78" s="22" t="str" cm="1">
        <f t="array" ref="F78">_xlfn.XLOOKUP($A78,ACT[[№]:[№]],ACT[Supplier/ Поставщик],"",0,1)</f>
        <v>Youngshin (GEM Project)</v>
      </c>
      <c r="G78" s="22" t="str" cm="1">
        <f t="array" ref="G78">_xlfn.XLOOKUP($A78,ACT[[№]:[№]],ACT[Supplier Invoice No/                          № Инвойса Поставщика],"",0,1)</f>
        <v>UZATK0035(14)</v>
      </c>
      <c r="H78" s="23" cm="1">
        <f t="array" ref="H78">_xlfn.XLOOKUP($A78,ACT[[№]:[№]],ACT[CBM],"",0,1)</f>
        <v>11.407999999999999</v>
      </c>
      <c r="I78" s="23" cm="1">
        <f t="array" ref="I78">_xlfn.XLOOKUP($A78,ACT[[№]:[№]],ACT[Gross weight, kg/ Вес брутто, кг],"",0,1)</f>
        <v>12641.98</v>
      </c>
      <c r="J78" s="23" t="str" cm="1">
        <f t="array" ref="J78">_xlfn.XLOOKUP($A78,ACT[[№]:[№]],ACT[Delivery terms / Условия поставки],"",0,1)</f>
        <v>FCA</v>
      </c>
      <c r="K78" s="23" cm="1">
        <f t="array" ref="K78">_xlfn.XLOOKUP($A78,ACT[[№]:[№]],ACT[Container total CBM],"",0,1)</f>
        <v>21.277999999999999</v>
      </c>
      <c r="L78" s="24" cm="1">
        <f t="array" ref="L78">_xlfn.XLOOKUP($A78,ACT[[№]:[№]],ACT[FTL inland freight cost per Invoice Appendix/ Стоимость внутренней наземной перевозки за инвойс Приложение                     KRW],"",0,1)</f>
        <v>994000</v>
      </c>
      <c r="M78" s="24" cm="1">
        <f t="array" ref="M78">_xlfn.XLOOKUP($A78,ACT[[№]:[№]],ACT[Consolidation Work, Loading, Unloading/ Работы по консолидации, Погрузка, Разгрузка (Rate/Тариф - 8000 per CBM)                   KRW],"",0,1)</f>
        <v>96853.92</v>
      </c>
      <c r="N78" s="24" cm="1">
        <f t="array" ref="N78">_xlfn.XLOOKUP($A78,ACT[[№]:[№]],ACT[Shoring, Banding, Sealing, Handling/ Крепление, Перевязка, Опечатование, Обработка
KRW],"",0,1)</f>
        <v>103904.05113262525</v>
      </c>
      <c r="O78" s="24" cm="1">
        <f t="array" ref="O78">_xlfn.XLOOKUP($A78,ACT[[№]:[№]],ACT[Documents Work/ Сбор за подготовку документов
KRW],"",0,1)</f>
        <v>26807.030735971428</v>
      </c>
      <c r="P78" s="24" cm="1">
        <f t="array" ref="P78">_xlfn.XLOOKUP($A78,ACT[[№]:[№]],ACT[THC/ Терминальная обработка
KRW],"",0,1)</f>
        <v>99400.469968982041</v>
      </c>
      <c r="Q78" s="24" cm="1">
        <f t="array" ref="Q78">_xlfn.XLOOKUP($A78,ACT[[№]:[№]],ACT[Wharfage/ Портовая пошлина
KRW],"",0,1)</f>
        <v>4878.8795939468</v>
      </c>
      <c r="R78" s="24" cm="1">
        <f t="array" ref="R78">_xlfn.XLOOKUP($A78,ACT[[№]:[№]],ACT[TRUCKING CHARGE],"",0,1)</f>
        <v>0</v>
      </c>
      <c r="S78" s="24" cm="1">
        <f t="array" ref="S78">_xlfn.XLOOKUP($A78,ACT[[№]:[№]],ACT[FCL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150387.4424287997</v>
      </c>
      <c r="T78" s="24" cm="1">
        <f t="array" ref="T78">_xlfn.XLOOKUP($A78,ACT[[№]:[№]],ACT[Special Wooden Shoring / Специальное деревянное крепление],"",0,1)</f>
        <v>0</v>
      </c>
      <c r="U78" s="9"/>
      <c r="V78" s="24" cm="1">
        <f t="array" ref="V78">_xlfn.XLOOKUP($A78,ACT[[№]:[№]],ACT[Total amount/ Общая стоимость KRW (10+11+12+13+14+15+16)],"",0,1)</f>
        <v>1476231.7938603251</v>
      </c>
      <c r="W78" s="24" cm="1">
        <f t="array" ref="W78">_xlfn.XLOOKUP($A78,ACT[[№]:[№]],ACT[Total amount/ Общая стоимость (17*exchange rate/ обменный курс)
 USD],"",0,1)</f>
        <v>1161.71</v>
      </c>
      <c r="X78" s="9" t="e" cm="1">
        <f t="array" ref="X78">IF(#REF!="",_xlfn.XLOOKUP("МАКС",#REF!,#REF!,,0,1),#REF!)</f>
        <v>#REF!</v>
      </c>
      <c r="Y78" s="12" t="e">
        <f>VLOOKUP(Шаблон_Формулы[[#This Row],[24]],#REF!,2,0)</f>
        <v>#REF!</v>
      </c>
      <c r="Z78" s="26" t="str">
        <f>IFERROR(Шаблон_Формулы[[#This Row],[23]]*Шаблон_Формулы[[#This Row],[25]],"")</f>
        <v/>
      </c>
      <c r="AA78" s="13" t="e" cm="1">
        <f t="array" ref="AA78">#REF!</f>
        <v>#REF!</v>
      </c>
    </row>
    <row r="79" spans="1:27" s="8" customFormat="1" ht="12">
      <c r="A79" s="11">
        <v>75</v>
      </c>
      <c r="B79" s="8" t="str" cm="1">
        <f t="array" ref="B79">_xlfn.XLOOKUP($A79,ACT[[№]:[№]],ACT[Container No/
№ Контейнера],"",0,1)</f>
        <v>TRLU7254410</v>
      </c>
      <c r="C79" s="8" t="str">
        <f t="shared" si="1"/>
        <v>UzAutoKorea</v>
      </c>
      <c r="D79" s="11" t="str" cm="1">
        <f t="array" ref="D79">_xlfn.XLOOKUP($A79,ACT[[№]:[№]],ACT[Container Type/ 
Тип контейнера],"",0,1)</f>
        <v>40'HC</v>
      </c>
      <c r="E79" s="21" cm="1">
        <f t="array" ref="E79">_xlfn.XLOOKUP($A79,ACT[[№]:[№]],ACT[Date of Dispatch/ 
Дата отгрузки],"",0,1)</f>
        <v>44965</v>
      </c>
      <c r="F79" s="22" t="str" cm="1">
        <f t="array" ref="F79">_xlfn.XLOOKUP($A79,ACT[[№]:[№]],ACT[Supplier/ Поставщик],"",0,1)</f>
        <v>NIFCO KOREA(GEM Project)</v>
      </c>
      <c r="G79" s="22" t="str" cm="1">
        <f t="array" ref="G79">_xlfn.XLOOKUP($A79,ACT[[№]:[№]],ACT[Supplier Invoice No/                          № Инвойса Поставщика],"",0,1)</f>
        <v>UZATK0035(15)</v>
      </c>
      <c r="H79" s="23" cm="1">
        <f t="array" ref="H79">_xlfn.XLOOKUP($A79,ACT[[№]:[№]],ACT[CBM],"",0,1)</f>
        <v>1.3069999999999999</v>
      </c>
      <c r="I79" s="23" cm="1">
        <f t="array" ref="I79">_xlfn.XLOOKUP($A79,ACT[[№]:[№]],ACT[Gross weight, kg/ Вес брутто, кг],"",0,1)</f>
        <v>160</v>
      </c>
      <c r="J79" s="23" t="str" cm="1">
        <f t="array" ref="J79">_xlfn.XLOOKUP($A79,ACT[[№]:[№]],ACT[Delivery terms / Условия поставки],"",0,1)</f>
        <v>FCA</v>
      </c>
      <c r="K79" s="23" cm="1">
        <f t="array" ref="K79">_xlfn.XLOOKUP($A79,ACT[[№]:[№]],ACT[Container total CBM],"",0,1)</f>
        <v>21.277999999999999</v>
      </c>
      <c r="L79" s="24" cm="1">
        <f t="array" ref="L79">_xlfn.XLOOKUP($A79,ACT[[№]:[№]],ACT[FTL inland freight cost per Invoice Appendix/ Стоимость внутренней наземной перевозки за инвойс Приложение                     KRW],"",0,1)</f>
        <v>362000</v>
      </c>
      <c r="M79" s="24" cm="1">
        <f t="array" ref="M79">_xlfn.XLOOKUP($A79,ACT[[№]:[№]],ACT[Consolidation Work, Loading, Unloading/ Работы по консолидации, Погрузка, Разгрузка (Rate/Тариф - 8000 per CBM)                   KRW],"",0,1)</f>
        <v>11096.43</v>
      </c>
      <c r="N79" s="24" cm="1">
        <f t="array" ref="N79">_xlfn.XLOOKUP($A79,ACT[[№]:[№]],ACT[Shoring, Banding, Sealing, Handling/ Крепление, Перевязка, Опечатование, Обработка
KRW],"",0,1)</f>
        <v>11904.154525801296</v>
      </c>
      <c r="O79" s="24" cm="1">
        <f t="array" ref="O79">_xlfn.XLOOKUP($A79,ACT[[№]:[№]],ACT[Documents Work/ Сбор за подготовку документов
KRW],"",0,1)</f>
        <v>3071.2472976783533</v>
      </c>
      <c r="P79" s="24" cm="1">
        <f t="array" ref="P79">_xlfn.XLOOKUP($A79,ACT[[№]:[№]],ACT[THC/ Терминальная обработка
KRW],"",0,1)</f>
        <v>11388.184979791336</v>
      </c>
      <c r="Q79" s="24" cm="1">
        <f t="array" ref="Q79">_xlfn.XLOOKUP($A79,ACT[[№]:[№]],ACT[Wharfage/ Портовая пошлина
KRW],"",0,1)</f>
        <v>558.96700817746034</v>
      </c>
      <c r="R79" s="24" cm="1">
        <f t="array" ref="R79">_xlfn.XLOOKUP($A79,ACT[[№]:[№]],ACT[TRUCKING CHARGE],"",0,1)</f>
        <v>0</v>
      </c>
      <c r="S79" s="24" cm="1">
        <f t="array" ref="S79">_xlfn.XLOOKUP($A79,ACT[[№]:[№]],ACT[FCL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17229.697339975562</v>
      </c>
      <c r="T79" s="24" cm="1">
        <f t="array" ref="T79">_xlfn.XLOOKUP($A79,ACT[[№]:[№]],ACT[Special Wooden Shoring / Специальное деревянное крепление],"",0,1)</f>
        <v>0</v>
      </c>
      <c r="U79" s="9"/>
      <c r="V79" s="24" cm="1">
        <f t="array" ref="V79">_xlfn.XLOOKUP($A79,ACT[[№]:[№]],ACT[Total amount/ Общая стоимость KRW (10+11+12+13+14+15+16)],"",0,1)</f>
        <v>417248.68115142407</v>
      </c>
      <c r="W79" s="24" cm="1">
        <f t="array" ref="W79">_xlfn.XLOOKUP($A79,ACT[[№]:[№]],ACT[Total amount/ Общая стоимость (17*exchange rate/ обменный курс)
 USD],"",0,1)</f>
        <v>328.35</v>
      </c>
      <c r="X79" s="9" t="e" cm="1">
        <f t="array" ref="X79">IF(#REF!="",_xlfn.XLOOKUP("МАКС",#REF!,#REF!,,0,1),#REF!)</f>
        <v>#REF!</v>
      </c>
      <c r="Y79" s="12" t="e">
        <f>VLOOKUP(Шаблон_Формулы[[#This Row],[24]],#REF!,2,0)</f>
        <v>#REF!</v>
      </c>
      <c r="Z79" s="26" t="str">
        <f>IFERROR(Шаблон_Формулы[[#This Row],[23]]*Шаблон_Формулы[[#This Row],[25]],"")</f>
        <v/>
      </c>
      <c r="AA79" s="13" t="e" cm="1">
        <f t="array" ref="AA79">#REF!</f>
        <v>#REF!</v>
      </c>
    </row>
    <row r="80" spans="1:27" s="8" customFormat="1" ht="12">
      <c r="A80" s="11">
        <v>76</v>
      </c>
      <c r="B80" s="8" t="str" cm="1">
        <f t="array" ref="B80">_xlfn.XLOOKUP($A80,ACT[[№]:[№]],ACT[Container No/
№ Контейнера],"",0,1)</f>
        <v>YMLU8408292</v>
      </c>
      <c r="C80" s="8" t="str">
        <f t="shared" si="1"/>
        <v>UzAutoKorea</v>
      </c>
      <c r="D80" s="11" t="str" cm="1">
        <f t="array" ref="D80">_xlfn.XLOOKUP($A80,ACT[[№]:[№]],ACT[Container Type/ 
Тип контейнера],"",0,1)</f>
        <v>40'HC</v>
      </c>
      <c r="E80" s="21" cm="1">
        <f t="array" ref="E80">_xlfn.XLOOKUP($A80,ACT[[№]:[№]],ACT[Date of Dispatch/ 
Дата отгрузки],"",0,1)</f>
        <v>44965</v>
      </c>
      <c r="F80" s="22" t="str" cm="1">
        <f t="array" ref="F80">_xlfn.XLOOKUP($A80,ACT[[№]:[№]],ACT[Supplier/ Поставщик],"",0,1)</f>
        <v>ERAE AMS</v>
      </c>
      <c r="G80" s="22" t="str" cm="1">
        <f t="array" ref="G80">_xlfn.XLOOKUP($A80,ACT[[№]:[№]],ACT[Supplier Invoice No/                          № Инвойса Поставщика],"",0,1)</f>
        <v>DS231CH01-1(1)</v>
      </c>
      <c r="H80" s="23" cm="1">
        <f t="array" ref="H80">_xlfn.XLOOKUP($A80,ACT[[№]:[№]],ACT[CBM],"",0,1)</f>
        <v>13.34</v>
      </c>
      <c r="I80" s="23" cm="1">
        <f t="array" ref="I80">_xlfn.XLOOKUP($A80,ACT[[№]:[№]],ACT[Gross weight, kg/ Вес брутто, кг],"",0,1)</f>
        <v>5500</v>
      </c>
      <c r="J80" s="23" t="str" cm="1">
        <f t="array" ref="J80">_xlfn.XLOOKUP($A80,ACT[[№]:[№]],ACT[Delivery terms / Условия поставки],"",0,1)</f>
        <v>FCA</v>
      </c>
      <c r="K80" s="23" cm="1">
        <f t="array" ref="K80">_xlfn.XLOOKUP($A80,ACT[[№]:[№]],ACT[Container total CBM],"",0,1)</f>
        <v>58.436999999999991</v>
      </c>
      <c r="L80" s="24" cm="1">
        <f t="array" ref="L80">_xlfn.XLOOKUP($A80,ACT[[№]:[№]],ACT[FTL inland freight cost per Invoice Appendix/ Стоимость внутренней наземной перевозки за инвойс Приложение                     KRW],"",0,1)</f>
        <v>376000</v>
      </c>
      <c r="M80" s="24" cm="1">
        <f t="array" ref="M80">_xlfn.XLOOKUP($A80,ACT[[№]:[№]],ACT[Consolidation Work, Loading, Unloading/ Работы по консолидации, Погрузка, Разгрузка (Rate/Тариф - 8000 per CBM)                   KRW],"",0,1)</f>
        <v>113256.6</v>
      </c>
      <c r="N80" s="24" cm="1">
        <f t="array" ref="N80">_xlfn.XLOOKUP($A80,ACT[[№]:[№]],ACT[Shoring, Banding, Sealing, Handling/ Крепление, Перевязка, Опечатование, Обработка
KRW],"",0,1)</f>
        <v>44240.669438882906</v>
      </c>
      <c r="O80" s="24" cm="1">
        <f t="array" ref="O80">_xlfn.XLOOKUP($A80,ACT[[№]:[№]],ACT[Documents Work/ Сбор за подготовку документов
KRW],"",0,1)</f>
        <v>11414.001403220564</v>
      </c>
      <c r="P80" s="24" cm="1">
        <f t="array" ref="P80">_xlfn.XLOOKUP($A80,ACT[[№]:[№]],ACT[THC/ Терминальная обработка
KRW],"",0,1)</f>
        <v>42323.117203141854</v>
      </c>
      <c r="Q80" s="24" cm="1">
        <f t="array" ref="Q80">_xlfn.XLOOKUP($A80,ACT[[№]:[№]],ACT[Wharfage/ Портовая пошлина
KRW],"",0,1)</f>
        <v>2077.3482553861427</v>
      </c>
      <c r="R80" s="24" cm="1">
        <f t="array" ref="R80">_xlfn.XLOOKUP($A80,ACT[[№]:[№]],ACT[TRUCKING CHARGE],"",0,1)</f>
        <v>0</v>
      </c>
      <c r="S80" s="24" cm="1">
        <f t="array" ref="S80">_xlfn.XLOOKUP($A80,ACT[[№]:[№]],ACT[FCL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64032.547872067356</v>
      </c>
      <c r="T80" s="24" cm="1">
        <f t="array" ref="T80">_xlfn.XLOOKUP($A80,ACT[[№]:[№]],ACT[Special Wooden Shoring / Специальное деревянное крепление],"",0,1)</f>
        <v>0</v>
      </c>
      <c r="U80" s="9"/>
      <c r="V80" s="24" cm="1">
        <f t="array" ref="V80">_xlfn.XLOOKUP($A80,ACT[[№]:[№]],ACT[Total amount/ Общая стоимость KRW (10+11+12+13+14+15+16)],"",0,1)</f>
        <v>653344.28417269874</v>
      </c>
      <c r="W80" s="24" cm="1">
        <f t="array" ref="W80">_xlfn.XLOOKUP($A80,ACT[[№]:[№]],ACT[Total amount/ Общая стоимость (17*exchange rate/ обменный курс)
 USD],"",0,1)</f>
        <v>514.14</v>
      </c>
      <c r="X80" s="9" t="e" cm="1">
        <f t="array" ref="X80">IF(#REF!="",_xlfn.XLOOKUP("МАКС",#REF!,#REF!,,0,1),#REF!)</f>
        <v>#REF!</v>
      </c>
      <c r="Y80" s="12" t="e">
        <f>VLOOKUP(Шаблон_Формулы[[#This Row],[24]],#REF!,2,0)</f>
        <v>#REF!</v>
      </c>
      <c r="Z80" s="26" t="str">
        <f>IFERROR(Шаблон_Формулы[[#This Row],[23]]*Шаблон_Формулы[[#This Row],[25]],"")</f>
        <v/>
      </c>
      <c r="AA80" s="13" t="e" cm="1">
        <f t="array" ref="AA80">#REF!</f>
        <v>#REF!</v>
      </c>
    </row>
    <row r="81" spans="1:27" s="8" customFormat="1" ht="12">
      <c r="A81" s="11">
        <v>77</v>
      </c>
      <c r="B81" s="8" t="str" cm="1">
        <f t="array" ref="B81">_xlfn.XLOOKUP($A81,ACT[[№]:[№]],ACT[Container No/
№ Контейнера],"",0,1)</f>
        <v>YMLU8408292</v>
      </c>
      <c r="C81" s="8" t="str">
        <f t="shared" si="1"/>
        <v>UzAutoKorea</v>
      </c>
      <c r="D81" s="11" t="str" cm="1">
        <f t="array" ref="D81">_xlfn.XLOOKUP($A81,ACT[[№]:[№]],ACT[Container Type/ 
Тип контейнера],"",0,1)</f>
        <v>40'HC</v>
      </c>
      <c r="E81" s="21" cm="1">
        <f t="array" ref="E81">_xlfn.XLOOKUP($A81,ACT[[№]:[№]],ACT[Date of Dispatch/ 
Дата отгрузки],"",0,1)</f>
        <v>44965</v>
      </c>
      <c r="F81" s="22" t="str" cm="1">
        <f t="array" ref="F81">_xlfn.XLOOKUP($A81,ACT[[№]:[№]],ACT[Supplier/ Поставщик],"",0,1)</f>
        <v>ERAE AMS</v>
      </c>
      <c r="G81" s="22" t="str" cm="1">
        <f t="array" ref="G81">_xlfn.XLOOKUP($A81,ACT[[№]:[№]],ACT[Supplier Invoice No/                          № Инвойса Поставщика],"",0,1)</f>
        <v>DS231CH01-1(2)</v>
      </c>
      <c r="H81" s="23" cm="1">
        <f t="array" ref="H81">_xlfn.XLOOKUP($A81,ACT[[№]:[№]],ACT[CBM],"",0,1)</f>
        <v>19.84</v>
      </c>
      <c r="I81" s="23" cm="1">
        <f t="array" ref="I81">_xlfn.XLOOKUP($A81,ACT[[№]:[№]],ACT[Gross weight, kg/ Вес брутто, кг],"",0,1)</f>
        <v>7100</v>
      </c>
      <c r="J81" s="23" t="str" cm="1">
        <f t="array" ref="J81">_xlfn.XLOOKUP($A81,ACT[[№]:[№]],ACT[Delivery terms / Условия поставки],"",0,1)</f>
        <v>FCA</v>
      </c>
      <c r="K81" s="23" cm="1">
        <f t="array" ref="K81">_xlfn.XLOOKUP($A81,ACT[[№]:[№]],ACT[Container total CBM],"",0,1)</f>
        <v>58.436999999999991</v>
      </c>
      <c r="L81" s="24" cm="1">
        <f t="array" ref="L81">_xlfn.XLOOKUP($A81,ACT[[№]:[№]],ACT[FTL inland freight cost per Invoice Appendix/ Стоимость внутренней наземной перевозки за инвойс Приложение                     KRW],"",0,1)</f>
        <v>376000</v>
      </c>
      <c r="M81" s="24" cm="1">
        <f t="array" ref="M81">_xlfn.XLOOKUP($A81,ACT[[№]:[№]],ACT[Consolidation Work, Loading, Unloading/ Работы по консолидации, Погрузка, Разгрузка (Rate/Тариф - 8000 per CBM)                   KRW],"",0,1)</f>
        <v>168441.60000000001</v>
      </c>
      <c r="N81" s="24" cm="1">
        <f t="array" ref="N81">_xlfn.XLOOKUP($A81,ACT[[№]:[№]],ACT[Shoring, Banding, Sealing, Handling/ Крепление, Перевязка, Опечатование, Обработка
KRW],"",0,1)</f>
        <v>65797.217516299614</v>
      </c>
      <c r="O81" s="24" cm="1">
        <f t="array" ref="O81">_xlfn.XLOOKUP($A81,ACT[[№]:[№]],ACT[Documents Work/ Сбор за подготовку документов
KRW],"",0,1)</f>
        <v>16975.546314834784</v>
      </c>
      <c r="P81" s="24" cm="1">
        <f t="array" ref="P81">_xlfn.XLOOKUP($A81,ACT[[№]:[№]],ACT[THC/ Терминальная обработка
KRW],"",0,1)</f>
        <v>62945.325735407379</v>
      </c>
      <c r="Q81" s="24" cm="1">
        <f t="array" ref="Q81">_xlfn.XLOOKUP($A81,ACT[[№]:[№]],ACT[Wharfage/ Портовая пошлина
KRW],"",0,1)</f>
        <v>3089.5494292999306</v>
      </c>
      <c r="R81" s="24" cm="1">
        <f t="array" ref="R81">_xlfn.XLOOKUP($A81,ACT[[№]:[№]],ACT[TRUCKING CHARGE],"",0,1)</f>
        <v>0</v>
      </c>
      <c r="S81" s="24" cm="1">
        <f t="array" ref="S81">_xlfn.XLOOKUP($A81,ACT[[№]:[№]],ACT[FCL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95232.814826223126</v>
      </c>
      <c r="T81" s="24" cm="1">
        <f t="array" ref="T81">_xlfn.XLOOKUP($A81,ACT[[№]:[№]],ACT[Special Wooden Shoring / Специальное деревянное крепление],"",0,1)</f>
        <v>0</v>
      </c>
      <c r="U81" s="9"/>
      <c r="V81" s="24" cm="1">
        <f t="array" ref="V81">_xlfn.XLOOKUP($A81,ACT[[№]:[№]],ACT[Total amount/ Общая стоимость KRW (10+11+12+13+14+15+16)],"",0,1)</f>
        <v>788482.05382206477</v>
      </c>
      <c r="W81" s="24" cm="1">
        <f t="array" ref="W81">_xlfn.XLOOKUP($A81,ACT[[№]:[№]],ACT[Total amount/ Общая стоимость (17*exchange rate/ обменный курс)
 USD],"",0,1)</f>
        <v>620.49</v>
      </c>
      <c r="X81" s="9" t="e" cm="1">
        <f t="array" ref="X81">IF(#REF!="",_xlfn.XLOOKUP("МАКС",#REF!,#REF!,,0,1),#REF!)</f>
        <v>#REF!</v>
      </c>
      <c r="Y81" s="12" t="e">
        <f>VLOOKUP(Шаблон_Формулы[[#This Row],[24]],#REF!,2,0)</f>
        <v>#REF!</v>
      </c>
      <c r="Z81" s="26" t="str">
        <f>IFERROR(Шаблон_Формулы[[#This Row],[23]]*Шаблон_Формулы[[#This Row],[25]],"")</f>
        <v/>
      </c>
      <c r="AA81" s="13" t="e" cm="1">
        <f t="array" ref="AA81">#REF!</f>
        <v>#REF!</v>
      </c>
    </row>
    <row r="82" spans="1:27" s="8" customFormat="1" ht="12">
      <c r="A82" s="11">
        <v>78</v>
      </c>
      <c r="B82" s="8" t="str" cm="1">
        <f t="array" ref="B82">_xlfn.XLOOKUP($A82,ACT[[№]:[№]],ACT[Container No/
№ Контейнера],"",0,1)</f>
        <v>YMLU8408292</v>
      </c>
      <c r="C82" s="8" t="str">
        <f t="shared" si="1"/>
        <v>UzAutoKorea</v>
      </c>
      <c r="D82" s="11" t="str" cm="1">
        <f t="array" ref="D82">_xlfn.XLOOKUP($A82,ACT[[№]:[№]],ACT[Container Type/ 
Тип контейнера],"",0,1)</f>
        <v>40'HC</v>
      </c>
      <c r="E82" s="21" cm="1">
        <f t="array" ref="E82">_xlfn.XLOOKUP($A82,ACT[[№]:[№]],ACT[Date of Dispatch/ 
Дата отгрузки],"",0,1)</f>
        <v>44965</v>
      </c>
      <c r="F82" s="22" t="str" cm="1">
        <f t="array" ref="F82">_xlfn.XLOOKUP($A82,ACT[[№]:[№]],ACT[Supplier/ Поставщик],"",0,1)</f>
        <v>ERAE AMS</v>
      </c>
      <c r="G82" s="22" t="str" cm="1">
        <f t="array" ref="G82">_xlfn.XLOOKUP($A82,ACT[[№]:[№]],ACT[Supplier Invoice No/                          № Инвойса Поставщика],"",0,1)</f>
        <v>DS231CH01-1(3)</v>
      </c>
      <c r="H82" s="23" cm="1">
        <f t="array" ref="H82">_xlfn.XLOOKUP($A82,ACT[[№]:[№]],ACT[CBM],"",0,1)</f>
        <v>4.6689999999999996</v>
      </c>
      <c r="I82" s="23" cm="1">
        <f t="array" ref="I82">_xlfn.XLOOKUP($A82,ACT[[№]:[№]],ACT[Gross weight, kg/ Вес брутто, кг],"",0,1)</f>
        <v>1918</v>
      </c>
      <c r="J82" s="23" t="str" cm="1">
        <f t="array" ref="J82">_xlfn.XLOOKUP($A82,ACT[[№]:[№]],ACT[Delivery terms / Условия поставки],"",0,1)</f>
        <v>FCA</v>
      </c>
      <c r="K82" s="23" cm="1">
        <f t="array" ref="K82">_xlfn.XLOOKUP($A82,ACT[[№]:[№]],ACT[Container total CBM],"",0,1)</f>
        <v>58.436999999999991</v>
      </c>
      <c r="L82" s="24" cm="1">
        <f t="array" ref="L82">_xlfn.XLOOKUP($A82,ACT[[№]:[№]],ACT[FTL inland freight cost per Invoice Appendix/ Стоимость внутренней наземной перевозки за инвойс Приложение                     KRW],"",0,1)</f>
        <v>291100</v>
      </c>
      <c r="M82" s="24" cm="1">
        <f t="array" ref="M82">_xlfn.XLOOKUP($A82,ACT[[№]:[№]],ACT[Consolidation Work, Loading, Unloading/ Работы по консолидации, Погрузка, Разгрузка (Rate/Тариф - 8000 per CBM)                   KRW],"",0,1)</f>
        <v>39639.81</v>
      </c>
      <c r="N82" s="24" cm="1">
        <f t="array" ref="N82">_xlfn.XLOOKUP($A82,ACT[[№]:[№]],ACT[Shoring, Banding, Sealing, Handling/ Крепление, Перевязка, Опечатование, Обработка
KRW],"",0,1)</f>
        <v>15484.234303609015</v>
      </c>
      <c r="O82" s="24" cm="1">
        <f t="array" ref="O82">_xlfn.XLOOKUP($A82,ACT[[№]:[№]],ACT[Documents Work/ Сбор за подготовку документов
KRW],"",0,1)</f>
        <v>3994.9004911271977</v>
      </c>
      <c r="P82" s="24" cm="1">
        <f t="array" ref="P82">_xlfn.XLOOKUP($A82,ACT[[№]:[№]],ACT[THC/ Терминальная обработка
KRW],"",0,1)</f>
        <v>14813.091021099646</v>
      </c>
      <c r="Q82" s="24" cm="1">
        <f t="array" ref="Q82">_xlfn.XLOOKUP($A82,ACT[[№]:[№]],ACT[Wharfage/ Портовая пошлина
KRW],"",0,1)</f>
        <v>727.07188938514992</v>
      </c>
      <c r="R82" s="24" cm="1">
        <f t="array" ref="R82">_xlfn.XLOOKUP($A82,ACT[[№]:[№]],ACT[TRUCKING CHARGE],"",0,1)</f>
        <v>0</v>
      </c>
      <c r="S82" s="24" cm="1">
        <f t="array" ref="S82">_xlfn.XLOOKUP($A82,ACT[[№]:[№]],ACT[FCL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22411.391755223576</v>
      </c>
      <c r="T82" s="24" cm="1">
        <f t="array" ref="T82">_xlfn.XLOOKUP($A82,ACT[[№]:[№]],ACT[Special Wooden Shoring / Специальное деревянное крепление],"",0,1)</f>
        <v>0</v>
      </c>
      <c r="U82" s="9"/>
      <c r="V82" s="24" cm="1">
        <f t="array" ref="V82">_xlfn.XLOOKUP($A82,ACT[[№]:[№]],ACT[Total amount/ Общая стоимость KRW (10+11+12+13+14+15+16)],"",0,1)</f>
        <v>388170.49946044461</v>
      </c>
      <c r="W82" s="24" cm="1">
        <f t="array" ref="W82">_xlfn.XLOOKUP($A82,ACT[[№]:[№]],ACT[Total amount/ Общая стоимость (17*exchange rate/ обменный курс)
 USD],"",0,1)</f>
        <v>305.47000000000003</v>
      </c>
      <c r="X82" s="9" t="e" cm="1">
        <f t="array" ref="X82">IF(#REF!="",_xlfn.XLOOKUP("МАКС",#REF!,#REF!,,0,1),#REF!)</f>
        <v>#REF!</v>
      </c>
      <c r="Y82" s="12" t="e">
        <f>VLOOKUP(Шаблон_Формулы[[#This Row],[24]],#REF!,2,0)</f>
        <v>#REF!</v>
      </c>
      <c r="Z82" s="26" t="str">
        <f>IFERROR(Шаблон_Формулы[[#This Row],[23]]*Шаблон_Формулы[[#This Row],[25]],"")</f>
        <v/>
      </c>
      <c r="AA82" s="13" t="e" cm="1">
        <f t="array" ref="AA82">#REF!</f>
        <v>#REF!</v>
      </c>
    </row>
    <row r="83" spans="1:27" s="8" customFormat="1" ht="12">
      <c r="A83" s="11">
        <v>79</v>
      </c>
      <c r="B83" s="8" t="str" cm="1">
        <f t="array" ref="B83">_xlfn.XLOOKUP($A83,ACT[[№]:[№]],ACT[Container No/
№ Контейнера],"",0,1)</f>
        <v>YMLU8408292</v>
      </c>
      <c r="C83" s="8" t="str">
        <f t="shared" si="1"/>
        <v>UzAutoKorea</v>
      </c>
      <c r="D83" s="11" t="str" cm="1">
        <f t="array" ref="D83">_xlfn.XLOOKUP($A83,ACT[[№]:[№]],ACT[Container Type/ 
Тип контейнера],"",0,1)</f>
        <v>40'HC</v>
      </c>
      <c r="E83" s="21" cm="1">
        <f t="array" ref="E83">_xlfn.XLOOKUP($A83,ACT[[№]:[№]],ACT[Date of Dispatch/ 
Дата отгрузки],"",0,1)</f>
        <v>44965</v>
      </c>
      <c r="F83" s="22" t="str" cm="1">
        <f t="array" ref="F83">_xlfn.XLOOKUP($A83,ACT[[№]:[№]],ACT[Supplier/ Поставщик],"",0,1)</f>
        <v>ERAE AMS</v>
      </c>
      <c r="G83" s="22" t="str" cm="1">
        <f t="array" ref="G83">_xlfn.XLOOKUP($A83,ACT[[№]:[№]],ACT[Supplier Invoice No/                          № Инвойса Поставщика],"",0,1)</f>
        <v>DS231CH01-1(4)</v>
      </c>
      <c r="H83" s="23" cm="1">
        <f t="array" ref="H83">_xlfn.XLOOKUP($A83,ACT[[№]:[№]],ACT[CBM],"",0,1)</f>
        <v>6.9450000000000003</v>
      </c>
      <c r="I83" s="23" cm="1">
        <f t="array" ref="I83">_xlfn.XLOOKUP($A83,ACT[[№]:[№]],ACT[Gross weight, kg/ Вес брутто, кг],"",0,1)</f>
        <v>2562</v>
      </c>
      <c r="J83" s="23" t="str" cm="1">
        <f t="array" ref="J83">_xlfn.XLOOKUP($A83,ACT[[№]:[№]],ACT[Delivery terms / Условия поставки],"",0,1)</f>
        <v>FCA</v>
      </c>
      <c r="K83" s="23" cm="1">
        <f t="array" ref="K83">_xlfn.XLOOKUP($A83,ACT[[№]:[№]],ACT[Container total CBM],"",0,1)</f>
        <v>58.436999999999991</v>
      </c>
      <c r="L83" s="24" cm="1">
        <f t="array" ref="L83">_xlfn.XLOOKUP($A83,ACT[[№]:[№]],ACT[FTL inland freight cost per Invoice Appendix/ Стоимость внутренней наземной перевозки за инвойс Приложение                     KRW],"",0,1)</f>
        <v>291100</v>
      </c>
      <c r="M83" s="24" cm="1">
        <f t="array" ref="M83">_xlfn.XLOOKUP($A83,ACT[[№]:[№]],ACT[Consolidation Work, Loading, Unloading/ Работы по консолидации, Погрузка, Разгрузка (Rate/Тариф - 8000 per CBM)                   KRW],"",0,1)</f>
        <v>58963.05</v>
      </c>
      <c r="N83" s="24" cm="1">
        <f t="array" ref="N83">_xlfn.XLOOKUP($A83,ACT[[№]:[№]],ACT[Shoring, Banding, Sealing, Handling/ Крепление, Перевязка, Опечатование, Обработка
KRW],"",0,1)</f>
        <v>23032.342522716775</v>
      </c>
      <c r="O83" s="24" cm="1">
        <f t="array" ref="O83">_xlfn.XLOOKUP($A83,ACT[[№]:[№]],ACT[Documents Work/ Сбор за подготовку документов
KRW],"",0,1)</f>
        <v>5942.2968324862686</v>
      </c>
      <c r="P83" s="24" cm="1">
        <f t="array" ref="P83">_xlfn.XLOOKUP($A83,ACT[[№]:[№]],ACT[THC/ Терминальная обработка
KRW],"",0,1)</f>
        <v>22034.036654859083</v>
      </c>
      <c r="Q83" s="24" cm="1">
        <f t="array" ref="Q83">_xlfn.XLOOKUP($A83,ACT[[№]:[№]],ACT[Wharfage/ Портовая пошлина
KRW],"",0,1)</f>
        <v>1081.4980235125008</v>
      </c>
      <c r="R83" s="24" cm="1">
        <f t="array" ref="R83">_xlfn.XLOOKUP($A83,ACT[[№]:[№]],ACT[TRUCKING CHARGE],"",0,1)</f>
        <v>0</v>
      </c>
      <c r="S83" s="24" cm="1">
        <f t="array" ref="S83">_xlfn.XLOOKUP($A83,ACT[[№]:[№]],ACT[FCL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33336.285230247966</v>
      </c>
      <c r="T83" s="24" cm="1">
        <f t="array" ref="T83">_xlfn.XLOOKUP($A83,ACT[[№]:[№]],ACT[Special Wooden Shoring / Специальное деревянное крепление],"",0,1)</f>
        <v>0</v>
      </c>
      <c r="U83" s="9"/>
      <c r="V83" s="24" cm="1">
        <f t="array" ref="V83">_xlfn.XLOOKUP($A83,ACT[[№]:[№]],ACT[Total amount/ Общая стоимость KRW (10+11+12+13+14+15+16)],"",0,1)</f>
        <v>435489.50926382258</v>
      </c>
      <c r="W83" s="24" cm="1">
        <f t="array" ref="W83">_xlfn.XLOOKUP($A83,ACT[[№]:[№]],ACT[Total amount/ Общая стоимость (17*exchange rate/ обменный курс)
 USD],"",0,1)</f>
        <v>342.71</v>
      </c>
      <c r="X83" s="9" t="e" cm="1">
        <f t="array" ref="X83">IF(#REF!="",_xlfn.XLOOKUP("МАКС",#REF!,#REF!,,0,1),#REF!)</f>
        <v>#REF!</v>
      </c>
      <c r="Y83" s="12" t="e">
        <f>VLOOKUP(Шаблон_Формулы[[#This Row],[24]],#REF!,2,0)</f>
        <v>#REF!</v>
      </c>
      <c r="Z83" s="26" t="str">
        <f>IFERROR(Шаблон_Формулы[[#This Row],[23]]*Шаблон_Формулы[[#This Row],[25]],"")</f>
        <v/>
      </c>
      <c r="AA83" s="13" t="e" cm="1">
        <f t="array" ref="AA83">#REF!</f>
        <v>#REF!</v>
      </c>
    </row>
    <row r="84" spans="1:27" s="8" customFormat="1" ht="12">
      <c r="A84" s="11">
        <v>80</v>
      </c>
      <c r="B84" s="8" t="str" cm="1">
        <f t="array" ref="B84">_xlfn.XLOOKUP($A84,ACT[[№]:[№]],ACT[Container No/
№ Контейнера],"",0,1)</f>
        <v>YMLU8408292</v>
      </c>
      <c r="C84" s="8" t="str">
        <f t="shared" si="1"/>
        <v>UzAutoKorea</v>
      </c>
      <c r="D84" s="11" t="str" cm="1">
        <f t="array" ref="D84">_xlfn.XLOOKUP($A84,ACT[[№]:[№]],ACT[Container Type/ 
Тип контейнера],"",0,1)</f>
        <v>40'HC</v>
      </c>
      <c r="E84" s="21" cm="1">
        <f t="array" ref="E84">_xlfn.XLOOKUP($A84,ACT[[№]:[№]],ACT[Date of Dispatch/ 
Дата отгрузки],"",0,1)</f>
        <v>44965</v>
      </c>
      <c r="F84" s="22" t="str" cm="1">
        <f t="array" ref="F84">_xlfn.XLOOKUP($A84,ACT[[№]:[№]],ACT[Supplier/ Поставщик],"",0,1)</f>
        <v>ERAE AMS</v>
      </c>
      <c r="G84" s="22" t="str" cm="1">
        <f t="array" ref="G84">_xlfn.XLOOKUP($A84,ACT[[№]:[№]],ACT[Supplier Invoice No/                          № Инвойса Поставщика],"",0,1)</f>
        <v>DS231CH01-1(5)</v>
      </c>
      <c r="H84" s="23" cm="1">
        <f t="array" ref="H84">_xlfn.XLOOKUP($A84,ACT[[№]:[№]],ACT[CBM],"",0,1)</f>
        <v>5.3360000000000003</v>
      </c>
      <c r="I84" s="23" cm="1">
        <f t="array" ref="I84">_xlfn.XLOOKUP($A84,ACT[[№]:[№]],ACT[Gross weight, kg/ Вес брутто, кг],"",0,1)</f>
        <v>2200</v>
      </c>
      <c r="J84" s="23" t="str" cm="1">
        <f t="array" ref="J84">_xlfn.XLOOKUP($A84,ACT[[№]:[№]],ACT[Delivery terms / Условия поставки],"",0,1)</f>
        <v>FCA</v>
      </c>
      <c r="K84" s="23" cm="1">
        <f t="array" ref="K84">_xlfn.XLOOKUP($A84,ACT[[№]:[№]],ACT[Container total CBM],"",0,1)</f>
        <v>58.436999999999991</v>
      </c>
      <c r="L84" s="24" cm="1">
        <f t="array" ref="L84">_xlfn.XLOOKUP($A84,ACT[[№]:[№]],ACT[FTL inland freight cost per Invoice Appendix/ Стоимость внутренней наземной перевозки за инвойс Приложение                     KRW],"",0,1)</f>
        <v>291100</v>
      </c>
      <c r="M84" s="24" cm="1">
        <f t="array" ref="M84">_xlfn.XLOOKUP($A84,ACT[[№]:[№]],ACT[Consolidation Work, Loading, Unloading/ Работы по консолидации, Погрузка, Разгрузка (Rate/Тариф - 8000 per CBM)                   KRW],"",0,1)</f>
        <v>45302.64</v>
      </c>
      <c r="N84" s="24" cm="1">
        <f t="array" ref="N84">_xlfn.XLOOKUP($A84,ACT[[№]:[№]],ACT[Shoring, Banding, Sealing, Handling/ Крепление, Перевязка, Опечатование, Обработка
KRW],"",0,1)</f>
        <v>17696.267775553162</v>
      </c>
      <c r="O84" s="24" cm="1">
        <f t="array" ref="O84">_xlfn.XLOOKUP($A84,ACT[[№]:[№]],ACT[Documents Work/ Сбор за подготовку документов
KRW],"",0,1)</f>
        <v>4565.6005612882254</v>
      </c>
      <c r="P84" s="24" cm="1">
        <f t="array" ref="P84">_xlfn.XLOOKUP($A84,ACT[[№]:[№]],ACT[THC/ Терминальная обработка
KRW],"",0,1)</f>
        <v>16929.246881256742</v>
      </c>
      <c r="Q84" s="24" cm="1">
        <f t="array" ref="Q84">_xlfn.XLOOKUP($A84,ACT[[№]:[№]],ACT[Wharfage/ Портовая пошлина
KRW],"",0,1)</f>
        <v>830.9393021544571</v>
      </c>
      <c r="R84" s="24" cm="1">
        <f t="array" ref="R84">_xlfn.XLOOKUP($A84,ACT[[№]:[№]],ACT[TRUCKING CHARGE],"",0,1)</f>
        <v>0</v>
      </c>
      <c r="S84" s="24" cm="1">
        <f t="array" ref="S84">_xlfn.XLOOKUP($A84,ACT[[№]:[№]],ACT[FCL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25613.019148826948</v>
      </c>
      <c r="T84" s="24" cm="1">
        <f t="array" ref="T84">_xlfn.XLOOKUP($A84,ACT[[№]:[№]],ACT[Special Wooden Shoring / Специальное деревянное крепление],"",0,1)</f>
        <v>0</v>
      </c>
      <c r="U84" s="9"/>
      <c r="V84" s="24" cm="1">
        <f t="array" ref="V84">_xlfn.XLOOKUP($A84,ACT[[№]:[№]],ACT[Total amount/ Общая стоимость KRW (10+11+12+13+14+15+16)],"",0,1)</f>
        <v>402037.71366907959</v>
      </c>
      <c r="W84" s="24" cm="1">
        <f t="array" ref="W84">_xlfn.XLOOKUP($A84,ACT[[№]:[№]],ACT[Total amount/ Общая стоимость (17*exchange rate/ обменный курс)
 USD],"",0,1)</f>
        <v>316.38</v>
      </c>
      <c r="X84" s="9" t="e" cm="1">
        <f t="array" ref="X84">IF(#REF!="",_xlfn.XLOOKUP("МАКС",#REF!,#REF!,,0,1),#REF!)</f>
        <v>#REF!</v>
      </c>
      <c r="Y84" s="12" t="e">
        <f>VLOOKUP(Шаблон_Формулы[[#This Row],[24]],#REF!,2,0)</f>
        <v>#REF!</v>
      </c>
      <c r="Z84" s="26" t="str">
        <f>IFERROR(Шаблон_Формулы[[#This Row],[23]]*Шаблон_Формулы[[#This Row],[25]],"")</f>
        <v/>
      </c>
      <c r="AA84" s="13" t="e" cm="1">
        <f t="array" ref="AA84">#REF!</f>
        <v>#REF!</v>
      </c>
    </row>
    <row r="85" spans="1:27" s="8" customFormat="1" ht="12">
      <c r="A85" s="11">
        <v>81</v>
      </c>
      <c r="B85" s="8" t="str" cm="1">
        <f t="array" ref="B85">_xlfn.XLOOKUP($A85,ACT[[№]:[№]],ACT[Container No/
№ Контейнера],"",0,1)</f>
        <v>YMLU8408292</v>
      </c>
      <c r="C85" s="8" t="str">
        <f t="shared" si="1"/>
        <v>UzAutoKorea</v>
      </c>
      <c r="D85" s="11" t="str" cm="1">
        <f t="array" ref="D85">_xlfn.XLOOKUP($A85,ACT[[№]:[№]],ACT[Container Type/ 
Тип контейнера],"",0,1)</f>
        <v>40'HC</v>
      </c>
      <c r="E85" s="21" cm="1">
        <f t="array" ref="E85">_xlfn.XLOOKUP($A85,ACT[[№]:[№]],ACT[Date of Dispatch/ 
Дата отгрузки],"",0,1)</f>
        <v>44965</v>
      </c>
      <c r="F85" s="22" t="str" cm="1">
        <f t="array" ref="F85">_xlfn.XLOOKUP($A85,ACT[[№]:[№]],ACT[Supplier/ Поставщик],"",0,1)</f>
        <v>ERAE AMS</v>
      </c>
      <c r="G85" s="22" t="str" cm="1">
        <f t="array" ref="G85">_xlfn.XLOOKUP($A85,ACT[[№]:[№]],ACT[Supplier Invoice No/                          № Инвойса Поставщика],"",0,1)</f>
        <v>DS231CH01-1(6)</v>
      </c>
      <c r="H85" s="23" cm="1">
        <f t="array" ref="H85">_xlfn.XLOOKUP($A85,ACT[[№]:[№]],ACT[CBM],"",0,1)</f>
        <v>7.9370000000000003</v>
      </c>
      <c r="I85" s="23" cm="1">
        <f t="array" ref="I85">_xlfn.XLOOKUP($A85,ACT[[№]:[№]],ACT[Gross weight, kg/ Вес брутто, кг],"",0,1)</f>
        <v>2840</v>
      </c>
      <c r="J85" s="23" t="str" cm="1">
        <f t="array" ref="J85">_xlfn.XLOOKUP($A85,ACT[[№]:[№]],ACT[Delivery terms / Условия поставки],"",0,1)</f>
        <v>FCA</v>
      </c>
      <c r="K85" s="23" cm="1">
        <f t="array" ref="K85">_xlfn.XLOOKUP($A85,ACT[[№]:[№]],ACT[Container total CBM],"",0,1)</f>
        <v>58.436999999999991</v>
      </c>
      <c r="L85" s="24" cm="1">
        <f t="array" ref="L85">_xlfn.XLOOKUP($A85,ACT[[№]:[№]],ACT[FTL inland freight cost per Invoice Appendix/ Стоимость внутренней наземной перевозки за инвойс Приложение                     KRW],"",0,1)</f>
        <v>332000</v>
      </c>
      <c r="M85" s="24" cm="1">
        <f t="array" ref="M85">_xlfn.XLOOKUP($A85,ACT[[№]:[№]],ACT[Consolidation Work, Loading, Unloading/ Работы по консолидации, Погрузка, Разгрузка (Rate/Тариф - 8000 per CBM)                   KRW],"",0,1)</f>
        <v>67385.13</v>
      </c>
      <c r="N85" s="24" cm="1">
        <f t="array" ref="N85">_xlfn.XLOOKUP($A85,ACT[[№]:[№]],ACT[Shoring, Banding, Sealing, Handling/ Крепление, Перевязка, Опечатование, Обработка
KRW],"",0,1)</f>
        <v>26322.203398531761</v>
      </c>
      <c r="O85" s="24" cm="1">
        <f t="array" ref="O85">_xlfn.XLOOKUP($A85,ACT[[№]:[№]],ACT[Documents Work/ Сбор за подготовку документов
KRW],"",0,1)</f>
        <v>6791.0741482280073</v>
      </c>
      <c r="P85" s="24" cm="1">
        <f t="array" ref="P85">_xlfn.XLOOKUP($A85,ACT[[№]:[№]],ACT[THC/ Терминальная обработка
KRW],"",0,1)</f>
        <v>25181.302941629452</v>
      </c>
      <c r="Q85" s="24" cm="1">
        <f t="array" ref="Q85">_xlfn.XLOOKUP($A85,ACT[[№]:[№]],ACT[Wharfage/ Портовая пошлина
KRW],"",0,1)</f>
        <v>1235.9754949774974</v>
      </c>
      <c r="R85" s="24" cm="1">
        <f t="array" ref="R85">_xlfn.XLOOKUP($A85,ACT[[№]:[№]],ACT[TRUCKING CHARGE],"",0,1)</f>
        <v>0</v>
      </c>
      <c r="S85" s="24" cm="1">
        <f t="array" ref="S85">_xlfn.XLOOKUP($A85,ACT[[№]:[№]],ACT[FCL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38097.925971559118</v>
      </c>
      <c r="T85" s="24" cm="1">
        <f t="array" ref="T85">_xlfn.XLOOKUP($A85,ACT[[№]:[№]],ACT[Special Wooden Shoring / Специальное деревянное крепление],"",0,1)</f>
        <v>0</v>
      </c>
      <c r="U85" s="9"/>
      <c r="V85" s="24" cm="1">
        <f t="array" ref="V85">_xlfn.XLOOKUP($A85,ACT[[№]:[№]],ACT[Total amount/ Общая стоимость KRW (10+11+12+13+14+15+16)],"",0,1)</f>
        <v>497013.61195492581</v>
      </c>
      <c r="W85" s="24" cm="1">
        <f t="array" ref="W85">_xlfn.XLOOKUP($A85,ACT[[№]:[№]],ACT[Total amount/ Общая стоимость (17*exchange rate/ обменный курс)
 USD],"",0,1)</f>
        <v>391.12</v>
      </c>
      <c r="X85" s="9" t="e" cm="1">
        <f t="array" ref="X85">IF(#REF!="",_xlfn.XLOOKUP("МАКС",#REF!,#REF!,,0,1),#REF!)</f>
        <v>#REF!</v>
      </c>
      <c r="Y85" s="12" t="e">
        <f>VLOOKUP(Шаблон_Формулы[[#This Row],[24]],#REF!,2,0)</f>
        <v>#REF!</v>
      </c>
      <c r="Z85" s="26" t="str">
        <f>IFERROR(Шаблон_Формулы[[#This Row],[23]]*Шаблон_Формулы[[#This Row],[25]],"")</f>
        <v/>
      </c>
      <c r="AA85" s="13" t="e" cm="1">
        <f t="array" ref="AA85">#REF!</f>
        <v>#REF!</v>
      </c>
    </row>
    <row r="86" spans="1:27" s="8" customFormat="1" ht="12">
      <c r="A86" s="11">
        <v>82</v>
      </c>
      <c r="B86" s="8" t="str" cm="1">
        <f t="array" ref="B86">_xlfn.XLOOKUP($A86,ACT[[№]:[№]],ACT[Container No/
№ Контейнера],"",0,1)</f>
        <v>YMLU8408292</v>
      </c>
      <c r="C86" s="8" t="str">
        <f t="shared" si="1"/>
        <v>UzAutoKorea</v>
      </c>
      <c r="D86" s="11" t="str" cm="1">
        <f t="array" ref="D86">_xlfn.XLOOKUP($A86,ACT[[№]:[№]],ACT[Container Type/ 
Тип контейнера],"",0,1)</f>
        <v>40'HC</v>
      </c>
      <c r="E86" s="21" cm="1">
        <f t="array" ref="E86">_xlfn.XLOOKUP($A86,ACT[[№]:[№]],ACT[Date of Dispatch/ 
Дата отгрузки],"",0,1)</f>
        <v>44965</v>
      </c>
      <c r="F86" s="22" t="str" cm="1">
        <f t="array" ref="F86">_xlfn.XLOOKUP($A86,ACT[[№]:[№]],ACT[Supplier/ Поставщик],"",0,1)</f>
        <v>ERAE AMS</v>
      </c>
      <c r="G86" s="22" t="str" cm="1">
        <f t="array" ref="G86">_xlfn.XLOOKUP($A86,ACT[[№]:[№]],ACT[Supplier Invoice No/                          № Инвойса Поставщика],"",0,1)</f>
        <v>DS231AS01</v>
      </c>
      <c r="H86" s="23" cm="1">
        <f t="array" ref="H86">_xlfn.XLOOKUP($A86,ACT[[№]:[№]],ACT[CBM],"",0,1)</f>
        <v>0.37</v>
      </c>
      <c r="I86" s="23" cm="1">
        <f t="array" ref="I86">_xlfn.XLOOKUP($A86,ACT[[№]:[№]],ACT[Gross weight, kg/ Вес брутто, кг],"",0,1)</f>
        <v>15</v>
      </c>
      <c r="J86" s="23" t="str" cm="1">
        <f t="array" ref="J86">_xlfn.XLOOKUP($A86,ACT[[№]:[№]],ACT[Delivery terms / Условия поставки],"",0,1)</f>
        <v>FCA</v>
      </c>
      <c r="K86" s="23" cm="1">
        <f t="array" ref="K86">_xlfn.XLOOKUP($A86,ACT[[№]:[№]],ACT[Container total CBM],"",0,1)</f>
        <v>58.436999999999991</v>
      </c>
      <c r="L86" s="24" cm="1">
        <f t="array" ref="L86">_xlfn.XLOOKUP($A86,ACT[[№]:[№]],ACT[FTL inland freight cost per Invoice Appendix/ Стоимость внутренней наземной перевозки за инвойс Приложение                     KRW],"",0,1)</f>
        <v>232000</v>
      </c>
      <c r="M86" s="24" cm="1">
        <f t="array" ref="M86">_xlfn.XLOOKUP($A86,ACT[[№]:[№]],ACT[Consolidation Work, Loading, Unloading/ Работы по консолидации, Погрузка, Разгрузка (Rate/Тариф - 8000 per CBM)                   KRW],"",0,1)</f>
        <v>3141.3</v>
      </c>
      <c r="N86" s="24" cm="1">
        <f t="array" ref="N86">_xlfn.XLOOKUP($A86,ACT[[№]:[№]],ACT[Shoring, Banding, Sealing, Handling/ Крепление, Перевязка, Опечатование, Обработка
KRW],"",0,1)</f>
        <v>1227.0650444067971</v>
      </c>
      <c r="O86" s="24" cm="1">
        <f t="array" ref="O86">_xlfn.XLOOKUP($A86,ACT[[№]:[№]],ACT[Documents Work/ Сбор за подготовку документов
KRW],"",0,1)</f>
        <v>316.58024881496317</v>
      </c>
      <c r="P86" s="24" cm="1">
        <f t="array" ref="P86">_xlfn.XLOOKUP($A86,ACT[[№]:[№]],ACT[THC/ Терминальная обработка
KRW],"",0,1)</f>
        <v>1173.8795626058834</v>
      </c>
      <c r="Q86" s="24" cm="1">
        <f t="array" ref="Q86">_xlfn.XLOOKUP($A86,ACT[[№]:[№]],ACT[Wharfage/ Портовая пошлина
KRW],"",0,1)</f>
        <v>57.617605284323297</v>
      </c>
      <c r="R86" s="24" cm="1">
        <f t="array" ref="R86">_xlfn.XLOOKUP($A86,ACT[[№]:[№]],ACT[TRUCKING CHARGE],"",0,1)</f>
        <v>0</v>
      </c>
      <c r="S86" s="24" cm="1">
        <f t="array" ref="S86">_xlfn.XLOOKUP($A86,ACT[[№]:[№]],ACT[FCL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1776.0151958519432</v>
      </c>
      <c r="T86" s="24" cm="1">
        <f t="array" ref="T86">_xlfn.XLOOKUP($A86,ACT[[№]:[№]],ACT[Special Wooden Shoring / Специальное деревянное крепление],"",0,1)</f>
        <v>0</v>
      </c>
      <c r="U86" s="9"/>
      <c r="V86" s="24" cm="1">
        <f t="array" ref="V86">_xlfn.XLOOKUP($A86,ACT[[№]:[№]],ACT[Total amount/ Общая стоимость KRW (10+11+12+13+14+15+16)],"",0,1)</f>
        <v>239692.45765696387</v>
      </c>
      <c r="W86" s="24" cm="1">
        <f t="array" ref="W86">_xlfn.XLOOKUP($A86,ACT[[№]:[№]],ACT[Total amount/ Общая стоимость (17*exchange rate/ обменный курс)
 USD],"",0,1)</f>
        <v>188.62</v>
      </c>
      <c r="X86" s="9" t="e" cm="1">
        <f t="array" ref="X86">IF(#REF!="",_xlfn.XLOOKUP("МАКС",#REF!,#REF!,,0,1),#REF!)</f>
        <v>#REF!</v>
      </c>
      <c r="Y86" s="12" t="e">
        <f>VLOOKUP(Шаблон_Формулы[[#This Row],[24]],#REF!,2,0)</f>
        <v>#REF!</v>
      </c>
      <c r="Z86" s="26" t="str">
        <f>IFERROR(Шаблон_Формулы[[#This Row],[23]]*Шаблон_Формулы[[#This Row],[25]],"")</f>
        <v/>
      </c>
      <c r="AA86" s="13" t="e" cm="1">
        <f t="array" ref="AA86">#REF!</f>
        <v>#REF!</v>
      </c>
    </row>
    <row r="87" spans="1:27" s="8" customFormat="1" ht="12">
      <c r="A87" s="11">
        <v>83</v>
      </c>
      <c r="B87" s="8" t="str" cm="1">
        <f t="array" ref="B87">_xlfn.XLOOKUP($A87,ACT[[№]:[№]],ACT[Container No/
№ Контейнера],"",0,1)</f>
        <v>TCLU5624158</v>
      </c>
      <c r="C87" s="8" t="str">
        <f t="shared" si="1"/>
        <v>UzAutoKorea</v>
      </c>
      <c r="D87" s="11" t="str" cm="1">
        <f t="array" ref="D87">_xlfn.XLOOKUP($A87,ACT[[№]:[№]],ACT[Container Type/ 
Тип контейнера],"",0,1)</f>
        <v>40'HC</v>
      </c>
      <c r="E87" s="21" cm="1">
        <f t="array" ref="E87">_xlfn.XLOOKUP($A87,ACT[[№]:[№]],ACT[Date of Dispatch/ 
Дата отгрузки],"",0,1)</f>
        <v>44965</v>
      </c>
      <c r="F87" s="22" t="str" cm="1">
        <f t="array" ref="F87">_xlfn.XLOOKUP($A87,ACT[[№]:[№]],ACT[Supplier/ Поставщик],"",0,1)</f>
        <v>ERAE AMS</v>
      </c>
      <c r="G87" s="22" t="str" cm="1">
        <f t="array" ref="G87">_xlfn.XLOOKUP($A87,ACT[[№]:[№]],ACT[Supplier Invoice No/                          № Инвойса Поставщика],"",0,1)</f>
        <v>DM231CH03</v>
      </c>
      <c r="H87" s="23" cm="1">
        <f t="array" ref="H87">_xlfn.XLOOKUP($A87,ACT[[№]:[№]],ACT[CBM],"",0,1)</f>
        <v>15.414999999999999</v>
      </c>
      <c r="I87" s="23" cm="1">
        <f t="array" ref="I87">_xlfn.XLOOKUP($A87,ACT[[№]:[№]],ACT[Gross weight, kg/ Вес брутто, кг],"",0,1)</f>
        <v>5005</v>
      </c>
      <c r="J87" s="23" t="str" cm="1">
        <f t="array" ref="J87">_xlfn.XLOOKUP($A87,ACT[[№]:[№]],ACT[Delivery terms / Условия поставки],"",0,1)</f>
        <v>FCA</v>
      </c>
      <c r="K87" s="23" cm="1">
        <f t="array" ref="K87">_xlfn.XLOOKUP($A87,ACT[[№]:[№]],ACT[Container total CBM],"",0,1)</f>
        <v>45.497</v>
      </c>
      <c r="L87" s="24" cm="1">
        <f t="array" ref="L87">_xlfn.XLOOKUP($A87,ACT[[№]:[№]],ACT[FTL inland freight cost per Invoice Appendix/ Стоимость внутренней наземной перевозки за инвойс Приложение                     KRW],"",0,1)</f>
        <v>332000</v>
      </c>
      <c r="M87" s="24" cm="1">
        <f t="array" ref="M87">_xlfn.XLOOKUP($A87,ACT[[№]:[№]],ACT[Consolidation Work, Loading, Unloading/ Работы по консолидации, Погрузка, Разгрузка (Rate/Тариф - 8000 per CBM)                   KRW],"",0,1)</f>
        <v>130873.35</v>
      </c>
      <c r="N87" s="24" cm="1">
        <f t="array" ref="N87">_xlfn.XLOOKUP($A87,ACT[[№]:[№]],ACT[Shoring, Banding, Sealing, Handling/ Крепление, Перевязка, Опечатование, Обработка
KRW],"",0,1)</f>
        <v>65662.065630700919</v>
      </c>
      <c r="O87" s="24" cm="1">
        <f t="array" ref="O87">_xlfn.XLOOKUP($A87,ACT[[№]:[№]],ACT[Documents Work/ Сбор за подготовку документов
KRW],"",0,1)</f>
        <v>16940.67740730158</v>
      </c>
      <c r="P87" s="24" cm="1">
        <f t="array" ref="P87">_xlfn.XLOOKUP($A87,ACT[[№]:[№]],ACT[THC/ Терминальная обработка
KRW],"",0,1)</f>
        <v>62816.031826274258</v>
      </c>
      <c r="Q87" s="24" cm="1">
        <f t="array" ref="Q87">_xlfn.XLOOKUP($A87,ACT[[№]:[№]],ACT[Wharfage/ Портовая пошлина
KRW],"",0,1)</f>
        <v>3083.2032881288874</v>
      </c>
      <c r="R87" s="24" cm="1">
        <f t="array" ref="R87">_xlfn.XLOOKUP($A87,ACT[[№]:[№]],ACT[TRUCKING CHARGE],"",0,1)</f>
        <v>0</v>
      </c>
      <c r="S87" s="24" cm="1">
        <f t="array" ref="S87">_xlfn.XLOOKUP($A87,ACT[[№]:[№]],ACT[FCL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95037.200254961863</v>
      </c>
      <c r="T87" s="24" cm="1">
        <f t="array" ref="T87">_xlfn.XLOOKUP($A87,ACT[[№]:[№]],ACT[Special Wooden Shoring / Специальное деревянное крепление],"",0,1)</f>
        <v>0</v>
      </c>
      <c r="U87" s="9"/>
      <c r="V87" s="24" cm="1">
        <f t="array" ref="V87">_xlfn.XLOOKUP($A87,ACT[[№]:[№]],ACT[Total amount/ Общая стоимость KRW (10+11+12+13+14+15+16)],"",0,1)</f>
        <v>706412.52840736741</v>
      </c>
      <c r="W87" s="24" cm="1">
        <f t="array" ref="W87">_xlfn.XLOOKUP($A87,ACT[[№]:[№]],ACT[Total amount/ Общая стоимость (17*exchange rate/ обменный курс)
 USD],"",0,1)</f>
        <v>555.91</v>
      </c>
      <c r="X87" s="9" t="e" cm="1">
        <f t="array" ref="X87">IF(#REF!="",_xlfn.XLOOKUP("МАКС",#REF!,#REF!,,0,1),#REF!)</f>
        <v>#REF!</v>
      </c>
      <c r="Y87" s="12" t="e">
        <f>VLOOKUP(Шаблон_Формулы[[#This Row],[24]],#REF!,2,0)</f>
        <v>#REF!</v>
      </c>
      <c r="Z87" s="26" t="str">
        <f>IFERROR(Шаблон_Формулы[[#This Row],[23]]*Шаблон_Формулы[[#This Row],[25]],"")</f>
        <v/>
      </c>
      <c r="AA87" s="13" t="e" cm="1">
        <f t="array" ref="AA87">#REF!</f>
        <v>#REF!</v>
      </c>
    </row>
    <row r="88" spans="1:27" s="8" customFormat="1" ht="12">
      <c r="A88" s="11">
        <v>84</v>
      </c>
      <c r="B88" s="8" t="str" cm="1">
        <f t="array" ref="B88">_xlfn.XLOOKUP($A88,ACT[[№]:[№]],ACT[Container No/
№ Контейнера],"",0,1)</f>
        <v>TCLU5624158</v>
      </c>
      <c r="C88" s="8" t="str">
        <f t="shared" si="1"/>
        <v>UzAutoKorea</v>
      </c>
      <c r="D88" s="11" t="str" cm="1">
        <f t="array" ref="D88">_xlfn.XLOOKUP($A88,ACT[[№]:[№]],ACT[Container Type/ 
Тип контейнера],"",0,1)</f>
        <v>40'HC</v>
      </c>
      <c r="E88" s="21" cm="1">
        <f t="array" ref="E88">_xlfn.XLOOKUP($A88,ACT[[№]:[№]],ACT[Date of Dispatch/ 
Дата отгрузки],"",0,1)</f>
        <v>44965</v>
      </c>
      <c r="F88" s="22" t="str" cm="1">
        <f t="array" ref="F88">_xlfn.XLOOKUP($A88,ACT[[№]:[№]],ACT[Supplier/ Поставщик],"",0,1)</f>
        <v>ERAE AMS</v>
      </c>
      <c r="G88" s="22" t="str" cm="1">
        <f t="array" ref="G88">_xlfn.XLOOKUP($A88,ACT[[№]:[№]],ACT[Supplier Invoice No/                          № Инвойса Поставщика],"",0,1)</f>
        <v>DA231CH02</v>
      </c>
      <c r="H88" s="23" cm="1">
        <f t="array" ref="H88">_xlfn.XLOOKUP($A88,ACT[[№]:[№]],ACT[CBM],"",0,1)</f>
        <v>6.3440000000000003</v>
      </c>
      <c r="I88" s="23" cm="1">
        <f t="array" ref="I88">_xlfn.XLOOKUP($A88,ACT[[№]:[№]],ACT[Gross weight, kg/ Вес брутто, кг],"",0,1)</f>
        <v>1135.33</v>
      </c>
      <c r="J88" s="23" t="str" cm="1">
        <f t="array" ref="J88">_xlfn.XLOOKUP($A88,ACT[[№]:[№]],ACT[Delivery terms / Условия поставки],"",0,1)</f>
        <v>FCA</v>
      </c>
      <c r="K88" s="23" cm="1">
        <f t="array" ref="K88">_xlfn.XLOOKUP($A88,ACT[[№]:[№]],ACT[Container total CBM],"",0,1)</f>
        <v>45.497</v>
      </c>
      <c r="L88" s="24" cm="1">
        <f t="array" ref="L88">_xlfn.XLOOKUP($A88,ACT[[№]:[№]],ACT[FTL inland freight cost per Invoice Appendix/ Стоимость внутренней наземной перевозки за инвойс Приложение                     KRW],"",0,1)</f>
        <v>291100</v>
      </c>
      <c r="M88" s="24" cm="1">
        <f t="array" ref="M88">_xlfn.XLOOKUP($A88,ACT[[№]:[№]],ACT[Consolidation Work, Loading, Unloading/ Работы по консолидации, Погрузка, Разгрузка (Rate/Тариф - 8000 per CBM)                   KRW],"",0,1)</f>
        <v>53860.560000000005</v>
      </c>
      <c r="N88" s="24" cm="1">
        <f t="array" ref="N88">_xlfn.XLOOKUP($A88,ACT[[№]:[№]],ACT[Shoring, Banding, Sealing, Handling/ Крепление, Перевязка, Опечатование, Обработка
KRW],"",0,1)</f>
        <v>27023.038881684508</v>
      </c>
      <c r="O88" s="24" cm="1">
        <f t="array" ref="O88">_xlfn.XLOOKUP($A88,ACT[[№]:[№]],ACT[Documents Work/ Сбор за подготовку документов
KRW],"",0,1)</f>
        <v>6971.8882563685529</v>
      </c>
      <c r="P88" s="24" cm="1">
        <f t="array" ref="P88">_xlfn.XLOOKUP($A88,ACT[[№]:[№]],ACT[THC/ Терминальная обработка
KRW],"",0,1)</f>
        <v>25851.761654614591</v>
      </c>
      <c r="Q88" s="24" cm="1">
        <f t="array" ref="Q88">_xlfn.XLOOKUP($A88,ACT[[№]:[№]],ACT[Wharfage/ Портовая пошлина
KRW],"",0,1)</f>
        <v>1268.8836626590769</v>
      </c>
      <c r="R88" s="24" cm="1">
        <f t="array" ref="R88">_xlfn.XLOOKUP($A88,ACT[[№]:[№]],ACT[TRUCKING CHARGE],"",0,1)</f>
        <v>0</v>
      </c>
      <c r="S88" s="24" cm="1">
        <f t="array" ref="S88">_xlfn.XLOOKUP($A88,ACT[[№]:[№]],ACT[FCL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39112.293118227579</v>
      </c>
      <c r="T88" s="24" cm="1">
        <f t="array" ref="T88">_xlfn.XLOOKUP($A88,ACT[[№]:[№]],ACT[Special Wooden Shoring / Специальное деревянное крепление],"",0,1)</f>
        <v>0</v>
      </c>
      <c r="U88" s="9"/>
      <c r="V88" s="24" cm="1">
        <f t="array" ref="V88">_xlfn.XLOOKUP($A88,ACT[[№]:[№]],ACT[Total amount/ Общая стоимость KRW (10+11+12+13+14+15+16)],"",0,1)</f>
        <v>445188.4255735543</v>
      </c>
      <c r="W88" s="24" cm="1">
        <f t="array" ref="W88">_xlfn.XLOOKUP($A88,ACT[[№]:[№]],ACT[Total amount/ Общая стоимость (17*exchange rate/ обменный курс)
 USD],"",0,1)</f>
        <v>350.34</v>
      </c>
      <c r="X88" s="9" t="e" cm="1">
        <f t="array" ref="X88">IF(#REF!="",_xlfn.XLOOKUP("МАКС",#REF!,#REF!,,0,1),#REF!)</f>
        <v>#REF!</v>
      </c>
      <c r="Y88" s="12" t="e">
        <f>VLOOKUP(Шаблон_Формулы[[#This Row],[24]],#REF!,2,0)</f>
        <v>#REF!</v>
      </c>
      <c r="Z88" s="26" t="str">
        <f>IFERROR(Шаблон_Формулы[[#This Row],[23]]*Шаблон_Формулы[[#This Row],[25]],"")</f>
        <v/>
      </c>
      <c r="AA88" s="13" t="e" cm="1">
        <f t="array" ref="AA88">#REF!</f>
        <v>#REF!</v>
      </c>
    </row>
    <row r="89" spans="1:27" s="8" customFormat="1" ht="12">
      <c r="A89" s="11">
        <v>85</v>
      </c>
      <c r="B89" s="8" t="str" cm="1">
        <f t="array" ref="B89">_xlfn.XLOOKUP($A89,ACT[[№]:[№]],ACT[Container No/
№ Контейнера],"",0,1)</f>
        <v>TCLU5624158</v>
      </c>
      <c r="C89" s="8" t="str">
        <f t="shared" si="1"/>
        <v>UzAutoKorea</v>
      </c>
      <c r="D89" s="11" t="str" cm="1">
        <f t="array" ref="D89">_xlfn.XLOOKUP($A89,ACT[[№]:[№]],ACT[Container Type/ 
Тип контейнера],"",0,1)</f>
        <v>40'HC</v>
      </c>
      <c r="E89" s="21" cm="1">
        <f t="array" ref="E89">_xlfn.XLOOKUP($A89,ACT[[№]:[№]],ACT[Date of Dispatch/ 
Дата отгрузки],"",0,1)</f>
        <v>44965</v>
      </c>
      <c r="F89" s="22" t="str" cm="1">
        <f t="array" ref="F89">_xlfn.XLOOKUP($A89,ACT[[№]:[№]],ACT[Supplier/ Поставщик],"",0,1)</f>
        <v>ERAE AMS</v>
      </c>
      <c r="G89" s="22" t="str" cm="1">
        <f t="array" ref="G89">_xlfn.XLOOKUP($A89,ACT[[№]:[№]],ACT[Supplier Invoice No/                          № Инвойса Поставщика],"",0,1)</f>
        <v>DM231CH05(1)</v>
      </c>
      <c r="H89" s="23" cm="1">
        <f t="array" ref="H89">_xlfn.XLOOKUP($A89,ACT[[№]:[№]],ACT[CBM],"",0,1)</f>
        <v>14.026999999999999</v>
      </c>
      <c r="I89" s="23" cm="1">
        <f t="array" ref="I89">_xlfn.XLOOKUP($A89,ACT[[№]:[№]],ACT[Gross weight, kg/ Вес брутто, кг],"",0,1)</f>
        <v>11198.2</v>
      </c>
      <c r="J89" s="23" t="str" cm="1">
        <f t="array" ref="J89">_xlfn.XLOOKUP($A89,ACT[[№]:[№]],ACT[Delivery terms / Условия поставки],"",0,1)</f>
        <v>FCA</v>
      </c>
      <c r="K89" s="23" cm="1">
        <f t="array" ref="K89">_xlfn.XLOOKUP($A89,ACT[[№]:[№]],ACT[Container total CBM],"",0,1)</f>
        <v>45.497</v>
      </c>
      <c r="L89" s="24" cm="1">
        <f t="array" ref="L89">_xlfn.XLOOKUP($A89,ACT[[№]:[№]],ACT[FTL inland freight cost per Invoice Appendix/ Стоимость внутренней наземной перевозки за инвойс Приложение                     KRW],"",0,1)</f>
        <v>624000</v>
      </c>
      <c r="M89" s="24" cm="1">
        <f t="array" ref="M89">_xlfn.XLOOKUP($A89,ACT[[№]:[№]],ACT[Consolidation Work, Loading, Unloading/ Работы по консолидации, Погрузка, Разгрузка (Rate/Тариф - 8000 per CBM)                   KRW],"",0,1)</f>
        <v>119089.23</v>
      </c>
      <c r="N89" s="24" cm="1">
        <f t="array" ref="N89">_xlfn.XLOOKUP($A89,ACT[[№]:[№]],ACT[Shoring, Banding, Sealing, Handling/ Крепление, Перевязка, Опечатование, Обработка
KRW],"",0,1)</f>
        <v>59749.710969954067</v>
      </c>
      <c r="O89" s="24" cm="1">
        <f t="array" ref="O89">_xlfn.XLOOKUP($A89,ACT[[№]:[№]],ACT[Documents Work/ Сбор за подготовку документов
KRW],"",0,1)</f>
        <v>15415.302107831283</v>
      </c>
      <c r="P89" s="24" cm="1">
        <f t="array" ref="P89">_xlfn.XLOOKUP($A89,ACT[[№]:[№]],ACT[THC/ Терминальная обработка
KRW],"",0,1)</f>
        <v>57159.940215838411</v>
      </c>
      <c r="Q89" s="24" cm="1">
        <f t="array" ref="Q89">_xlfn.XLOOKUP($A89,ACT[[№]:[№]],ACT[Wharfage/ Портовая пошлина
KRW],"",0,1)</f>
        <v>2805.5849836252946</v>
      </c>
      <c r="R89" s="24" cm="1">
        <f t="array" ref="R89">_xlfn.XLOOKUP($A89,ACT[[№]:[№]],ACT[TRUCKING CHARGE],"",0,1)</f>
        <v>0</v>
      </c>
      <c r="S89" s="24" cm="1">
        <f t="array" ref="S89">_xlfn.XLOOKUP($A89,ACT[[№]:[№]],ACT[FCL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86479.84482493352</v>
      </c>
      <c r="T89" s="24" cm="1">
        <f t="array" ref="T89">_xlfn.XLOOKUP($A89,ACT[[№]:[№]],ACT[Special Wooden Shoring / Специальное деревянное крепление],"",0,1)</f>
        <v>0</v>
      </c>
      <c r="U89" s="9"/>
      <c r="V89" s="24" cm="1">
        <f t="array" ref="V89">_xlfn.XLOOKUP($A89,ACT[[№]:[№]],ACT[Total amount/ Общая стоимость KRW (10+11+12+13+14+15+16)],"",0,1)</f>
        <v>964699.61310218251</v>
      </c>
      <c r="W89" s="24" cm="1">
        <f t="array" ref="W89">_xlfn.XLOOKUP($A89,ACT[[№]:[№]],ACT[Total amount/ Общая стоимость (17*exchange rate/ обменный курс)
 USD],"",0,1)</f>
        <v>759.16</v>
      </c>
      <c r="X89" s="9" t="e" cm="1">
        <f t="array" ref="X89">IF(#REF!="",_xlfn.XLOOKUP("МАКС",#REF!,#REF!,,0,1),#REF!)</f>
        <v>#REF!</v>
      </c>
      <c r="Y89" s="12" t="e">
        <f>VLOOKUP(Шаблон_Формулы[[#This Row],[24]],#REF!,2,0)</f>
        <v>#REF!</v>
      </c>
      <c r="Z89" s="26" t="str">
        <f>IFERROR(Шаблон_Формулы[[#This Row],[23]]*Шаблон_Формулы[[#This Row],[25]],"")</f>
        <v/>
      </c>
      <c r="AA89" s="13" t="e" cm="1">
        <f t="array" ref="AA89">#REF!</f>
        <v>#REF!</v>
      </c>
    </row>
    <row r="90" spans="1:27" s="8" customFormat="1" ht="12">
      <c r="A90" s="11">
        <v>86</v>
      </c>
      <c r="B90" s="8" t="str" cm="1">
        <f t="array" ref="B90">_xlfn.XLOOKUP($A90,ACT[[№]:[№]],ACT[Container No/
№ Контейнера],"",0,1)</f>
        <v>TCLU5624158</v>
      </c>
      <c r="C90" s="8" t="str">
        <f t="shared" si="1"/>
        <v>UzAutoKorea</v>
      </c>
      <c r="D90" s="11" t="str" cm="1">
        <f t="array" ref="D90">_xlfn.XLOOKUP($A90,ACT[[№]:[№]],ACT[Container Type/ 
Тип контейнера],"",0,1)</f>
        <v>40'HC</v>
      </c>
      <c r="E90" s="21" cm="1">
        <f t="array" ref="E90">_xlfn.XLOOKUP($A90,ACT[[№]:[№]],ACT[Date of Dispatch/ 
Дата отгрузки],"",0,1)</f>
        <v>44965</v>
      </c>
      <c r="F90" s="22" t="str" cm="1">
        <f t="array" ref="F90">_xlfn.XLOOKUP($A90,ACT[[№]:[№]],ACT[Supplier/ Поставщик],"",0,1)</f>
        <v>ERAE AMS</v>
      </c>
      <c r="G90" s="22" t="str" cm="1">
        <f t="array" ref="G90">_xlfn.XLOOKUP($A90,ACT[[№]:[№]],ACT[Supplier Invoice No/                          № Инвойса Поставщика],"",0,1)</f>
        <v>DM231CH05(2)</v>
      </c>
      <c r="H90" s="23" cm="1">
        <f t="array" ref="H90">_xlfn.XLOOKUP($A90,ACT[[№]:[№]],ACT[CBM],"",0,1)</f>
        <v>9.7110000000000003</v>
      </c>
      <c r="I90" s="23" cm="1">
        <f t="array" ref="I90">_xlfn.XLOOKUP($A90,ACT[[№]:[№]],ACT[Gross weight, kg/ Вес брутто, кг],"",0,1)</f>
        <v>5436</v>
      </c>
      <c r="J90" s="23" t="str" cm="1">
        <f t="array" ref="J90">_xlfn.XLOOKUP($A90,ACT[[№]:[№]],ACT[Delivery terms / Условия поставки],"",0,1)</f>
        <v>FCA</v>
      </c>
      <c r="K90" s="23" cm="1">
        <f t="array" ref="K90">_xlfn.XLOOKUP($A90,ACT[[№]:[№]],ACT[Container total CBM],"",0,1)</f>
        <v>45.497</v>
      </c>
      <c r="L90" s="24" cm="1">
        <f t="array" ref="L90">_xlfn.XLOOKUP($A90,ACT[[№]:[№]],ACT[FTL inland freight cost per Invoice Appendix/ Стоимость внутренней наземной перевозки за инвойс Приложение                     KRW],"",0,1)</f>
        <v>376000</v>
      </c>
      <c r="M90" s="24" cm="1">
        <f t="array" ref="M90">_xlfn.XLOOKUP($A90,ACT[[№]:[№]],ACT[Consolidation Work, Loading, Unloading/ Работы по консолидации, Погрузка, Разгрузка (Rate/Тариф - 8000 per CBM)                   KRW],"",0,1)</f>
        <v>82446.39</v>
      </c>
      <c r="N90" s="24" cm="1">
        <f t="array" ref="N90">_xlfn.XLOOKUP($A90,ACT[[№]:[№]],ACT[Shoring, Banding, Sealing, Handling/ Крепление, Перевязка, Опечатование, Обработка
KRW],"",0,1)</f>
        <v>41365.184517660506</v>
      </c>
      <c r="O90" s="24" cm="1">
        <f t="array" ref="O90">_xlfn.XLOOKUP($A90,ACT[[№]:[№]],ACT[Documents Work/ Сбор за подготовку документов
KRW],"",0,1)</f>
        <v>10672.132228498582</v>
      </c>
      <c r="P90" s="24" cm="1">
        <f t="array" ref="P90">_xlfn.XLOOKUP($A90,ACT[[№]:[№]],ACT[THC/ Терминальная обработка
KRW],"",0,1)</f>
        <v>39572.266303272743</v>
      </c>
      <c r="Q90" s="24" cm="1">
        <f t="array" ref="Q90">_xlfn.XLOOKUP($A90,ACT[[№]:[№]],ACT[Wharfage/ Портовая пошлина
KRW],"",0,1)</f>
        <v>1942.328065586742</v>
      </c>
      <c r="R90" s="24" cm="1">
        <f t="array" ref="R90">_xlfn.XLOOKUP($A90,ACT[[№]:[№]],ACT[TRUCKING CHARGE],"",0,1)</f>
        <v>0</v>
      </c>
      <c r="S90" s="24" cm="1">
        <f t="array" ref="S90">_xlfn.XLOOKUP($A90,ACT[[№]:[№]],ACT[FCL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59870.661801877046</v>
      </c>
      <c r="T90" s="24" cm="1">
        <f t="array" ref="T90">_xlfn.XLOOKUP($A90,ACT[[№]:[№]],ACT[Special Wooden Shoring / Специальное деревянное крепление],"",0,1)</f>
        <v>0</v>
      </c>
      <c r="U90" s="9"/>
      <c r="V90" s="24" cm="1">
        <f t="array" ref="V90">_xlfn.XLOOKUP($A90,ACT[[№]:[№]],ACT[Total amount/ Общая стоимость KRW (10+11+12+13+14+15+16)],"",0,1)</f>
        <v>611868.96291689563</v>
      </c>
      <c r="W90" s="24" cm="1">
        <f t="array" ref="W90">_xlfn.XLOOKUP($A90,ACT[[№]:[№]],ACT[Total amount/ Общая стоимость (17*exchange rate/ обменный курс)
 USD],"",0,1)</f>
        <v>481.51</v>
      </c>
      <c r="X90" s="9" t="e" cm="1">
        <f t="array" ref="X90">IF(#REF!="",_xlfn.XLOOKUP("МАКС",#REF!,#REF!,,0,1),#REF!)</f>
        <v>#REF!</v>
      </c>
      <c r="Y90" s="12" t="e">
        <f>VLOOKUP(Шаблон_Формулы[[#This Row],[24]],#REF!,2,0)</f>
        <v>#REF!</v>
      </c>
      <c r="Z90" s="26" t="str">
        <f>IFERROR(Шаблон_Формулы[[#This Row],[23]]*Шаблон_Формулы[[#This Row],[25]],"")</f>
        <v/>
      </c>
      <c r="AA90" s="13" t="e" cm="1">
        <f t="array" ref="AA90">#REF!</f>
        <v>#REF!</v>
      </c>
    </row>
    <row r="91" spans="1:27" s="8" customFormat="1" ht="12">
      <c r="A91" s="11">
        <v>87</v>
      </c>
      <c r="B91" s="8" t="str" cm="1">
        <f t="array" ref="B91">_xlfn.XLOOKUP($A91,ACT[[№]:[№]],ACT[Container No/
№ Контейнера],"",0,1)</f>
        <v>OCGU8087082</v>
      </c>
      <c r="C91" s="8" t="str">
        <f t="shared" si="1"/>
        <v>UzAutoKorea</v>
      </c>
      <c r="D91" s="11" t="str" cm="1">
        <f t="array" ref="D91">_xlfn.XLOOKUP($A91,ACT[[№]:[№]],ACT[Container Type/ 
Тип контейнера],"",0,1)</f>
        <v>40'HC</v>
      </c>
      <c r="E91" s="21" cm="1">
        <f t="array" ref="E91">_xlfn.XLOOKUP($A91,ACT[[№]:[№]],ACT[Date of Dispatch/ 
Дата отгрузки],"",0,1)</f>
        <v>44965</v>
      </c>
      <c r="F91" s="22" t="str" cm="1">
        <f t="array" ref="F91">_xlfn.XLOOKUP($A91,ACT[[№]:[№]],ACT[Supplier/ Поставщик],"",0,1)</f>
        <v>ERAE AMS</v>
      </c>
      <c r="G91" s="22" t="str" cm="1">
        <f t="array" ref="G91">_xlfn.XLOOKUP($A91,ACT[[№]:[№]],ACT[Supplier Invoice No/                          № Инвойса Поставщика],"",0,1)</f>
        <v>DM231CH04(1)</v>
      </c>
      <c r="H91" s="23" cm="1">
        <f t="array" ref="H91">_xlfn.XLOOKUP($A91,ACT[[№]:[№]],ACT[CBM],"",0,1)</f>
        <v>66.432000000000002</v>
      </c>
      <c r="I91" s="23" cm="1">
        <f t="array" ref="I91">_xlfn.XLOOKUP($A91,ACT[[№]:[№]],ACT[Gross weight, kg/ Вес брутто, кг],"",0,1)</f>
        <v>11352</v>
      </c>
      <c r="J91" s="23" t="str" cm="1">
        <f t="array" ref="J91">_xlfn.XLOOKUP($A91,ACT[[№]:[№]],ACT[Delivery terms / Условия поставки],"",0,1)</f>
        <v>FCA</v>
      </c>
      <c r="K91" s="23" cm="1">
        <f t="array" ref="K91">_xlfn.XLOOKUP($A91,ACT[[№]:[№]],ACT[Container total CBM],"",0,1)</f>
        <v>66.432000000000002</v>
      </c>
      <c r="L91" s="24" cm="1">
        <f t="array" ref="L91">_xlfn.XLOOKUP($A91,ACT[[№]:[№]],ACT[FTL inland freight cost per Invoice Appendix/ Стоимость внутренней наземной перевозки за инвойс Приложение                     KRW],"",0,1)</f>
        <v>1016000</v>
      </c>
      <c r="M91" s="24" cm="1">
        <f t="array" ref="M91">_xlfn.XLOOKUP($A91,ACT[[№]:[№]],ACT[Consolidation Work, Loading, Unloading/ Работы по консолидации, Погрузка, Разгрузка (Rate/Тариф - 8000 per CBM)                   KRW],"",0,1)</f>
        <v>564007.68000000005</v>
      </c>
      <c r="N91" s="24" cm="1">
        <f t="array" ref="N91">_xlfn.XLOOKUP($A91,ACT[[№]:[№]],ACT[Shoring, Banding, Sealing, Handling/ Крепление, Перевязка, Опечатование, Обработка
KRW],"",0,1)</f>
        <v>193800</v>
      </c>
      <c r="O91" s="24" cm="1">
        <f t="array" ref="O91">_xlfn.XLOOKUP($A91,ACT[[№]:[№]],ACT[Documents Work/ Сбор за подготовку документов
KRW],"",0,1)</f>
        <v>50000</v>
      </c>
      <c r="P91" s="24" cm="1">
        <f t="array" ref="P91">_xlfn.XLOOKUP($A91,ACT[[№]:[№]],ACT[THC/ Терминальная обработка
KRW],"",0,1)</f>
        <v>185400</v>
      </c>
      <c r="Q91" s="24" cm="1">
        <f t="array" ref="Q91">_xlfn.XLOOKUP($A91,ACT[[№]:[№]],ACT[Wharfage/ Портовая пошлина
KRW],"",0,1)</f>
        <v>9100</v>
      </c>
      <c r="R91" s="24" cm="1">
        <f t="array" ref="R91">_xlfn.XLOOKUP($A91,ACT[[№]:[№]],ACT[TRUCKING CHARGE],"",0,1)</f>
        <v>0</v>
      </c>
      <c r="S91" s="24" cm="1">
        <f t="array" ref="S91">_xlfn.XLOOKUP($A91,ACT[[№]:[№]],ACT[FCL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280500</v>
      </c>
      <c r="T91" s="24" cm="1">
        <f t="array" ref="T91">_xlfn.XLOOKUP($A91,ACT[[№]:[№]],ACT[Special Wooden Shoring / Специальное деревянное крепление],"",0,1)</f>
        <v>0</v>
      </c>
      <c r="U91" s="9"/>
      <c r="V91" s="24" cm="1">
        <f t="array" ref="V91">_xlfn.XLOOKUP($A91,ACT[[№]:[№]],ACT[Total amount/ Общая стоимость KRW (10+11+12+13+14+15+16)],"",0,1)</f>
        <v>2298807.6800000002</v>
      </c>
      <c r="W91" s="24" cm="1">
        <f t="array" ref="W91">_xlfn.XLOOKUP($A91,ACT[[№]:[№]],ACT[Total amount/ Общая стоимость (17*exchange rate/ обменный курс)
 USD],"",0,1)</f>
        <v>1809.03</v>
      </c>
      <c r="X91" s="9" t="e" cm="1">
        <f t="array" ref="X91">IF(#REF!="",_xlfn.XLOOKUP("МАКС",#REF!,#REF!,,0,1),#REF!)</f>
        <v>#REF!</v>
      </c>
      <c r="Y91" s="12" t="e">
        <f>VLOOKUP(Шаблон_Формулы[[#This Row],[24]],#REF!,2,0)</f>
        <v>#REF!</v>
      </c>
      <c r="Z91" s="26" t="str">
        <f>IFERROR(Шаблон_Формулы[[#This Row],[23]]*Шаблон_Формулы[[#This Row],[25]],"")</f>
        <v/>
      </c>
      <c r="AA91" s="13" t="e" cm="1">
        <f t="array" ref="AA91">#REF!</f>
        <v>#REF!</v>
      </c>
    </row>
    <row r="92" spans="1:27" s="8" customFormat="1" ht="12">
      <c r="A92" s="11">
        <v>88</v>
      </c>
      <c r="B92" s="8" t="str" cm="1">
        <f t="array" ref="B92">_xlfn.XLOOKUP($A92,ACT[[№]:[№]],ACT[Container No/
№ Контейнера],"",0,1)</f>
        <v>FSCU9984282</v>
      </c>
      <c r="C92" s="8" t="str">
        <f t="shared" si="1"/>
        <v>UzAutoKorea</v>
      </c>
      <c r="D92" s="11" t="str" cm="1">
        <f t="array" ref="D92">_xlfn.XLOOKUP($A92,ACT[[№]:[№]],ACT[Container Type/ 
Тип контейнера],"",0,1)</f>
        <v>40'HC</v>
      </c>
      <c r="E92" s="21" cm="1">
        <f t="array" ref="E92">_xlfn.XLOOKUP($A92,ACT[[№]:[№]],ACT[Date of Dispatch/ 
Дата отгрузки],"",0,1)</f>
        <v>44965</v>
      </c>
      <c r="F92" s="22" t="str" cm="1">
        <f t="array" ref="F92">_xlfn.XLOOKUP($A92,ACT[[№]:[№]],ACT[Supplier/ Поставщик],"",0,1)</f>
        <v>ERAE AMS</v>
      </c>
      <c r="G92" s="22" t="str" cm="1">
        <f t="array" ref="G92">_xlfn.XLOOKUP($A92,ACT[[№]:[№]],ACT[Supplier Invoice No/                          № Инвойса Поставщика],"",0,1)</f>
        <v>DM231CH04(2)</v>
      </c>
      <c r="H92" s="23" cm="1">
        <f t="array" ref="H92">_xlfn.XLOOKUP($A92,ACT[[№]:[№]],ACT[CBM],"",0,1)</f>
        <v>13.84</v>
      </c>
      <c r="I92" s="23" cm="1">
        <f t="array" ref="I92">_xlfn.XLOOKUP($A92,ACT[[№]:[№]],ACT[Gross weight, kg/ Вес брутто, кг],"",0,1)</f>
        <v>2365</v>
      </c>
      <c r="J92" s="23" t="str" cm="1">
        <f t="array" ref="J92">_xlfn.XLOOKUP($A92,ACT[[№]:[№]],ACT[Delivery terms / Условия поставки],"",0,1)</f>
        <v>FCA</v>
      </c>
      <c r="K92" s="23" cm="1">
        <f t="array" ref="K92">_xlfn.XLOOKUP($A92,ACT[[№]:[№]],ACT[Container total CBM],"",0,1)</f>
        <v>67.954999999999998</v>
      </c>
      <c r="L92" s="24" cm="1">
        <f t="array" ref="L92">_xlfn.XLOOKUP($A92,ACT[[№]:[№]],ACT[FTL inland freight cost per Invoice Appendix/ Стоимость внутренней наземной перевозки за инвойс Приложение                     KRW],"",0,1)</f>
        <v>332000</v>
      </c>
      <c r="M92" s="24" cm="1">
        <f t="array" ref="M92">_xlfn.XLOOKUP($A92,ACT[[№]:[№]],ACT[Consolidation Work, Loading, Unloading/ Работы по консолидации, Погрузка, Разгрузка (Rate/Тариф - 8000 per CBM)                   KRW],"",0,1)</f>
        <v>117501.6</v>
      </c>
      <c r="N92" s="24" cm="1">
        <f t="array" ref="N92">_xlfn.XLOOKUP($A92,ACT[[№]:[№]],ACT[Shoring, Banding, Sealing, Handling/ Крепление, Перевязка, Опечатование, Обработка
KRW],"",0,1)</f>
        <v>39470.119932308146</v>
      </c>
      <c r="O92" s="24" cm="1">
        <f t="array" ref="O92">_xlfn.XLOOKUP($A92,ACT[[№]:[№]],ACT[Documents Work/ Сбор за подготовку документов
KRW],"",0,1)</f>
        <v>10183.209476859687</v>
      </c>
      <c r="P92" s="24" cm="1">
        <f t="array" ref="P92">_xlfn.XLOOKUP($A92,ACT[[№]:[№]],ACT[THC/ Терминальная обработка
KRW],"",0,1)</f>
        <v>37759.340740195716</v>
      </c>
      <c r="Q92" s="24" cm="1">
        <f t="array" ref="Q92">_xlfn.XLOOKUP($A92,ACT[[№]:[№]],ACT[Wharfage/ Портовая пошлина
KRW],"",0,1)</f>
        <v>1853.344124788463</v>
      </c>
      <c r="R92" s="24" cm="1">
        <f t="array" ref="R92">_xlfn.XLOOKUP($A92,ACT[[№]:[№]],ACT[TRUCKING CHARGE],"",0,1)</f>
        <v>0</v>
      </c>
      <c r="S92" s="24" cm="1">
        <f t="array" ref="S92">_xlfn.XLOOKUP($A92,ACT[[№]:[№]],ACT[FCL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57127.805165182843</v>
      </c>
      <c r="T92" s="24" cm="1">
        <f t="array" ref="T92">_xlfn.XLOOKUP($A92,ACT[[№]:[№]],ACT[Special Wooden Shoring / Специальное деревянное крепление],"",0,1)</f>
        <v>0</v>
      </c>
      <c r="U92" s="9"/>
      <c r="V92" s="24" cm="1">
        <f t="array" ref="V92">_xlfn.XLOOKUP($A92,ACT[[№]:[№]],ACT[Total amount/ Общая стоимость KRW (10+11+12+13+14+15+16)],"",0,1)</f>
        <v>595895.41943933477</v>
      </c>
      <c r="W92" s="24" cm="1">
        <f t="array" ref="W92">_xlfn.XLOOKUP($A92,ACT[[№]:[№]],ACT[Total amount/ Общая стоимость (17*exchange rate/ обменный курс)
 USD],"",0,1)</f>
        <v>468.94</v>
      </c>
      <c r="X92" s="9" t="e" cm="1">
        <f t="array" ref="X92">IF(#REF!="",_xlfn.XLOOKUP("МАКС",#REF!,#REF!,,0,1),#REF!)</f>
        <v>#REF!</v>
      </c>
      <c r="Y92" s="12" t="e">
        <f>VLOOKUP(Шаблон_Формулы[[#This Row],[24]],#REF!,2,0)</f>
        <v>#REF!</v>
      </c>
      <c r="Z92" s="26" t="str">
        <f>IFERROR(Шаблон_Формулы[[#This Row],[23]]*Шаблон_Формулы[[#This Row],[25]],"")</f>
        <v/>
      </c>
      <c r="AA92" s="13" t="e" cm="1">
        <f t="array" ref="AA92">#REF!</f>
        <v>#REF!</v>
      </c>
    </row>
    <row r="93" spans="1:27" s="8" customFormat="1" ht="12">
      <c r="A93" s="11">
        <v>89</v>
      </c>
      <c r="B93" s="8" t="str" cm="1">
        <f t="array" ref="B93">_xlfn.XLOOKUP($A93,ACT[[№]:[№]],ACT[Container No/
№ Контейнера],"",0,1)</f>
        <v>FSCU9984282</v>
      </c>
      <c r="C93" s="8" t="str">
        <f t="shared" si="1"/>
        <v>UzAutoKorea</v>
      </c>
      <c r="D93" s="11" t="str" cm="1">
        <f t="array" ref="D93">_xlfn.XLOOKUP($A93,ACT[[№]:[№]],ACT[Container Type/ 
Тип контейнера],"",0,1)</f>
        <v>40'HC</v>
      </c>
      <c r="E93" s="21" cm="1">
        <f t="array" ref="E93">_xlfn.XLOOKUP($A93,ACT[[№]:[№]],ACT[Date of Dispatch/ 
Дата отгрузки],"",0,1)</f>
        <v>44965</v>
      </c>
      <c r="F93" s="22" t="str" cm="1">
        <f t="array" ref="F93">_xlfn.XLOOKUP($A93,ACT[[№]:[№]],ACT[Supplier/ Поставщик],"",0,1)</f>
        <v>ERAE AMS</v>
      </c>
      <c r="G93" s="22" t="str" cm="1">
        <f t="array" ref="G93">_xlfn.XLOOKUP($A93,ACT[[№]:[№]],ACT[Supplier Invoice No/                          № Инвойса Поставщика],"",0,1)</f>
        <v>DM231CH05(3)</v>
      </c>
      <c r="H93" s="23" cm="1">
        <f t="array" ref="H93">_xlfn.XLOOKUP($A93,ACT[[№]:[№]],ACT[CBM],"",0,1)</f>
        <v>24.207999999999998</v>
      </c>
      <c r="I93" s="23" cm="1">
        <f t="array" ref="I93">_xlfn.XLOOKUP($A93,ACT[[№]:[№]],ACT[Gross weight, kg/ Вес брутто, кг],"",0,1)</f>
        <v>3687.98</v>
      </c>
      <c r="J93" s="23" t="str" cm="1">
        <f t="array" ref="J93">_xlfn.XLOOKUP($A93,ACT[[№]:[№]],ACT[Delivery terms / Условия поставки],"",0,1)</f>
        <v>FCA</v>
      </c>
      <c r="K93" s="23" cm="1">
        <f t="array" ref="K93">_xlfn.XLOOKUP($A93,ACT[[№]:[№]],ACT[Container total CBM],"",0,1)</f>
        <v>67.954999999999998</v>
      </c>
      <c r="L93" s="24" cm="1">
        <f t="array" ref="L93">_xlfn.XLOOKUP($A93,ACT[[№]:[№]],ACT[FTL inland freight cost per Invoice Appendix/ Стоимость внутренней наземной перевозки за инвойс Приложение                     KRW],"",0,1)</f>
        <v>392000</v>
      </c>
      <c r="M93" s="24" cm="1">
        <f t="array" ref="M93">_xlfn.XLOOKUP($A93,ACT[[№]:[№]],ACT[Consolidation Work, Loading, Unloading/ Работы по консолидации, Погрузка, Разгрузка (Rate/Тариф - 8000 per CBM)                   KRW],"",0,1)</f>
        <v>205525.92</v>
      </c>
      <c r="N93" s="24" cm="1">
        <f t="array" ref="N93">_xlfn.XLOOKUP($A93,ACT[[№]:[№]],ACT[Shoring, Banding, Sealing, Handling/ Крепление, Перевязка, Опечатование, Обработка
KRW],"",0,1)</f>
        <v>69038.487234199099</v>
      </c>
      <c r="O93" s="24" cm="1">
        <f t="array" ref="O93">_xlfn.XLOOKUP($A93,ACT[[№]:[№]],ACT[Documents Work/ Сбор за подготовку документов
KRW],"",0,1)</f>
        <v>17811.78721212567</v>
      </c>
      <c r="P93" s="24" cm="1">
        <f t="array" ref="P93">_xlfn.XLOOKUP($A93,ACT[[№]:[№]],ACT[THC/ Терминальная обработка
KRW],"",0,1)</f>
        <v>66046.106982561992</v>
      </c>
      <c r="Q93" s="24" cm="1">
        <f t="array" ref="Q93">_xlfn.XLOOKUP($A93,ACT[[№]:[№]],ACT[Wharfage/ Портовая пошлина
KRW],"",0,1)</f>
        <v>3241.7452726068723</v>
      </c>
      <c r="R93" s="24" cm="1">
        <f t="array" ref="R93">_xlfn.XLOOKUP($A93,ACT[[№]:[№]],ACT[TRUCKING CHARGE],"",0,1)</f>
        <v>0</v>
      </c>
      <c r="S93" s="24" cm="1">
        <f t="array" ref="S93">_xlfn.XLOOKUP($A93,ACT[[№]:[№]],ACT[FCL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99924.126260025019</v>
      </c>
      <c r="T93" s="24" cm="1">
        <f t="array" ref="T93">_xlfn.XLOOKUP($A93,ACT[[№]:[№]],ACT[Special Wooden Shoring / Специальное деревянное крепление],"",0,1)</f>
        <v>0</v>
      </c>
      <c r="U93" s="9"/>
      <c r="V93" s="24" cm="1">
        <f t="array" ref="V93">_xlfn.XLOOKUP($A93,ACT[[№]:[№]],ACT[Total amount/ Общая стоимость KRW (10+11+12+13+14+15+16)],"",0,1)</f>
        <v>853588.17296151852</v>
      </c>
      <c r="W93" s="24" cm="1">
        <f t="array" ref="W93">_xlfn.XLOOKUP($A93,ACT[[№]:[№]],ACT[Total amount/ Общая стоимость (17*exchange rate/ обменный курс)
 USD],"",0,1)</f>
        <v>671.73</v>
      </c>
      <c r="X93" s="9" t="e" cm="1">
        <f t="array" ref="X93">IF(#REF!="",_xlfn.XLOOKUP("МАКС",#REF!,#REF!,,0,1),#REF!)</f>
        <v>#REF!</v>
      </c>
      <c r="Y93" s="12" t="e">
        <f>VLOOKUP(Шаблон_Формулы[[#This Row],[24]],#REF!,2,0)</f>
        <v>#REF!</v>
      </c>
      <c r="Z93" s="26" t="str">
        <f>IFERROR(Шаблон_Формулы[[#This Row],[23]]*Шаблон_Формулы[[#This Row],[25]],"")</f>
        <v/>
      </c>
      <c r="AA93" s="13" t="e" cm="1">
        <f t="array" ref="AA93">#REF!</f>
        <v>#REF!</v>
      </c>
    </row>
    <row r="94" spans="1:27" s="8" customFormat="1" ht="12">
      <c r="A94" s="11">
        <v>90</v>
      </c>
      <c r="B94" s="8" t="str" cm="1">
        <f t="array" ref="B94">_xlfn.XLOOKUP($A94,ACT[[№]:[№]],ACT[Container No/
№ Контейнера],"",0,1)</f>
        <v>FSCU9984282</v>
      </c>
      <c r="C94" s="8" t="str">
        <f t="shared" si="1"/>
        <v>UzAutoKorea</v>
      </c>
      <c r="D94" s="11" t="str" cm="1">
        <f t="array" ref="D94">_xlfn.XLOOKUP($A94,ACT[[№]:[№]],ACT[Container Type/ 
Тип контейнера],"",0,1)</f>
        <v>40'HC</v>
      </c>
      <c r="E94" s="21" cm="1">
        <f t="array" ref="E94">_xlfn.XLOOKUP($A94,ACT[[№]:[№]],ACT[Date of Dispatch/ 
Дата отгрузки],"",0,1)</f>
        <v>44965</v>
      </c>
      <c r="F94" s="22" t="str" cm="1">
        <f t="array" ref="F94">_xlfn.XLOOKUP($A94,ACT[[№]:[№]],ACT[Supplier/ Поставщик],"",0,1)</f>
        <v>ERAE AMS</v>
      </c>
      <c r="G94" s="22" t="str" cm="1">
        <f t="array" ref="G94">_xlfn.XLOOKUP($A94,ACT[[№]:[№]],ACT[Supplier Invoice No/                          № Инвойса Поставщика],"",0,1)</f>
        <v>DM231CH05(4)</v>
      </c>
      <c r="H94" s="23" cm="1">
        <f t="array" ref="H94">_xlfn.XLOOKUP($A94,ACT[[№]:[№]],ACT[CBM],"",0,1)</f>
        <v>29.907</v>
      </c>
      <c r="I94" s="23" cm="1">
        <f t="array" ref="I94">_xlfn.XLOOKUP($A94,ACT[[№]:[№]],ACT[Gross weight, kg/ Вес брутто, кг],"",0,1)</f>
        <v>4981.2</v>
      </c>
      <c r="J94" s="23" t="str" cm="1">
        <f t="array" ref="J94">_xlfn.XLOOKUP($A94,ACT[[№]:[№]],ACT[Delivery terms / Условия поставки],"",0,1)</f>
        <v>FCA</v>
      </c>
      <c r="K94" s="23" cm="1">
        <f t="array" ref="K94">_xlfn.XLOOKUP($A94,ACT[[№]:[№]],ACT[Container total CBM],"",0,1)</f>
        <v>67.954999999999998</v>
      </c>
      <c r="L94" s="24" cm="1">
        <f t="array" ref="L94">_xlfn.XLOOKUP($A94,ACT[[№]:[№]],ACT[FTL inland freight cost per Invoice Appendix/ Стоимость внутренней наземной перевозки за инвойс Приложение                     KRW],"",0,1)</f>
        <v>392000</v>
      </c>
      <c r="M94" s="24" cm="1">
        <f t="array" ref="M94">_xlfn.XLOOKUP($A94,ACT[[№]:[№]],ACT[Consolidation Work, Loading, Unloading/ Работы по консолидации, Погрузка, Разгрузка (Rate/Тариф - 8000 per CBM)                   KRW],"",0,1)</f>
        <v>253910.43</v>
      </c>
      <c r="N94" s="24" cm="1">
        <f t="array" ref="N94">_xlfn.XLOOKUP($A94,ACT[[№]:[№]],ACT[Shoring, Banding, Sealing, Handling/ Крепление, Перевязка, Опечатование, Обработка
KRW],"",0,1)</f>
        <v>85291.392833492748</v>
      </c>
      <c r="O94" s="24" cm="1">
        <f t="array" ref="O94">_xlfn.XLOOKUP($A94,ACT[[№]:[№]],ACT[Documents Work/ Сбор за подготовку документов
KRW],"",0,1)</f>
        <v>22005.003311014643</v>
      </c>
      <c r="P94" s="24" cm="1">
        <f t="array" ref="P94">_xlfn.XLOOKUP($A94,ACT[[№]:[№]],ACT[THC/ Терминальная обработка
KRW],"",0,1)</f>
        <v>81594.552277242299</v>
      </c>
      <c r="Q94" s="24" cm="1">
        <f t="array" ref="Q94">_xlfn.XLOOKUP($A94,ACT[[№]:[№]],ACT[Wharfage/ Портовая пошлина
KRW],"",0,1)</f>
        <v>4004.9106026046647</v>
      </c>
      <c r="R94" s="24" cm="1">
        <f t="array" ref="R94">_xlfn.XLOOKUP($A94,ACT[[№]:[№]],ACT[TRUCKING CHARGE],"",0,1)</f>
        <v>0</v>
      </c>
      <c r="S94" s="24" cm="1">
        <f t="array" ref="S94">_xlfn.XLOOKUP($A94,ACT[[№]:[№]],ACT[FCL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123448.06857479214</v>
      </c>
      <c r="T94" s="24" cm="1">
        <f t="array" ref="T94">_xlfn.XLOOKUP($A94,ACT[[№]:[№]],ACT[Special Wooden Shoring / Специальное деревянное крепление],"",0,1)</f>
        <v>0</v>
      </c>
      <c r="U94" s="9"/>
      <c r="V94" s="24" cm="1">
        <f t="array" ref="V94">_xlfn.XLOOKUP($A94,ACT[[№]:[№]],ACT[Total amount/ Общая стоимость KRW (10+11+12+13+14+15+16)],"",0,1)</f>
        <v>962254.3575991462</v>
      </c>
      <c r="W94" s="24" cm="1">
        <f t="array" ref="W94">_xlfn.XLOOKUP($A94,ACT[[№]:[№]],ACT[Total amount/ Общая стоимость (17*exchange rate/ обменный курс)
 USD],"",0,1)</f>
        <v>757.24</v>
      </c>
      <c r="X94" s="9" t="e" cm="1">
        <f t="array" ref="X94">IF(#REF!="",_xlfn.XLOOKUP("МАКС",#REF!,#REF!,,0,1),#REF!)</f>
        <v>#REF!</v>
      </c>
      <c r="Y94" s="12" t="e">
        <f>VLOOKUP(Шаблон_Формулы[[#This Row],[24]],#REF!,2,0)</f>
        <v>#REF!</v>
      </c>
      <c r="Z94" s="26" t="str">
        <f>IFERROR(Шаблон_Формулы[[#This Row],[23]]*Шаблон_Формулы[[#This Row],[25]],"")</f>
        <v/>
      </c>
      <c r="AA94" s="13" t="e" cm="1">
        <f t="array" ref="AA94">#REF!</f>
        <v>#REF!</v>
      </c>
    </row>
    <row r="95" spans="1:27" s="8" customFormat="1" ht="12">
      <c r="A95" s="11">
        <v>91</v>
      </c>
      <c r="B95" s="8" t="str" cm="1">
        <f t="array" ref="B95">_xlfn.XLOOKUP($A95,ACT[[№]:[№]],ACT[Container No/
№ Контейнера],"",0,1)</f>
        <v>CLHU9046724</v>
      </c>
      <c r="C95" s="8" t="str">
        <f t="shared" si="1"/>
        <v>UzAutoKorea</v>
      </c>
      <c r="D95" s="11" t="str" cm="1">
        <f t="array" ref="D95">_xlfn.XLOOKUP($A95,ACT[[№]:[№]],ACT[Container Type/ 
Тип контейнера],"",0,1)</f>
        <v>40'HC</v>
      </c>
      <c r="E95" s="21" cm="1">
        <f t="array" ref="E95">_xlfn.XLOOKUP($A95,ACT[[№]:[№]],ACT[Date of Dispatch/ 
Дата отгрузки],"",0,1)</f>
        <v>44965</v>
      </c>
      <c r="F95" s="22" t="str" cm="1">
        <f t="array" ref="F95">_xlfn.XLOOKUP($A95,ACT[[№]:[№]],ACT[Supplier/ Поставщик],"",0,1)</f>
        <v>ERAE AMS</v>
      </c>
      <c r="G95" s="22" t="str" cm="1">
        <f t="array" ref="G95">_xlfn.XLOOKUP($A95,ACT[[№]:[№]],ACT[Supplier Invoice No/                          № Инвойса Поставщика],"",0,1)</f>
        <v>DM231CH05(5)</v>
      </c>
      <c r="H95" s="23" cm="1">
        <f t="array" ref="H95">_xlfn.XLOOKUP($A95,ACT[[№]:[№]],ACT[CBM],"",0,1)</f>
        <v>11.391999999999999</v>
      </c>
      <c r="I95" s="23" cm="1">
        <f t="array" ref="I95">_xlfn.XLOOKUP($A95,ACT[[№]:[№]],ACT[Gross weight, kg/ Вес брутто, кг],"",0,1)</f>
        <v>1735.52</v>
      </c>
      <c r="J95" s="23" t="str" cm="1">
        <f t="array" ref="J95">_xlfn.XLOOKUP($A95,ACT[[№]:[№]],ACT[Delivery terms / Условия поставки],"",0,1)</f>
        <v>FCA</v>
      </c>
      <c r="K95" s="23" cm="1">
        <f t="array" ref="K95">_xlfn.XLOOKUP($A95,ACT[[№]:[№]],ACT[Container total CBM],"",0,1)</f>
        <v>66.096000000000004</v>
      </c>
      <c r="L95" s="24" cm="1">
        <f t="array" ref="L95">_xlfn.XLOOKUP($A95,ACT[[№]:[№]],ACT[FTL inland freight cost per Invoice Appendix/ Стоимость внутренней наземной перевозки за инвойс Приложение                     KRW],"",0,1)</f>
        <v>332000</v>
      </c>
      <c r="M95" s="24" cm="1">
        <f t="array" ref="M95">_xlfn.XLOOKUP($A95,ACT[[№]:[№]],ACT[Consolidation Work, Loading, Unloading/ Работы по консолидации, Погрузка, Разгрузка (Rate/Тариф - 8000 per CBM)                   KRW],"",0,1)</f>
        <v>96718.080000000002</v>
      </c>
      <c r="N95" s="24" cm="1">
        <f t="array" ref="N95">_xlfn.XLOOKUP($A95,ACT[[№]:[№]],ACT[Shoring, Banding, Sealing, Handling/ Крепление, Перевязка, Опечатование, Обработка
KRW],"",0,1)</f>
        <v>33402.469135802465</v>
      </c>
      <c r="O95" s="24" cm="1">
        <f t="array" ref="O95">_xlfn.XLOOKUP($A95,ACT[[№]:[№]],ACT[Documents Work/ Сбор за подготовку документов
KRW],"",0,1)</f>
        <v>8617.7680948922771</v>
      </c>
      <c r="P95" s="24" cm="1">
        <f t="array" ref="P95">_xlfn.XLOOKUP($A95,ACT[[№]:[№]],ACT[THC/ Терминальная обработка
KRW],"",0,1)</f>
        <v>31954.684095860561</v>
      </c>
      <c r="Q95" s="24" cm="1">
        <f t="array" ref="Q95">_xlfn.XLOOKUP($A95,ACT[[№]:[№]],ACT[Wharfage/ Портовая пошлина
KRW],"",0,1)</f>
        <v>1568.4337932703943</v>
      </c>
      <c r="R95" s="24" cm="1">
        <f t="array" ref="R95">_xlfn.XLOOKUP($A95,ACT[[№]:[№]],ACT[TRUCKING CHARGE],"",0,1)</f>
        <v>0</v>
      </c>
      <c r="S95" s="24" cm="1">
        <f t="array" ref="S95">_xlfn.XLOOKUP($A95,ACT[[№]:[№]],ACT[FCL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48345.679012345674</v>
      </c>
      <c r="T95" s="24" cm="1">
        <f t="array" ref="T95">_xlfn.XLOOKUP($A95,ACT[[№]:[№]],ACT[Special Wooden Shoring / Специальное деревянное крепление],"",0,1)</f>
        <v>0</v>
      </c>
      <c r="U95" s="9"/>
      <c r="V95" s="24" cm="1">
        <f t="array" ref="V95">_xlfn.XLOOKUP($A95,ACT[[№]:[№]],ACT[Total amount/ Общая стоимость KRW (10+11+12+13+14+15+16)],"",0,1)</f>
        <v>552607.11413217138</v>
      </c>
      <c r="W95" s="24" cm="1">
        <f t="array" ref="W95">_xlfn.XLOOKUP($A95,ACT[[№]:[№]],ACT[Total amount/ Общая стоимость (17*exchange rate/ обменный курс)
 USD],"",0,1)</f>
        <v>434.87</v>
      </c>
      <c r="X95" s="9" t="e" cm="1">
        <f t="array" ref="X95">IF(#REF!="",_xlfn.XLOOKUP("МАКС",#REF!,#REF!,,0,1),#REF!)</f>
        <v>#REF!</v>
      </c>
      <c r="Y95" s="12" t="e">
        <f>VLOOKUP(Шаблон_Формулы[[#This Row],[24]],#REF!,2,0)</f>
        <v>#REF!</v>
      </c>
      <c r="Z95" s="26" t="str">
        <f>IFERROR(Шаблон_Формулы[[#This Row],[23]]*Шаблон_Формулы[[#This Row],[25]],"")</f>
        <v/>
      </c>
      <c r="AA95" s="13" t="e" cm="1">
        <f t="array" ref="AA95">#REF!</f>
        <v>#REF!</v>
      </c>
    </row>
    <row r="96" spans="1:27" s="8" customFormat="1" ht="12">
      <c r="A96" s="11">
        <v>92</v>
      </c>
      <c r="B96" s="8" t="str" cm="1">
        <f t="array" ref="B96">_xlfn.XLOOKUP($A96,ACT[[№]:[№]],ACT[Container No/
№ Контейнера],"",0,1)</f>
        <v>CLHU9046724</v>
      </c>
      <c r="C96" s="8" t="str">
        <f t="shared" si="1"/>
        <v>UzAutoKorea</v>
      </c>
      <c r="D96" s="11" t="str" cm="1">
        <f t="array" ref="D96">_xlfn.XLOOKUP($A96,ACT[[№]:[№]],ACT[Container Type/ 
Тип контейнера],"",0,1)</f>
        <v>40'HC</v>
      </c>
      <c r="E96" s="21" cm="1">
        <f t="array" ref="E96">_xlfn.XLOOKUP($A96,ACT[[№]:[№]],ACT[Date of Dispatch/ 
Дата отгрузки],"",0,1)</f>
        <v>44965</v>
      </c>
      <c r="F96" s="22" t="str" cm="1">
        <f t="array" ref="F96">_xlfn.XLOOKUP($A96,ACT[[№]:[№]],ACT[Supplier/ Поставщик],"",0,1)</f>
        <v>ERAE AMS</v>
      </c>
      <c r="G96" s="22" t="str" cm="1">
        <f t="array" ref="G96">_xlfn.XLOOKUP($A96,ACT[[№]:[№]],ACT[Supplier Invoice No/                          № Инвойса Поставщика],"",0,1)</f>
        <v>DM231CH05(6)</v>
      </c>
      <c r="H96" s="23" cm="1">
        <f t="array" ref="H96">_xlfn.XLOOKUP($A96,ACT[[№]:[№]],ACT[CBM],"",0,1)</f>
        <v>11.544</v>
      </c>
      <c r="I96" s="23" cm="1">
        <f t="array" ref="I96">_xlfn.XLOOKUP($A96,ACT[[№]:[№]],ACT[Gross weight, kg/ Вес брутто, кг],"",0,1)</f>
        <v>1492.8</v>
      </c>
      <c r="J96" s="23" t="str" cm="1">
        <f t="array" ref="J96">_xlfn.XLOOKUP($A96,ACT[[№]:[№]],ACT[Delivery terms / Условия поставки],"",0,1)</f>
        <v>FCA</v>
      </c>
      <c r="K96" s="23" cm="1">
        <f t="array" ref="K96">_xlfn.XLOOKUP($A96,ACT[[№]:[№]],ACT[Container total CBM],"",0,1)</f>
        <v>66.096000000000004</v>
      </c>
      <c r="L96" s="24" cm="1">
        <f t="array" ref="L96">_xlfn.XLOOKUP($A96,ACT[[№]:[№]],ACT[FTL inland freight cost per Invoice Appendix/ Стоимость внутренней наземной перевозки за инвойс Приложение                     KRW],"",0,1)</f>
        <v>332000</v>
      </c>
      <c r="M96" s="24" cm="1">
        <f t="array" ref="M96">_xlfn.XLOOKUP($A96,ACT[[№]:[№]],ACT[Consolidation Work, Loading, Unloading/ Работы по консолидации, Погрузка, Разгрузка (Rate/Тариф - 8000 per CBM)                   KRW],"",0,1)</f>
        <v>98008.56</v>
      </c>
      <c r="N96" s="24" cm="1">
        <f t="array" ref="N96">_xlfn.XLOOKUP($A96,ACT[[№]:[№]],ACT[Shoring, Banding, Sealing, Handling/ Крепление, Перевязка, Опечатование, Обработка
KRW],"",0,1)</f>
        <v>33848.148148148146</v>
      </c>
      <c r="O96" s="24" cm="1">
        <f t="array" ref="O96">_xlfn.XLOOKUP($A96,ACT[[№]:[№]],ACT[Documents Work/ Сбор за подготовку документов
KRW],"",0,1)</f>
        <v>8732.7523602033398</v>
      </c>
      <c r="P96" s="24" cm="1">
        <f t="array" ref="P96">_xlfn.XLOOKUP($A96,ACT[[№]:[№]],ACT[THC/ Терминальная обработка
KRW],"",0,1)</f>
        <v>32381.045751633985</v>
      </c>
      <c r="Q96" s="24" cm="1">
        <f t="array" ref="Q96">_xlfn.XLOOKUP($A96,ACT[[№]:[№]],ACT[Wharfage/ Портовая пошлина
KRW],"",0,1)</f>
        <v>1589.3609295570079</v>
      </c>
      <c r="R96" s="24" cm="1">
        <f t="array" ref="R96">_xlfn.XLOOKUP($A96,ACT[[№]:[№]],ACT[TRUCKING CHARGE],"",0,1)</f>
        <v>0</v>
      </c>
      <c r="S96" s="24" cm="1">
        <f t="array" ref="S96">_xlfn.XLOOKUP($A96,ACT[[№]:[№]],ACT[FCL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48990.740740740737</v>
      </c>
      <c r="T96" s="24" cm="1">
        <f t="array" ref="T96">_xlfn.XLOOKUP($A96,ACT[[№]:[№]],ACT[Special Wooden Shoring / Специальное деревянное крепление],"",0,1)</f>
        <v>0</v>
      </c>
      <c r="U96" s="9"/>
      <c r="V96" s="24" cm="1">
        <f t="array" ref="V96">_xlfn.XLOOKUP($A96,ACT[[№]:[№]],ACT[Total amount/ Общая стоимость KRW (10+11+12+13+14+15+16)],"",0,1)</f>
        <v>555550.60793028329</v>
      </c>
      <c r="W96" s="24" cm="1">
        <f t="array" ref="W96">_xlfn.XLOOKUP($A96,ACT[[№]:[№]],ACT[Total amount/ Общая стоимость (17*exchange rate/ обменный курс)
 USD],"",0,1)</f>
        <v>437.19</v>
      </c>
      <c r="X96" s="9" t="e" cm="1">
        <f t="array" ref="X96">IF(#REF!="",_xlfn.XLOOKUP("МАКС",#REF!,#REF!,,0,1),#REF!)</f>
        <v>#REF!</v>
      </c>
      <c r="Y96" s="12" t="e">
        <f>VLOOKUP(Шаблон_Формулы[[#This Row],[24]],#REF!,2,0)</f>
        <v>#REF!</v>
      </c>
      <c r="Z96" s="26" t="str">
        <f>IFERROR(Шаблон_Формулы[[#This Row],[23]]*Шаблон_Формулы[[#This Row],[25]],"")</f>
        <v/>
      </c>
      <c r="AA96" s="13" t="e" cm="1">
        <f t="array" ref="AA96">#REF!</f>
        <v>#REF!</v>
      </c>
    </row>
    <row r="97" spans="1:27" s="8" customFormat="1" ht="12">
      <c r="A97" s="11">
        <v>93</v>
      </c>
      <c r="B97" s="8" t="str" cm="1">
        <f t="array" ref="B97">_xlfn.XLOOKUP($A97,ACT[[№]:[№]],ACT[Container No/
№ Контейнера],"",0,1)</f>
        <v>CLHU9046724</v>
      </c>
      <c r="C97" s="8" t="str">
        <f t="shared" si="1"/>
        <v>UzAutoKorea</v>
      </c>
      <c r="D97" s="11" t="str" cm="1">
        <f t="array" ref="D97">_xlfn.XLOOKUP($A97,ACT[[№]:[№]],ACT[Container Type/ 
Тип контейнера],"",0,1)</f>
        <v>40'HC</v>
      </c>
      <c r="E97" s="21" cm="1">
        <f t="array" ref="E97">_xlfn.XLOOKUP($A97,ACT[[№]:[№]],ACT[Date of Dispatch/ 
Дата отгрузки],"",0,1)</f>
        <v>44965</v>
      </c>
      <c r="F97" s="22" t="str" cm="1">
        <f t="array" ref="F97">_xlfn.XLOOKUP($A97,ACT[[№]:[№]],ACT[Supplier/ Поставщик],"",0,1)</f>
        <v>ERAE AMS</v>
      </c>
      <c r="G97" s="22" t="str" cm="1">
        <f t="array" ref="G97">_xlfn.XLOOKUP($A97,ACT[[№]:[№]],ACT[Supplier Invoice No/                          № Инвойса Поставщика],"",0,1)</f>
        <v>DM231CH04(3)</v>
      </c>
      <c r="H97" s="23" cm="1">
        <f t="array" ref="H97">_xlfn.XLOOKUP($A97,ACT[[№]:[№]],ACT[CBM],"",0,1)</f>
        <v>21.58</v>
      </c>
      <c r="I97" s="23" cm="1">
        <f t="array" ref="I97">_xlfn.XLOOKUP($A97,ACT[[№]:[№]],ACT[Gross weight, kg/ Вес брутто, кг],"",0,1)</f>
        <v>6420</v>
      </c>
      <c r="J97" s="23" t="str" cm="1">
        <f t="array" ref="J97">_xlfn.XLOOKUP($A97,ACT[[№]:[№]],ACT[Delivery terms / Условия поставки],"",0,1)</f>
        <v>FCA</v>
      </c>
      <c r="K97" s="23" cm="1">
        <f t="array" ref="K97">_xlfn.XLOOKUP($A97,ACT[[№]:[№]],ACT[Container total CBM],"",0,1)</f>
        <v>66.096000000000004</v>
      </c>
      <c r="L97" s="24" cm="1">
        <f t="array" ref="L97">_xlfn.XLOOKUP($A97,ACT[[№]:[№]],ACT[FTL inland freight cost per Invoice Appendix/ Стоимость внутренней наземной перевозки за инвойс Приложение                     KRW],"",0,1)</f>
        <v>392000</v>
      </c>
      <c r="M97" s="24" cm="1">
        <f t="array" ref="M97">_xlfn.XLOOKUP($A97,ACT[[№]:[№]],ACT[Consolidation Work, Loading, Unloading/ Работы по консолидации, Погрузка, Разгрузка (Rate/Тариф - 8000 per CBM)                   KRW],"",0,1)</f>
        <v>183214.2</v>
      </c>
      <c r="N97" s="24" cm="1">
        <f t="array" ref="N97">_xlfn.XLOOKUP($A97,ACT[[№]:[№]],ACT[Shoring, Banding, Sealing, Handling/ Крепление, Перевязка, Опечатование, Обработка
KRW],"",0,1)</f>
        <v>63274.691358024669</v>
      </c>
      <c r="O97" s="24" cm="1">
        <f t="array" ref="O97">_xlfn.XLOOKUP($A97,ACT[[№]:[№]],ACT[Documents Work/ Сбор за подготовку документов
KRW],"",0,1)</f>
        <v>16324.739772452189</v>
      </c>
      <c r="P97" s="24" cm="1">
        <f t="array" ref="P97">_xlfn.XLOOKUP($A97,ACT[[№]:[№]],ACT[THC/ Терминальная обработка
KRW],"",0,1)</f>
        <v>60532.135076252714</v>
      </c>
      <c r="Q97" s="24" cm="1">
        <f t="array" ref="Q97">_xlfn.XLOOKUP($A97,ACT[[№]:[№]],ACT[Wharfage/ Портовая пошлина
KRW],"",0,1)</f>
        <v>2971.1026385862983</v>
      </c>
      <c r="R97" s="24" cm="1">
        <f t="array" ref="R97">_xlfn.XLOOKUP($A97,ACT[[№]:[№]],ACT[TRUCKING CHARGE],"",0,1)</f>
        <v>0</v>
      </c>
      <c r="S97" s="24" cm="1">
        <f t="array" ref="S97">_xlfn.XLOOKUP($A97,ACT[[№]:[№]],ACT[FCL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91581.790123456769</v>
      </c>
      <c r="T97" s="24" cm="1">
        <f t="array" ref="T97">_xlfn.XLOOKUP($A97,ACT[[№]:[№]],ACT[Special Wooden Shoring / Специальное деревянное крепление],"",0,1)</f>
        <v>0</v>
      </c>
      <c r="U97" s="9"/>
      <c r="V97" s="24" cm="1">
        <f t="array" ref="V97">_xlfn.XLOOKUP($A97,ACT[[№]:[№]],ACT[Total amount/ Общая стоимость KRW (10+11+12+13+14+15+16)],"",0,1)</f>
        <v>809898.65896877262</v>
      </c>
      <c r="W97" s="24" cm="1">
        <f t="array" ref="W97">_xlfn.XLOOKUP($A97,ACT[[№]:[№]],ACT[Total amount/ Общая стоимость (17*exchange rate/ обменный курс)
 USD],"",0,1)</f>
        <v>637.34</v>
      </c>
      <c r="X97" s="9" t="e" cm="1">
        <f t="array" ref="X97">IF(#REF!="",_xlfn.XLOOKUP("МАКС",#REF!,#REF!,,0,1),#REF!)</f>
        <v>#REF!</v>
      </c>
      <c r="Y97" s="12" t="e">
        <f>VLOOKUP(Шаблон_Формулы[[#This Row],[24]],#REF!,2,0)</f>
        <v>#REF!</v>
      </c>
      <c r="Z97" s="26" t="str">
        <f>IFERROR(Шаблон_Формулы[[#This Row],[23]]*Шаблон_Формулы[[#This Row],[25]],"")</f>
        <v/>
      </c>
      <c r="AA97" s="13" t="e" cm="1">
        <f t="array" ref="AA97">#REF!</f>
        <v>#REF!</v>
      </c>
    </row>
    <row r="98" spans="1:27" s="8" customFormat="1" ht="12">
      <c r="A98" s="11">
        <v>94</v>
      </c>
      <c r="B98" s="8" t="str" cm="1">
        <f t="array" ref="B98">_xlfn.XLOOKUP($A98,ACT[[№]:[№]],ACT[Container No/
№ Контейнера],"",0,1)</f>
        <v>CLHU9046724</v>
      </c>
      <c r="C98" s="8" t="str">
        <f t="shared" si="1"/>
        <v>UzAutoKorea</v>
      </c>
      <c r="D98" s="11" t="str" cm="1">
        <f t="array" ref="D98">_xlfn.XLOOKUP($A98,ACT[[№]:[№]],ACT[Container Type/ 
Тип контейнера],"",0,1)</f>
        <v>40'HC</v>
      </c>
      <c r="E98" s="21" cm="1">
        <f t="array" ref="E98">_xlfn.XLOOKUP($A98,ACT[[№]:[№]],ACT[Date of Dispatch/ 
Дата отгрузки],"",0,1)</f>
        <v>44965</v>
      </c>
      <c r="F98" s="22" t="str" cm="1">
        <f t="array" ref="F98">_xlfn.XLOOKUP($A98,ACT[[№]:[№]],ACT[Supplier/ Поставщик],"",0,1)</f>
        <v>ERAE AMS</v>
      </c>
      <c r="G98" s="22" t="str" cm="1">
        <f t="array" ref="G98">_xlfn.XLOOKUP($A98,ACT[[№]:[№]],ACT[Supplier Invoice No/                          № Инвойса Поставщика],"",0,1)</f>
        <v>DM231CH04(4)</v>
      </c>
      <c r="H98" s="23" cm="1">
        <f t="array" ref="H98">_xlfn.XLOOKUP($A98,ACT[[№]:[№]],ACT[CBM],"",0,1)</f>
        <v>21.58</v>
      </c>
      <c r="I98" s="23" cm="1">
        <f t="array" ref="I98">_xlfn.XLOOKUP($A98,ACT[[№]:[№]],ACT[Gross weight, kg/ Вес брутто, кг],"",0,1)</f>
        <v>6420</v>
      </c>
      <c r="J98" s="23" t="str" cm="1">
        <f t="array" ref="J98">_xlfn.XLOOKUP($A98,ACT[[№]:[№]],ACT[Delivery terms / Условия поставки],"",0,1)</f>
        <v>FCA</v>
      </c>
      <c r="K98" s="23" cm="1">
        <f t="array" ref="K98">_xlfn.XLOOKUP($A98,ACT[[№]:[№]],ACT[Container total CBM],"",0,1)</f>
        <v>66.096000000000004</v>
      </c>
      <c r="L98" s="24" cm="1">
        <f t="array" ref="L98">_xlfn.XLOOKUP($A98,ACT[[№]:[№]],ACT[FTL inland freight cost per Invoice Appendix/ Стоимость внутренней наземной перевозки за инвойс Приложение                     KRW],"",0,1)</f>
        <v>392000</v>
      </c>
      <c r="M98" s="24" cm="1">
        <f t="array" ref="M98">_xlfn.XLOOKUP($A98,ACT[[№]:[№]],ACT[Consolidation Work, Loading, Unloading/ Работы по консолидации, Погрузка, Разгрузка (Rate/Тариф - 8000 per CBM)                   KRW],"",0,1)</f>
        <v>183214.2</v>
      </c>
      <c r="N98" s="24" cm="1">
        <f t="array" ref="N98">_xlfn.XLOOKUP($A98,ACT[[№]:[№]],ACT[Shoring, Banding, Sealing, Handling/ Крепление, Перевязка, Опечатование, Обработка
KRW],"",0,1)</f>
        <v>63274.691358024669</v>
      </c>
      <c r="O98" s="24" cm="1">
        <f t="array" ref="O98">_xlfn.XLOOKUP($A98,ACT[[№]:[№]],ACT[Documents Work/ Сбор за подготовку документов
KRW],"",0,1)</f>
        <v>16324.739772452189</v>
      </c>
      <c r="P98" s="24" cm="1">
        <f t="array" ref="P98">_xlfn.XLOOKUP($A98,ACT[[№]:[№]],ACT[THC/ Терминальная обработка
KRW],"",0,1)</f>
        <v>60532.135076252714</v>
      </c>
      <c r="Q98" s="24" cm="1">
        <f t="array" ref="Q98">_xlfn.XLOOKUP($A98,ACT[[№]:[№]],ACT[Wharfage/ Портовая пошлина
KRW],"",0,1)</f>
        <v>2971.1026385862983</v>
      </c>
      <c r="R98" s="24" cm="1">
        <f t="array" ref="R98">_xlfn.XLOOKUP($A98,ACT[[№]:[№]],ACT[TRUCKING CHARGE],"",0,1)</f>
        <v>0</v>
      </c>
      <c r="S98" s="24" cm="1">
        <f t="array" ref="S98">_xlfn.XLOOKUP($A98,ACT[[№]:[№]],ACT[FCL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91581.790123456769</v>
      </c>
      <c r="T98" s="24" cm="1">
        <f t="array" ref="T98">_xlfn.XLOOKUP($A98,ACT[[№]:[№]],ACT[Special Wooden Shoring / Специальное деревянное крепление],"",0,1)</f>
        <v>0</v>
      </c>
      <c r="U98" s="9"/>
      <c r="V98" s="24" cm="1">
        <f t="array" ref="V98">_xlfn.XLOOKUP($A98,ACT[[№]:[№]],ACT[Total amount/ Общая стоимость KRW (10+11+12+13+14+15+16)],"",0,1)</f>
        <v>809898.65896877262</v>
      </c>
      <c r="W98" s="24" cm="1">
        <f t="array" ref="W98">_xlfn.XLOOKUP($A98,ACT[[№]:[№]],ACT[Total amount/ Общая стоимость (17*exchange rate/ обменный курс)
 USD],"",0,1)</f>
        <v>637.34</v>
      </c>
      <c r="X98" s="9" t="e" cm="1">
        <f t="array" ref="X98">IF(#REF!="",_xlfn.XLOOKUP("МАКС",#REF!,#REF!,,0,1),#REF!)</f>
        <v>#REF!</v>
      </c>
      <c r="Y98" s="12" t="e">
        <f>VLOOKUP(Шаблон_Формулы[[#This Row],[24]],#REF!,2,0)</f>
        <v>#REF!</v>
      </c>
      <c r="Z98" s="26" t="str">
        <f>IFERROR(Шаблон_Формулы[[#This Row],[23]]*Шаблон_Формулы[[#This Row],[25]],"")</f>
        <v/>
      </c>
      <c r="AA98" s="13" t="e" cm="1">
        <f t="array" ref="AA98">#REF!</f>
        <v>#REF!</v>
      </c>
    </row>
    <row r="99" spans="1:27" s="8" customFormat="1" ht="12">
      <c r="A99" s="11">
        <v>95</v>
      </c>
      <c r="B99" s="8" t="str" cm="1">
        <f t="array" ref="B99">_xlfn.XLOOKUP($A99,ACT[[№]:[№]],ACT[Container No/
№ Контейнера],"",0,1)</f>
        <v>TGHU8903005</v>
      </c>
      <c r="C99" s="8" t="str">
        <f t="shared" si="1"/>
        <v>UzAutoKorea</v>
      </c>
      <c r="D99" s="11" t="str" cm="1">
        <f t="array" ref="D99">_xlfn.XLOOKUP($A99,ACT[[№]:[№]],ACT[Container Type/ 
Тип контейнера],"",0,1)</f>
        <v>40'HC</v>
      </c>
      <c r="E99" s="21" cm="1">
        <f t="array" ref="E99">_xlfn.XLOOKUP($A99,ACT[[№]:[№]],ACT[Date of Dispatch/ 
Дата отгрузки],"",0,1)</f>
        <v>44965</v>
      </c>
      <c r="F99" s="22" t="str" cm="1">
        <f t="array" ref="F99">_xlfn.XLOOKUP($A99,ACT[[№]:[№]],ACT[Supplier/ Поставщик],"",0,1)</f>
        <v>ERAE AMS</v>
      </c>
      <c r="G99" s="22" t="str" cm="1">
        <f t="array" ref="G99">_xlfn.XLOOKUP($A99,ACT[[№]:[№]],ACT[Supplier Invoice No/                          № Инвойса Поставщика],"",0,1)</f>
        <v>DM231CH04(5)</v>
      </c>
      <c r="H99" s="23" cm="1">
        <f t="array" ref="H99">_xlfn.XLOOKUP($A99,ACT[[№]:[№]],ACT[CBM],"",0,1)</f>
        <v>31.285</v>
      </c>
      <c r="I99" s="23" cm="1">
        <f t="array" ref="I99">_xlfn.XLOOKUP($A99,ACT[[№]:[№]],ACT[Gross weight, kg/ Вес брутто, кг],"",0,1)</f>
        <v>5278</v>
      </c>
      <c r="J99" s="23" t="str" cm="1">
        <f t="array" ref="J99">_xlfn.XLOOKUP($A99,ACT[[№]:[№]],ACT[Delivery terms / Условия поставки],"",0,1)</f>
        <v>FCA</v>
      </c>
      <c r="K99" s="23" cm="1">
        <f t="array" ref="K99">_xlfn.XLOOKUP($A99,ACT[[№]:[№]],ACT[Container total CBM],"",0,1)</f>
        <v>64.275999999999996</v>
      </c>
      <c r="L99" s="24" cm="1">
        <f t="array" ref="L99">_xlfn.XLOOKUP($A99,ACT[[№]:[№]],ACT[FTL inland freight cost per Invoice Appendix/ Стоимость внутренней наземной перевозки за инвойс Приложение                     KRW],"",0,1)</f>
        <v>392000</v>
      </c>
      <c r="M99" s="24" cm="1">
        <f t="array" ref="M99">_xlfn.XLOOKUP($A99,ACT[[№]:[№]],ACT[Consolidation Work, Loading, Unloading/ Работы по консолидации, Погрузка, Разгрузка (Rate/Тариф - 8000 per CBM)                   KRW],"",0,1)</f>
        <v>265609.65000000002</v>
      </c>
      <c r="N99" s="24" cm="1">
        <f t="array" ref="N99">_xlfn.XLOOKUP($A99,ACT[[№]:[№]],ACT[Shoring, Banding, Sealing, Handling/ Крепление, Перевязка, Опечатование, Обработка
KRW],"",0,1)</f>
        <v>94328.100690771054</v>
      </c>
      <c r="O99" s="24" cm="1">
        <f t="array" ref="O99">_xlfn.XLOOKUP($A99,ACT[[№]:[№]],ACT[Documents Work/ Сбор за подготовку документов
KRW],"",0,1)</f>
        <v>24336.455286576642</v>
      </c>
      <c r="P99" s="24" cm="1">
        <f t="array" ref="P99">_xlfn.XLOOKUP($A99,ACT[[№]:[№]],ACT[THC/ Терминальная обработка
KRW],"",0,1)</f>
        <v>90239.57620262618</v>
      </c>
      <c r="Q99" s="24" cm="1">
        <f t="array" ref="Q99">_xlfn.XLOOKUP($A99,ACT[[№]:[№]],ACT[Wharfage/ Портовая пошлина
KRW],"",0,1)</f>
        <v>4429.2348621569481</v>
      </c>
      <c r="R99" s="24" cm="1">
        <f t="array" ref="R99">_xlfn.XLOOKUP($A99,ACT[[№]:[№]],ACT[TRUCKING CHARGE],"",0,1)</f>
        <v>0</v>
      </c>
      <c r="S99" s="24" cm="1">
        <f t="array" ref="S99">_xlfn.XLOOKUP($A99,ACT[[№]:[№]],ACT[FCL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136527.51415769494</v>
      </c>
      <c r="T99" s="24" cm="1">
        <f t="array" ref="T99">_xlfn.XLOOKUP($A99,ACT[[№]:[№]],ACT[Special Wooden Shoring / Специальное деревянное крепление],"",0,1)</f>
        <v>0</v>
      </c>
      <c r="U99" s="9"/>
      <c r="V99" s="24" cm="1">
        <f t="array" ref="V99">_xlfn.XLOOKUP($A99,ACT[[№]:[№]],ACT[Total amount/ Общая стоимость KRW (10+11+12+13+14+15+16)],"",0,1)</f>
        <v>1007470.5311998256</v>
      </c>
      <c r="W99" s="24" cm="1">
        <f t="array" ref="W99">_xlfn.XLOOKUP($A99,ACT[[№]:[№]],ACT[Total amount/ Общая стоимость (17*exchange rate/ обменный курс)
 USD],"",0,1)</f>
        <v>792.82</v>
      </c>
      <c r="X99" s="9" t="e" cm="1">
        <f t="array" ref="X99">IF(#REF!="",_xlfn.XLOOKUP("МАКС",#REF!,#REF!,,0,1),#REF!)</f>
        <v>#REF!</v>
      </c>
      <c r="Y99" s="12" t="e">
        <f>VLOOKUP(Шаблон_Формулы[[#This Row],[24]],#REF!,2,0)</f>
        <v>#REF!</v>
      </c>
      <c r="Z99" s="26" t="str">
        <f>IFERROR(Шаблон_Формулы[[#This Row],[23]]*Шаблон_Формулы[[#This Row],[25]],"")</f>
        <v/>
      </c>
      <c r="AA99" s="13" t="e" cm="1">
        <f t="array" ref="AA99">#REF!</f>
        <v>#REF!</v>
      </c>
    </row>
    <row r="100" spans="1:27" s="8" customFormat="1" ht="12">
      <c r="A100" s="11">
        <v>96</v>
      </c>
      <c r="B100" s="8" t="str" cm="1">
        <f t="array" ref="B100">_xlfn.XLOOKUP($A100,ACT[[№]:[№]],ACT[Container No/
№ Контейнера],"",0,1)</f>
        <v>TGHU8903005</v>
      </c>
      <c r="C100" s="8" t="str">
        <f t="shared" si="1"/>
        <v>UzAutoKorea</v>
      </c>
      <c r="D100" s="11" t="str" cm="1">
        <f t="array" ref="D100">_xlfn.XLOOKUP($A100,ACT[[№]:[№]],ACT[Container Type/ 
Тип контейнера],"",0,1)</f>
        <v>40'HC</v>
      </c>
      <c r="E100" s="21" cm="1">
        <f t="array" ref="E100">_xlfn.XLOOKUP($A100,ACT[[№]:[№]],ACT[Date of Dispatch/ 
Дата отгрузки],"",0,1)</f>
        <v>44965</v>
      </c>
      <c r="F100" s="22" t="str" cm="1">
        <f t="array" ref="F100">_xlfn.XLOOKUP($A100,ACT[[№]:[№]],ACT[Supplier/ Поставщик],"",0,1)</f>
        <v>ERAE AMS</v>
      </c>
      <c r="G100" s="22" t="str" cm="1">
        <f t="array" ref="G100">_xlfn.XLOOKUP($A100,ACT[[№]:[№]],ACT[Supplier Invoice No/                          № Инвойса Поставщика],"",0,1)</f>
        <v>DM231CH04(6)</v>
      </c>
      <c r="H100" s="23" cm="1">
        <f t="array" ref="H100">_xlfn.XLOOKUP($A100,ACT[[№]:[№]],ACT[CBM],"",0,1)</f>
        <v>31.285</v>
      </c>
      <c r="I100" s="23" cm="1">
        <f t="array" ref="I100">_xlfn.XLOOKUP($A100,ACT[[№]:[№]],ACT[Gross weight, kg/ Вес брутто, кг],"",0,1)</f>
        <v>5278</v>
      </c>
      <c r="J100" s="23" t="str" cm="1">
        <f t="array" ref="J100">_xlfn.XLOOKUP($A100,ACT[[№]:[№]],ACT[Delivery terms / Условия поставки],"",0,1)</f>
        <v>FCA</v>
      </c>
      <c r="K100" s="23" cm="1">
        <f t="array" ref="K100">_xlfn.XLOOKUP($A100,ACT[[№]:[№]],ACT[Container total CBM],"",0,1)</f>
        <v>64.275999999999996</v>
      </c>
      <c r="L100" s="24" cm="1">
        <f t="array" ref="L100">_xlfn.XLOOKUP($A100,ACT[[№]:[№]],ACT[FTL inland freight cost per Invoice Appendix/ Стоимость внутренней наземной перевозки за инвойс Приложение                     KRW],"",0,1)</f>
        <v>392000</v>
      </c>
      <c r="M100" s="24" cm="1">
        <f t="array" ref="M100">_xlfn.XLOOKUP($A100,ACT[[№]:[№]],ACT[Consolidation Work, Loading, Unloading/ Работы по консолидации, Погрузка, Разгрузка (Rate/Тариф - 8000 per CBM)                   KRW],"",0,1)</f>
        <v>265609.65000000002</v>
      </c>
      <c r="N100" s="24" cm="1">
        <f t="array" ref="N100">_xlfn.XLOOKUP($A100,ACT[[№]:[№]],ACT[Shoring, Banding, Sealing, Handling/ Крепление, Перевязка, Опечатование, Обработка
KRW],"",0,1)</f>
        <v>94328.100690771054</v>
      </c>
      <c r="O100" s="24" cm="1">
        <f t="array" ref="O100">_xlfn.XLOOKUP($A100,ACT[[№]:[№]],ACT[Documents Work/ Сбор за подготовку документов
KRW],"",0,1)</f>
        <v>24336.455286576642</v>
      </c>
      <c r="P100" s="24" cm="1">
        <f t="array" ref="P100">_xlfn.XLOOKUP($A100,ACT[[№]:[№]],ACT[THC/ Терминальная обработка
KRW],"",0,1)</f>
        <v>90239.57620262618</v>
      </c>
      <c r="Q100" s="24" cm="1">
        <f t="array" ref="Q100">_xlfn.XLOOKUP($A100,ACT[[№]:[№]],ACT[Wharfage/ Портовая пошлина
KRW],"",0,1)</f>
        <v>4429.2348621569481</v>
      </c>
      <c r="R100" s="24" cm="1">
        <f t="array" ref="R100">_xlfn.XLOOKUP($A100,ACT[[№]:[№]],ACT[TRUCKING CHARGE],"",0,1)</f>
        <v>0</v>
      </c>
      <c r="S100" s="24" cm="1">
        <f t="array" ref="S100">_xlfn.XLOOKUP($A100,ACT[[№]:[№]],ACT[FCL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136527.51415769494</v>
      </c>
      <c r="T100" s="24" cm="1">
        <f t="array" ref="T100">_xlfn.XLOOKUP($A100,ACT[[№]:[№]],ACT[Special Wooden Shoring / Специальное деревянное крепление],"",0,1)</f>
        <v>0</v>
      </c>
      <c r="U100" s="9"/>
      <c r="V100" s="24" cm="1">
        <f t="array" ref="V100">_xlfn.XLOOKUP($A100,ACT[[№]:[№]],ACT[Total amount/ Общая стоимость KRW (10+11+12+13+14+15+16)],"",0,1)</f>
        <v>1007470.5311998256</v>
      </c>
      <c r="W100" s="24" cm="1">
        <f t="array" ref="W100">_xlfn.XLOOKUP($A100,ACT[[№]:[№]],ACT[Total amount/ Общая стоимость (17*exchange rate/ обменный курс)
 USD],"",0,1)</f>
        <v>792.82</v>
      </c>
      <c r="X100" s="9" t="e" cm="1">
        <f t="array" ref="X100">IF(#REF!="",_xlfn.XLOOKUP("МАКС",#REF!,#REF!,,0,1),#REF!)</f>
        <v>#REF!</v>
      </c>
      <c r="Y100" s="12" t="e">
        <f>VLOOKUP(Шаблон_Формулы[[#This Row],[24]],#REF!,2,0)</f>
        <v>#REF!</v>
      </c>
      <c r="Z100" s="26" t="str">
        <f>IFERROR(Шаблон_Формулы[[#This Row],[23]]*Шаблон_Формулы[[#This Row],[25]],"")</f>
        <v/>
      </c>
      <c r="AA100" s="13" t="e" cm="1">
        <f t="array" ref="AA100">#REF!</f>
        <v>#REF!</v>
      </c>
    </row>
    <row r="101" spans="1:27" s="8" customFormat="1" ht="12">
      <c r="A101" s="11">
        <v>97</v>
      </c>
      <c r="B101" s="8" t="str" cm="1">
        <f t="array" ref="B101">_xlfn.XLOOKUP($A101,ACT[[№]:[№]],ACT[Container No/
№ Контейнера],"",0,1)</f>
        <v>TGHU8903005</v>
      </c>
      <c r="C101" s="8" t="str">
        <f t="shared" si="1"/>
        <v>UzAutoKorea</v>
      </c>
      <c r="D101" s="11" t="str" cm="1">
        <f t="array" ref="D101">_xlfn.XLOOKUP($A101,ACT[[№]:[№]],ACT[Container Type/ 
Тип контейнера],"",0,1)</f>
        <v>40'HC</v>
      </c>
      <c r="E101" s="21" cm="1">
        <f t="array" ref="E101">_xlfn.XLOOKUP($A101,ACT[[№]:[№]],ACT[Date of Dispatch/ 
Дата отгрузки],"",0,1)</f>
        <v>44965</v>
      </c>
      <c r="F101" s="22" t="str" cm="1">
        <f t="array" ref="F101">_xlfn.XLOOKUP($A101,ACT[[№]:[№]],ACT[Supplier/ Поставщик],"",0,1)</f>
        <v>ERAE AMS</v>
      </c>
      <c r="G101" s="22" t="str" cm="1">
        <f t="array" ref="G101">_xlfn.XLOOKUP($A101,ACT[[№]:[№]],ACT[Supplier Invoice No/                          № Инвойса Поставщика],"",0,1)</f>
        <v>DM231CH05(7)</v>
      </c>
      <c r="H101" s="23" cm="1">
        <f t="array" ref="H101">_xlfn.XLOOKUP($A101,ACT[[№]:[№]],ACT[CBM],"",0,1)</f>
        <v>0.627</v>
      </c>
      <c r="I101" s="23" cm="1">
        <f t="array" ref="I101">_xlfn.XLOOKUP($A101,ACT[[№]:[№]],ACT[Gross weight, kg/ Вес брутто, кг],"",0,1)</f>
        <v>46.5</v>
      </c>
      <c r="J101" s="23" t="str" cm="1">
        <f t="array" ref="J101">_xlfn.XLOOKUP($A101,ACT[[№]:[№]],ACT[Delivery terms / Условия поставки],"",0,1)</f>
        <v>FCA</v>
      </c>
      <c r="K101" s="23" cm="1">
        <f t="array" ref="K101">_xlfn.XLOOKUP($A101,ACT[[№]:[№]],ACT[Container total CBM],"",0,1)</f>
        <v>64.275999999999996</v>
      </c>
      <c r="L101" s="24" cm="1">
        <f t="array" ref="L101">_xlfn.XLOOKUP($A101,ACT[[№]:[№]],ACT[FTL inland freight cost per Invoice Appendix/ Стоимость внутренней наземной перевозки за инвойс Приложение                     KRW],"",0,1)</f>
        <v>232000</v>
      </c>
      <c r="M101" s="24" cm="1">
        <f t="array" ref="M101">_xlfn.XLOOKUP($A101,ACT[[№]:[№]],ACT[Consolidation Work, Loading, Unloading/ Работы по консолидации, Погрузка, Разгрузка (Rate/Тариф - 8000 per CBM)                   KRW],"",0,1)</f>
        <v>5323.23</v>
      </c>
      <c r="N101" s="24" cm="1">
        <f t="array" ref="N101">_xlfn.XLOOKUP($A101,ACT[[№]:[№]],ACT[Shoring, Banding, Sealing, Handling/ Крепление, Перевязка, Опечатование, Обработка
KRW],"",0,1)</f>
        <v>1890.4816727861096</v>
      </c>
      <c r="O101" s="24" cm="1">
        <f t="array" ref="O101">_xlfn.XLOOKUP($A101,ACT[[№]:[№]],ACT[Documents Work/ Сбор за подготовку документов
KRW],"",0,1)</f>
        <v>487.74036965585901</v>
      </c>
      <c r="P101" s="24" cm="1">
        <f t="array" ref="P101">_xlfn.XLOOKUP($A101,ACT[[№]:[№]],ACT[THC/ Терминальная обработка
KRW],"",0,1)</f>
        <v>1808.5412906839256</v>
      </c>
      <c r="Q101" s="24" cm="1">
        <f t="array" ref="Q101">_xlfn.XLOOKUP($A101,ACT[[№]:[№]],ACT[Wharfage/ Портовая пошлина
KRW],"",0,1)</f>
        <v>88.768747277366359</v>
      </c>
      <c r="R101" s="24" cm="1">
        <f t="array" ref="R101">_xlfn.XLOOKUP($A101,ACT[[№]:[№]],ACT[TRUCKING CHARGE],"",0,1)</f>
        <v>0</v>
      </c>
      <c r="S101" s="24" cm="1">
        <f t="array" ref="S101">_xlfn.XLOOKUP($A101,ACT[[№]:[№]],ACT[FCL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2736.2234737693693</v>
      </c>
      <c r="T101" s="24" cm="1">
        <f t="array" ref="T101">_xlfn.XLOOKUP($A101,ACT[[№]:[№]],ACT[Special Wooden Shoring / Специальное деревянное крепление],"",0,1)</f>
        <v>0</v>
      </c>
      <c r="U101" s="9"/>
      <c r="V101" s="24" cm="1">
        <f t="array" ref="V101">_xlfn.XLOOKUP($A101,ACT[[№]:[№]],ACT[Total amount/ Общая стоимость KRW (10+11+12+13+14+15+16)],"",0,1)</f>
        <v>244334.98555417263</v>
      </c>
      <c r="W101" s="24" cm="1">
        <f t="array" ref="W101">_xlfn.XLOOKUP($A101,ACT[[№]:[№]],ACT[Total amount/ Общая стоимость (17*exchange rate/ обменный курс)
 USD],"",0,1)</f>
        <v>192.28</v>
      </c>
      <c r="X101" s="9" t="e" cm="1">
        <f t="array" ref="X101">IF(#REF!="",_xlfn.XLOOKUP("МАКС",#REF!,#REF!,,0,1),#REF!)</f>
        <v>#REF!</v>
      </c>
      <c r="Y101" s="12" t="e">
        <f>VLOOKUP(Шаблон_Формулы[[#This Row],[24]],#REF!,2,0)</f>
        <v>#REF!</v>
      </c>
      <c r="Z101" s="26" t="str">
        <f>IFERROR(Шаблон_Формулы[[#This Row],[23]]*Шаблон_Формулы[[#This Row],[25]],"")</f>
        <v/>
      </c>
      <c r="AA101" s="13" t="e" cm="1">
        <f t="array" ref="AA101">#REF!</f>
        <v>#REF!</v>
      </c>
    </row>
    <row r="102" spans="1:27" s="8" customFormat="1" ht="12">
      <c r="A102" s="11">
        <v>98</v>
      </c>
      <c r="B102" s="8" t="str" cm="1">
        <f t="array" ref="B102">_xlfn.XLOOKUP($A102,ACT[[№]:[№]],ACT[Container No/
№ Контейнера],"",0,1)</f>
        <v>TGHU8903005</v>
      </c>
      <c r="C102" s="8" t="str">
        <f t="shared" si="1"/>
        <v>UzAutoKorea</v>
      </c>
      <c r="D102" s="11" t="str" cm="1">
        <f t="array" ref="D102">_xlfn.XLOOKUP($A102,ACT[[№]:[№]],ACT[Container Type/ 
Тип контейнера],"",0,1)</f>
        <v>40'HC</v>
      </c>
      <c r="E102" s="21" cm="1">
        <f t="array" ref="E102">_xlfn.XLOOKUP($A102,ACT[[№]:[№]],ACT[Date of Dispatch/ 
Дата отгрузки],"",0,1)</f>
        <v>44965</v>
      </c>
      <c r="F102" s="22" t="str" cm="1">
        <f t="array" ref="F102">_xlfn.XLOOKUP($A102,ACT[[№]:[№]],ACT[Supplier/ Поставщик],"",0,1)</f>
        <v>ERAE AMS</v>
      </c>
      <c r="G102" s="22" t="str" cm="1">
        <f t="array" ref="G102">_xlfn.XLOOKUP($A102,ACT[[№]:[№]],ACT[Supplier Invoice No/                          № Инвойса Поставщика],"",0,1)</f>
        <v>DM231CH05(8)</v>
      </c>
      <c r="H102" s="23" cm="1">
        <f t="array" ref="H102">_xlfn.XLOOKUP($A102,ACT[[№]:[№]],ACT[CBM],"",0,1)</f>
        <v>1.079</v>
      </c>
      <c r="I102" s="23" cm="1">
        <f t="array" ref="I102">_xlfn.XLOOKUP($A102,ACT[[№]:[№]],ACT[Gross weight, kg/ Вес брутто, кг],"",0,1)</f>
        <v>84.88</v>
      </c>
      <c r="J102" s="23" t="str" cm="1">
        <f t="array" ref="J102">_xlfn.XLOOKUP($A102,ACT[[№]:[№]],ACT[Delivery terms / Условия поставки],"",0,1)</f>
        <v>FCA</v>
      </c>
      <c r="K102" s="23" cm="1">
        <f t="array" ref="K102">_xlfn.XLOOKUP($A102,ACT[[№]:[№]],ACT[Container total CBM],"",0,1)</f>
        <v>64.275999999999996</v>
      </c>
      <c r="L102" s="24" cm="1">
        <f t="array" ref="L102">_xlfn.XLOOKUP($A102,ACT[[№]:[№]],ACT[FTL inland freight cost per Invoice Appendix/ Стоимость внутренней наземной перевозки за инвойс Приложение                     KRW],"",0,1)</f>
        <v>232000</v>
      </c>
      <c r="M102" s="24" cm="1">
        <f t="array" ref="M102">_xlfn.XLOOKUP($A102,ACT[[№]:[№]],ACT[Consolidation Work, Loading, Unloading/ Работы по консолидации, Погрузка, Разгрузка (Rate/Тариф - 8000 per CBM)                   KRW],"",0,1)</f>
        <v>9160.7099999999991</v>
      </c>
      <c r="N102" s="24" cm="1">
        <f t="array" ref="N102">_xlfn.XLOOKUP($A102,ACT[[№]:[№]],ACT[Shoring, Banding, Sealing, Handling/ Крепление, Перевязка, Опечатование, Обработка
KRW],"",0,1)</f>
        <v>3253.3169456717901</v>
      </c>
      <c r="O102" s="24" cm="1">
        <f t="array" ref="O102">_xlfn.XLOOKUP($A102,ACT[[№]:[№]],ACT[Documents Work/ Сбор за подготовку документов
KRW],"",0,1)</f>
        <v>839.34905719086453</v>
      </c>
      <c r="P102" s="24" cm="1">
        <f t="array" ref="P102">_xlfn.XLOOKUP($A102,ACT[[№]:[№]],ACT[THC/ Терминальная обработка
KRW],"",0,1)</f>
        <v>3112.3063040637253</v>
      </c>
      <c r="Q102" s="24" cm="1">
        <f t="array" ref="Q102">_xlfn.XLOOKUP($A102,ACT[[№]:[№]],ACT[Wharfage/ Портовая пошлина
KRW],"",0,1)</f>
        <v>152.76152840873732</v>
      </c>
      <c r="R102" s="24" cm="1">
        <f t="array" ref="R102">_xlfn.XLOOKUP($A102,ACT[[№]:[№]],ACT[TRUCKING CHARGE],"",0,1)</f>
        <v>0</v>
      </c>
      <c r="S102" s="24" cm="1">
        <f t="array" ref="S102">_xlfn.XLOOKUP($A102,ACT[[№]:[№]],ACT[FCL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4708.7482108407494</v>
      </c>
      <c r="T102" s="24" cm="1">
        <f t="array" ref="T102">_xlfn.XLOOKUP($A102,ACT[[№]:[№]],ACT[Special Wooden Shoring / Специальное деревянное крепление],"",0,1)</f>
        <v>0</v>
      </c>
      <c r="U102" s="9"/>
      <c r="V102" s="24" cm="1">
        <f t="array" ref="V102">_xlfn.XLOOKUP($A102,ACT[[№]:[№]],ACT[Total amount/ Общая стоимость KRW (10+11+12+13+14+15+16)],"",0,1)</f>
        <v>253227.19204617589</v>
      </c>
      <c r="W102" s="24" cm="1">
        <f t="array" ref="W102">_xlfn.XLOOKUP($A102,ACT[[№]:[№]],ACT[Total amount/ Общая стоимость (17*exchange rate/ обменный курс)
 USD],"",0,1)</f>
        <v>199.28</v>
      </c>
      <c r="X102" s="9" t="e" cm="1">
        <f t="array" ref="X102">IF(#REF!="",_xlfn.XLOOKUP("МАКС",#REF!,#REF!,,0,1),#REF!)</f>
        <v>#REF!</v>
      </c>
      <c r="Y102" s="12" t="e">
        <f>VLOOKUP(Шаблон_Формулы[[#This Row],[24]],#REF!,2,0)</f>
        <v>#REF!</v>
      </c>
      <c r="Z102" s="26" t="str">
        <f>IFERROR(Шаблон_Формулы[[#This Row],[23]]*Шаблон_Формулы[[#This Row],[25]],"")</f>
        <v/>
      </c>
      <c r="AA102" s="13" t="e" cm="1">
        <f t="array" ref="AA102">#REF!</f>
        <v>#REF!</v>
      </c>
    </row>
    <row r="103" spans="1:27" s="8" customFormat="1" ht="12">
      <c r="A103" s="11">
        <v>99</v>
      </c>
      <c r="B103" s="8" t="str" cm="1">
        <f t="array" ref="B103">_xlfn.XLOOKUP($A103,ACT[[№]:[№]],ACT[Container No/
№ Контейнера],"",0,1)</f>
        <v>HDMU6744505</v>
      </c>
      <c r="C103" s="8" t="str">
        <f t="shared" si="1"/>
        <v>UzAutoKorea</v>
      </c>
      <c r="D103" s="11" t="str" cm="1">
        <f t="array" ref="D103">_xlfn.XLOOKUP($A103,ACT[[№]:[№]],ACT[Container Type/ 
Тип контейнера],"",0,1)</f>
        <v>40'HC</v>
      </c>
      <c r="E103" s="21" cm="1">
        <f t="array" ref="E103">_xlfn.XLOOKUP($A103,ACT[[№]:[№]],ACT[Date of Dispatch/ 
Дата отгрузки],"",0,1)</f>
        <v>44965</v>
      </c>
      <c r="F103" s="22" t="str" cm="1">
        <f t="array" ref="F103">_xlfn.XLOOKUP($A103,ACT[[№]:[№]],ACT[Supplier/ Поставщик],"",0,1)</f>
        <v>ERAE AMS</v>
      </c>
      <c r="G103" s="22" t="str" cm="1">
        <f t="array" ref="G103">_xlfn.XLOOKUP($A103,ACT[[№]:[№]],ACT[Supplier Invoice No/                          № Инвойса Поставщика],"",0,1)</f>
        <v>DM231CH05(9)</v>
      </c>
      <c r="H103" s="23" cm="1">
        <f t="array" ref="H103">_xlfn.XLOOKUP($A103,ACT[[№]:[№]],ACT[CBM],"",0,1)</f>
        <v>28.86</v>
      </c>
      <c r="I103" s="23" cm="1">
        <f t="array" ref="I103">_xlfn.XLOOKUP($A103,ACT[[№]:[№]],ACT[Gross weight, kg/ Вес брутто, кг],"",0,1)</f>
        <v>3732</v>
      </c>
      <c r="J103" s="23" t="str" cm="1">
        <f t="array" ref="J103">_xlfn.XLOOKUP($A103,ACT[[№]:[№]],ACT[Delivery terms / Условия поставки],"",0,1)</f>
        <v>FCA</v>
      </c>
      <c r="K103" s="23" cm="1">
        <f t="array" ref="K103">_xlfn.XLOOKUP($A103,ACT[[№]:[№]],ACT[Container total CBM],"",0,1)</f>
        <v>61.23</v>
      </c>
      <c r="L103" s="24" cm="1">
        <f t="array" ref="L103">_xlfn.XLOOKUP($A103,ACT[[№]:[№]],ACT[FTL inland freight cost per Invoice Appendix/ Стоимость внутренней наземной перевозки за инвойс Приложение                     KRW],"",0,1)</f>
        <v>392000</v>
      </c>
      <c r="M103" s="24" cm="1">
        <f t="array" ref="M103">_xlfn.XLOOKUP($A103,ACT[[№]:[№]],ACT[Consolidation Work, Loading, Unloading/ Работы по консолидации, Погрузка, Разгрузка (Rate/Тариф - 8000 per CBM)                   KRW],"",0,1)</f>
        <v>245021.4</v>
      </c>
      <c r="N103" s="24" cm="1">
        <f t="array" ref="N103">_xlfn.XLOOKUP($A103,ACT[[№]:[№]],ACT[Shoring, Banding, Sealing, Handling/ Крепление, Перевязка, Опечатование, Обработка
KRW],"",0,1)</f>
        <v>91345.222929936324</v>
      </c>
      <c r="O103" s="24" cm="1">
        <f t="array" ref="O103">_xlfn.XLOOKUP($A103,ACT[[№]:[№]],ACT[Documents Work/ Сбор за подготовку документов
KRW],"",0,1)</f>
        <v>23566.878980891721</v>
      </c>
      <c r="P103" s="24" cm="1">
        <f t="array" ref="P103">_xlfn.XLOOKUP($A103,ACT[[№]:[№]],ACT[THC/ Терминальная обработка
KRW],"",0,1)</f>
        <v>87385.987261146496</v>
      </c>
      <c r="Q103" s="24" cm="1">
        <f t="array" ref="Q103">_xlfn.XLOOKUP($A103,ACT[[№]:[№]],ACT[Wharfage/ Портовая пошлина
KRW],"",0,1)</f>
        <v>4289.1719745222927</v>
      </c>
      <c r="R103" s="24" cm="1">
        <f t="array" ref="R103">_xlfn.XLOOKUP($A103,ACT[[№]:[№]],ACT[TRUCKING CHARGE],"",0,1)</f>
        <v>0</v>
      </c>
      <c r="S103" s="24" cm="1">
        <f t="array" ref="S103">_xlfn.XLOOKUP($A103,ACT[[№]:[№]],ACT[FCL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132210.19108280254</v>
      </c>
      <c r="T103" s="24" cm="1">
        <f t="array" ref="T103">_xlfn.XLOOKUP($A103,ACT[[№]:[№]],ACT[Special Wooden Shoring / Специальное деревянное крепление],"",0,1)</f>
        <v>0</v>
      </c>
      <c r="U103" s="9"/>
      <c r="V103" s="24" cm="1">
        <f t="array" ref="V103">_xlfn.XLOOKUP($A103,ACT[[№]:[№]],ACT[Total amount/ Общая стоимость KRW (10+11+12+13+14+15+16)],"",0,1)</f>
        <v>975818.85222929949</v>
      </c>
      <c r="W103" s="24" cm="1">
        <f t="array" ref="W103">_xlfn.XLOOKUP($A103,ACT[[№]:[№]],ACT[Total amount/ Общая стоимость (17*exchange rate/ обменный курс)
 USD],"",0,1)</f>
        <v>767.91</v>
      </c>
      <c r="X103" s="9" t="e" cm="1">
        <f t="array" ref="X103">IF(#REF!="",_xlfn.XLOOKUP("МАКС",#REF!,#REF!,,0,1),#REF!)</f>
        <v>#REF!</v>
      </c>
      <c r="Y103" s="12" t="e">
        <f>VLOOKUP(Шаблон_Формулы[[#This Row],[24]],#REF!,2,0)</f>
        <v>#REF!</v>
      </c>
      <c r="Z103" s="26" t="str">
        <f>IFERROR(Шаблон_Формулы[[#This Row],[23]]*Шаблон_Формулы[[#This Row],[25]],"")</f>
        <v/>
      </c>
      <c r="AA103" s="13" t="e" cm="1">
        <f t="array" ref="AA103">#REF!</f>
        <v>#REF!</v>
      </c>
    </row>
    <row r="104" spans="1:27" s="8" customFormat="1" ht="12">
      <c r="A104" s="11">
        <v>100</v>
      </c>
      <c r="B104" s="8" t="str" cm="1">
        <f t="array" ref="B104">_xlfn.XLOOKUP($A104,ACT[[№]:[№]],ACT[Container No/
№ Контейнера],"",0,1)</f>
        <v>HDMU6744505</v>
      </c>
      <c r="C104" s="8" t="str">
        <f t="shared" si="1"/>
        <v>UzAutoKorea</v>
      </c>
      <c r="D104" s="11" t="str" cm="1">
        <f t="array" ref="D104">_xlfn.XLOOKUP($A104,ACT[[№]:[№]],ACT[Container Type/ 
Тип контейнера],"",0,1)</f>
        <v>40'HC</v>
      </c>
      <c r="E104" s="21" cm="1">
        <f t="array" ref="E104">_xlfn.XLOOKUP($A104,ACT[[№]:[№]],ACT[Date of Dispatch/ 
Дата отгрузки],"",0,1)</f>
        <v>44965</v>
      </c>
      <c r="F104" s="22" t="str" cm="1">
        <f t="array" ref="F104">_xlfn.XLOOKUP($A104,ACT[[№]:[№]],ACT[Supplier/ Поставщик],"",0,1)</f>
        <v>ERAE AMS</v>
      </c>
      <c r="G104" s="22" t="str" cm="1">
        <f t="array" ref="G104">_xlfn.XLOOKUP($A104,ACT[[№]:[№]],ACT[Supplier Invoice No/                          № Инвойса Поставщика],"",0,1)</f>
        <v>DM231CH05(10)</v>
      </c>
      <c r="H104" s="23" cm="1">
        <f t="array" ref="H104">_xlfn.XLOOKUP($A104,ACT[[№]:[№]],ACT[CBM],"",0,1)</f>
        <v>32.369999999999997</v>
      </c>
      <c r="I104" s="23" cm="1">
        <f t="array" ref="I104">_xlfn.XLOOKUP($A104,ACT[[№]:[№]],ACT[Gross weight, kg/ Вес брутто, кг],"",0,1)</f>
        <v>4030.2</v>
      </c>
      <c r="J104" s="23" t="str" cm="1">
        <f t="array" ref="J104">_xlfn.XLOOKUP($A104,ACT[[№]:[№]],ACT[Delivery terms / Условия поставки],"",0,1)</f>
        <v>FCA</v>
      </c>
      <c r="K104" s="23" cm="1">
        <f t="array" ref="K104">_xlfn.XLOOKUP($A104,ACT[[№]:[№]],ACT[Container total CBM],"",0,1)</f>
        <v>61.23</v>
      </c>
      <c r="L104" s="24" cm="1">
        <f t="array" ref="L104">_xlfn.XLOOKUP($A104,ACT[[№]:[№]],ACT[FTL inland freight cost per Invoice Appendix/ Стоимость внутренней наземной перевозки за инвойс Приложение                     KRW],"",0,1)</f>
        <v>392000</v>
      </c>
      <c r="M104" s="24" cm="1">
        <f t="array" ref="M104">_xlfn.XLOOKUP($A104,ACT[[№]:[№]],ACT[Consolidation Work, Loading, Unloading/ Работы по консолидации, Погрузка, Разгрузка (Rate/Тариф - 8000 per CBM)                   KRW],"",0,1)</f>
        <v>274821.3</v>
      </c>
      <c r="N104" s="24" cm="1">
        <f t="array" ref="N104">_xlfn.XLOOKUP($A104,ACT[[№]:[№]],ACT[Shoring, Banding, Sealing, Handling/ Крепление, Перевязка, Опечатование, Обработка
KRW],"",0,1)</f>
        <v>102454.77707006368</v>
      </c>
      <c r="O104" s="24" cm="1">
        <f t="array" ref="O104">_xlfn.XLOOKUP($A104,ACT[[№]:[№]],ACT[Documents Work/ Сбор за подготовку документов
KRW],"",0,1)</f>
        <v>26433.121019108279</v>
      </c>
      <c r="P104" s="24" cm="1">
        <f t="array" ref="P104">_xlfn.XLOOKUP($A104,ACT[[№]:[№]],ACT[THC/ Терминальная обработка
KRW],"",0,1)</f>
        <v>98014.012738853504</v>
      </c>
      <c r="Q104" s="24" cm="1">
        <f t="array" ref="Q104">_xlfn.XLOOKUP($A104,ACT[[№]:[№]],ACT[Wharfage/ Портовая пошлина
KRW],"",0,1)</f>
        <v>4810.8280254777073</v>
      </c>
      <c r="R104" s="24" cm="1">
        <f t="array" ref="R104">_xlfn.XLOOKUP($A104,ACT[[№]:[№]],ACT[TRUCKING CHARGE],"",0,1)</f>
        <v>0</v>
      </c>
      <c r="S104" s="24" cm="1">
        <f t="array" ref="S104">_xlfn.XLOOKUP($A104,ACT[[№]:[№]],ACT[FCL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148289.80891719746</v>
      </c>
      <c r="T104" s="24" cm="1">
        <f t="array" ref="T104">_xlfn.XLOOKUP($A104,ACT[[№]:[№]],ACT[Special Wooden Shoring / Специальное деревянное крепление],"",0,1)</f>
        <v>0</v>
      </c>
      <c r="U104" s="9"/>
      <c r="V104" s="24" cm="1">
        <f t="array" ref="V104">_xlfn.XLOOKUP($A104,ACT[[№]:[№]],ACT[Total amount/ Общая стоимость KRW (10+11+12+13+14+15+16)],"",0,1)</f>
        <v>1046823.8477707003</v>
      </c>
      <c r="W104" s="24" cm="1">
        <f t="array" ref="W104">_xlfn.XLOOKUP($A104,ACT[[№]:[№]],ACT[Total amount/ Общая стоимость (17*exchange rate/ обменный курс)
 USD],"",0,1)</f>
        <v>823.79</v>
      </c>
      <c r="X104" s="9" t="e" cm="1">
        <f t="array" ref="X104">IF(#REF!="",_xlfn.XLOOKUP("МАКС",#REF!,#REF!,,0,1),#REF!)</f>
        <v>#REF!</v>
      </c>
      <c r="Y104" s="12" t="e">
        <f>VLOOKUP(Шаблон_Формулы[[#This Row],[24]],#REF!,2,0)</f>
        <v>#REF!</v>
      </c>
      <c r="Z104" s="26" t="str">
        <f>IFERROR(Шаблон_Формулы[[#This Row],[23]]*Шаблон_Формулы[[#This Row],[25]],"")</f>
        <v/>
      </c>
      <c r="AA104" s="13" t="e" cm="1">
        <f t="array" ref="AA104">#REF!</f>
        <v>#REF!</v>
      </c>
    </row>
    <row r="105" spans="1:27" s="8" customFormat="1" ht="12">
      <c r="A105" s="11">
        <v>101</v>
      </c>
      <c r="B105" s="8" t="str" cm="1">
        <f t="array" ref="B105">_xlfn.XLOOKUP($A105,ACT[[№]:[№]],ACT[Container No/
№ Контейнера],"",0,1)</f>
        <v>TGHU8367875</v>
      </c>
      <c r="C105" s="8" t="str">
        <f t="shared" si="1"/>
        <v>UzAutoKorea</v>
      </c>
      <c r="D105" s="11" t="str" cm="1">
        <f t="array" ref="D105">_xlfn.XLOOKUP($A105,ACT[[№]:[№]],ACT[Container Type/ 
Тип контейнера],"",0,1)</f>
        <v>40'HC</v>
      </c>
      <c r="E105" s="21" cm="1">
        <f t="array" ref="E105">_xlfn.XLOOKUP($A105,ACT[[№]:[№]],ACT[Date of Dispatch/ 
Дата отгрузки],"",0,1)</f>
        <v>44965</v>
      </c>
      <c r="F105" s="22" t="str" cm="1">
        <f t="array" ref="F105">_xlfn.XLOOKUP($A105,ACT[[№]:[№]],ACT[Supplier/ Поставщик],"",0,1)</f>
        <v>ERAE AMS</v>
      </c>
      <c r="G105" s="22" t="str" cm="1">
        <f t="array" ref="G105">_xlfn.XLOOKUP($A105,ACT[[№]:[№]],ACT[Supplier Invoice No/                          № Инвойса Поставщика],"",0,1)</f>
        <v>DM231CH05(11)</v>
      </c>
      <c r="H105" s="23" cm="1">
        <f t="array" ref="H105">_xlfn.XLOOKUP($A105,ACT[[№]:[№]],ACT[CBM],"",0,1)</f>
        <v>28.86</v>
      </c>
      <c r="I105" s="23" cm="1">
        <f t="array" ref="I105">_xlfn.XLOOKUP($A105,ACT[[№]:[№]],ACT[Gross weight, kg/ Вес брутто, кг],"",0,1)</f>
        <v>3732</v>
      </c>
      <c r="J105" s="23" t="str" cm="1">
        <f t="array" ref="J105">_xlfn.XLOOKUP($A105,ACT[[№]:[№]],ACT[Delivery terms / Условия поставки],"",0,1)</f>
        <v>FCA</v>
      </c>
      <c r="K105" s="23" cm="1">
        <f t="array" ref="K105">_xlfn.XLOOKUP($A105,ACT[[№]:[№]],ACT[Container total CBM],"",0,1)</f>
        <v>61.222999999999999</v>
      </c>
      <c r="L105" s="24" cm="1">
        <f t="array" ref="L105">_xlfn.XLOOKUP($A105,ACT[[№]:[№]],ACT[FTL inland freight cost per Invoice Appendix/ Стоимость внутренней наземной перевозки за инвойс Приложение                     KRW],"",0,1)</f>
        <v>392000</v>
      </c>
      <c r="M105" s="24" cm="1">
        <f t="array" ref="M105">_xlfn.XLOOKUP($A105,ACT[[№]:[№]],ACT[Consolidation Work, Loading, Unloading/ Работы по консолидации, Погрузка, Разгрузка (Rate/Тариф - 8000 per CBM)                   KRW],"",0,1)</f>
        <v>245021.4</v>
      </c>
      <c r="N105" s="24" cm="1">
        <f t="array" ref="N105">_xlfn.XLOOKUP($A105,ACT[[№]:[№]],ACT[Shoring, Banding, Sealing, Handling/ Крепление, Перевязка, Опечатование, Обработка
KRW],"",0,1)</f>
        <v>91355.666987896708</v>
      </c>
      <c r="O105" s="24" cm="1">
        <f t="array" ref="O105">_xlfn.XLOOKUP($A105,ACT[[№]:[№]],ACT[Documents Work/ Сбор за подготовку документов
KRW],"",0,1)</f>
        <v>23569.573526289139</v>
      </c>
      <c r="P105" s="24" cm="1">
        <f t="array" ref="P105">_xlfn.XLOOKUP($A105,ACT[[№]:[№]],ACT[THC/ Терминальная обработка
KRW],"",0,1)</f>
        <v>87395.978635480133</v>
      </c>
      <c r="Q105" s="24" cm="1">
        <f t="array" ref="Q105">_xlfn.XLOOKUP($A105,ACT[[№]:[№]],ACT[Wharfage/ Портовая пошлина
KRW],"",0,1)</f>
        <v>4289.662381784623</v>
      </c>
      <c r="R105" s="24" cm="1">
        <f t="array" ref="R105">_xlfn.XLOOKUP($A105,ACT[[№]:[№]],ACT[TRUCKING CHARGE],"",0,1)</f>
        <v>0</v>
      </c>
      <c r="S105" s="24" cm="1">
        <f t="array" ref="S105">_xlfn.XLOOKUP($A105,ACT[[№]:[№]],ACT[FCL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132225.30748248208</v>
      </c>
      <c r="T105" s="24" cm="1">
        <f t="array" ref="T105">_xlfn.XLOOKUP($A105,ACT[[№]:[№]],ACT[Special Wooden Shoring / Специальное деревянное крепление],"",0,1)</f>
        <v>0</v>
      </c>
      <c r="U105" s="9"/>
      <c r="V105" s="24" cm="1">
        <f t="array" ref="V105">_xlfn.XLOOKUP($A105,ACT[[№]:[№]],ACT[Total amount/ Общая стоимость KRW (10+11+12+13+14+15+16)],"",0,1)</f>
        <v>975857.58901393285</v>
      </c>
      <c r="W105" s="24" cm="1">
        <f t="array" ref="W105">_xlfn.XLOOKUP($A105,ACT[[№]:[№]],ACT[Total amount/ Общая стоимость (17*exchange rate/ обменный курс)
 USD],"",0,1)</f>
        <v>767.94</v>
      </c>
      <c r="X105" s="9" t="e" cm="1">
        <f t="array" ref="X105">IF(#REF!="",_xlfn.XLOOKUP("МАКС",#REF!,#REF!,,0,1),#REF!)</f>
        <v>#REF!</v>
      </c>
      <c r="Y105" s="12" t="e">
        <f>VLOOKUP(Шаблон_Формулы[[#This Row],[24]],#REF!,2,0)</f>
        <v>#REF!</v>
      </c>
      <c r="Z105" s="26" t="str">
        <f>IFERROR(Шаблон_Формулы[[#This Row],[23]]*Шаблон_Формулы[[#This Row],[25]],"")</f>
        <v/>
      </c>
      <c r="AA105" s="13" t="e" cm="1">
        <f t="array" ref="AA105">#REF!</f>
        <v>#REF!</v>
      </c>
    </row>
    <row r="106" spans="1:27" s="8" customFormat="1" ht="12">
      <c r="A106" s="11">
        <v>102</v>
      </c>
      <c r="B106" s="8" t="str" cm="1">
        <f t="array" ref="B106">_xlfn.XLOOKUP($A106,ACT[[№]:[№]],ACT[Container No/
№ Контейнера],"",0,1)</f>
        <v>TGHU8367875</v>
      </c>
      <c r="C106" s="8" t="str">
        <f t="shared" si="1"/>
        <v>UzAutoKorea</v>
      </c>
      <c r="D106" s="11" t="str" cm="1">
        <f t="array" ref="D106">_xlfn.XLOOKUP($A106,ACT[[№]:[№]],ACT[Container Type/ 
Тип контейнера],"",0,1)</f>
        <v>40'HC</v>
      </c>
      <c r="E106" s="21" cm="1">
        <f t="array" ref="E106">_xlfn.XLOOKUP($A106,ACT[[№]:[№]],ACT[Date of Dispatch/ 
Дата отгрузки],"",0,1)</f>
        <v>44965</v>
      </c>
      <c r="F106" s="22" t="str" cm="1">
        <f t="array" ref="F106">_xlfn.XLOOKUP($A106,ACT[[№]:[№]],ACT[Supplier/ Поставщик],"",0,1)</f>
        <v>ERAE AMS</v>
      </c>
      <c r="G106" s="22" t="str" cm="1">
        <f t="array" ref="G106">_xlfn.XLOOKUP($A106,ACT[[№]:[№]],ACT[Supplier Invoice No/                          № Инвойса Поставщика],"",0,1)</f>
        <v>DM231CH05(12)</v>
      </c>
      <c r="H106" s="23" cm="1">
        <f t="array" ref="H106">_xlfn.XLOOKUP($A106,ACT[[№]:[№]],ACT[CBM],"",0,1)</f>
        <v>9.7089999999999996</v>
      </c>
      <c r="I106" s="23" cm="1">
        <f t="array" ref="I106">_xlfn.XLOOKUP($A106,ACT[[№]:[№]],ACT[Gross weight, kg/ Вес брутто, кг],"",0,1)</f>
        <v>5436</v>
      </c>
      <c r="J106" s="23" t="str" cm="1">
        <f t="array" ref="J106">_xlfn.XLOOKUP($A106,ACT[[№]:[№]],ACT[Delivery terms / Условия поставки],"",0,1)</f>
        <v>FCA</v>
      </c>
      <c r="K106" s="23" cm="1">
        <f t="array" ref="K106">_xlfn.XLOOKUP($A106,ACT[[№]:[№]],ACT[Container total CBM],"",0,1)</f>
        <v>61.222999999999999</v>
      </c>
      <c r="L106" s="24" cm="1">
        <f t="array" ref="L106">_xlfn.XLOOKUP($A106,ACT[[№]:[№]],ACT[FTL inland freight cost per Invoice Appendix/ Стоимость внутренней наземной перевозки за инвойс Приложение                     KRW],"",0,1)</f>
        <v>376000</v>
      </c>
      <c r="M106" s="24" cm="1">
        <f t="array" ref="M106">_xlfn.XLOOKUP($A106,ACT[[№]:[№]],ACT[Consolidation Work, Loading, Unloading/ Работы по консолидации, Погрузка, Разгрузка (Rate/Тариф - 8000 per CBM)                   KRW],"",0,1)</f>
        <v>82429.41</v>
      </c>
      <c r="N106" s="24" cm="1">
        <f t="array" ref="N106">_xlfn.XLOOKUP($A106,ACT[[№]:[№]],ACT[Shoring, Banding, Sealing, Handling/ Крепление, Перевязка, Опечатование, Обработка
KRW],"",0,1)</f>
        <v>30733.616451333648</v>
      </c>
      <c r="O106" s="24" cm="1">
        <f t="array" ref="O106">_xlfn.XLOOKUP($A106,ACT[[№]:[№]],ACT[Documents Work/ Сбор за подготовку документов
KRW],"",0,1)</f>
        <v>7929.209610767195</v>
      </c>
      <c r="P106" s="24" cm="1">
        <f t="array" ref="P106">_xlfn.XLOOKUP($A106,ACT[[№]:[№]],ACT[THC/ Терминальная обработка
KRW],"",0,1)</f>
        <v>29401.509236724756</v>
      </c>
      <c r="Q106" s="24" cm="1">
        <f t="array" ref="Q106">_xlfn.XLOOKUP($A106,ACT[[№]:[№]],ACT[Wharfage/ Портовая пошлина
KRW],"",0,1)</f>
        <v>1443.1161491596297</v>
      </c>
      <c r="R106" s="24" cm="1">
        <f t="array" ref="R106">_xlfn.XLOOKUP($A106,ACT[[№]:[№]],ACT[TRUCKING CHARGE],"",0,1)</f>
        <v>0</v>
      </c>
      <c r="S106" s="24" cm="1">
        <f t="array" ref="S106">_xlfn.XLOOKUP($A106,ACT[[№]:[№]],ACT[FCL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44482.865916403971</v>
      </c>
      <c r="T106" s="24" cm="1">
        <f t="array" ref="T106">_xlfn.XLOOKUP($A106,ACT[[№]:[№]],ACT[Special Wooden Shoring / Специальное деревянное крепление],"",0,1)</f>
        <v>0</v>
      </c>
      <c r="U106" s="9"/>
      <c r="V106" s="24" cm="1">
        <f t="array" ref="V106">_xlfn.XLOOKUP($A106,ACT[[№]:[№]],ACT[Total amount/ Общая стоимость KRW (10+11+12+13+14+15+16)],"",0,1)</f>
        <v>572419.72736438923</v>
      </c>
      <c r="W106" s="24" cm="1">
        <f t="array" ref="W106">_xlfn.XLOOKUP($A106,ACT[[№]:[№]],ACT[Total amount/ Общая стоимость (17*exchange rate/ обменный курс)
 USD],"",0,1)</f>
        <v>450.46</v>
      </c>
      <c r="X106" s="9" t="e" cm="1">
        <f t="array" ref="X106">IF(#REF!="",_xlfn.XLOOKUP("МАКС",#REF!,#REF!,,0,1),#REF!)</f>
        <v>#REF!</v>
      </c>
      <c r="Y106" s="12" t="e">
        <f>VLOOKUP(Шаблон_Формулы[[#This Row],[24]],#REF!,2,0)</f>
        <v>#REF!</v>
      </c>
      <c r="Z106" s="26" t="str">
        <f>IFERROR(Шаблон_Формулы[[#This Row],[23]]*Шаблон_Формулы[[#This Row],[25]],"")</f>
        <v/>
      </c>
      <c r="AA106" s="13" t="e" cm="1">
        <f t="array" ref="AA106">#REF!</f>
        <v>#REF!</v>
      </c>
    </row>
    <row r="107" spans="1:27" s="8" customFormat="1" ht="12">
      <c r="A107" s="11">
        <v>103</v>
      </c>
      <c r="B107" s="8" t="str" cm="1">
        <f t="array" ref="B107">_xlfn.XLOOKUP($A107,ACT[[№]:[№]],ACT[Container No/
№ Контейнера],"",0,1)</f>
        <v>TGHU8367875</v>
      </c>
      <c r="C107" s="8" t="str">
        <f t="shared" si="1"/>
        <v>UzAutoKorea</v>
      </c>
      <c r="D107" s="11" t="str" cm="1">
        <f t="array" ref="D107">_xlfn.XLOOKUP($A107,ACT[[№]:[№]],ACT[Container Type/ 
Тип контейнера],"",0,1)</f>
        <v>40'HC</v>
      </c>
      <c r="E107" s="21" cm="1">
        <f t="array" ref="E107">_xlfn.XLOOKUP($A107,ACT[[№]:[№]],ACT[Date of Dispatch/ 
Дата отгрузки],"",0,1)</f>
        <v>44965</v>
      </c>
      <c r="F107" s="22" t="str" cm="1">
        <f t="array" ref="F107">_xlfn.XLOOKUP($A107,ACT[[№]:[№]],ACT[Supplier/ Поставщик],"",0,1)</f>
        <v>ERAE AMS</v>
      </c>
      <c r="G107" s="22" t="str" cm="1">
        <f t="array" ref="G107">_xlfn.XLOOKUP($A107,ACT[[№]:[№]],ACT[Supplier Invoice No/                          № Инвойса Поставщика],"",0,1)</f>
        <v>DM231CH05(13)</v>
      </c>
      <c r="H107" s="23" cm="1">
        <f t="array" ref="H107">_xlfn.XLOOKUP($A107,ACT[[№]:[№]],ACT[CBM],"",0,1)</f>
        <v>22.654</v>
      </c>
      <c r="I107" s="23" cm="1">
        <f t="array" ref="I107">_xlfn.XLOOKUP($A107,ACT[[№]:[№]],ACT[Gross weight, kg/ Вес брутто, кг],"",0,1)</f>
        <v>3330.18</v>
      </c>
      <c r="J107" s="23" t="str" cm="1">
        <f t="array" ref="J107">_xlfn.XLOOKUP($A107,ACT[[№]:[№]],ACT[Delivery terms / Условия поставки],"",0,1)</f>
        <v>FCA</v>
      </c>
      <c r="K107" s="23" cm="1">
        <f t="array" ref="K107">_xlfn.XLOOKUP($A107,ACT[[№]:[№]],ACT[Container total CBM],"",0,1)</f>
        <v>61.222999999999999</v>
      </c>
      <c r="L107" s="24" cm="1">
        <f t="array" ref="L107">_xlfn.XLOOKUP($A107,ACT[[№]:[№]],ACT[FTL inland freight cost per Invoice Appendix/ Стоимость внутренней наземной перевозки за инвойс Приложение                     KRW],"",0,1)</f>
        <v>392000</v>
      </c>
      <c r="M107" s="24" cm="1">
        <f t="array" ref="M107">_xlfn.XLOOKUP($A107,ACT[[№]:[№]],ACT[Consolidation Work, Loading, Unloading/ Работы по консолидации, Погрузка, Разгрузка (Rate/Тариф - 8000 per CBM)                   KRW],"",0,1)</f>
        <v>192332.46</v>
      </c>
      <c r="N107" s="24" cm="1">
        <f t="array" ref="N107">_xlfn.XLOOKUP($A107,ACT[[№]:[№]],ACT[Shoring, Banding, Sealing, Handling/ Крепление, Перевязка, Опечатование, Обработка
KRW],"",0,1)</f>
        <v>71710.716560769637</v>
      </c>
      <c r="O107" s="24" cm="1">
        <f t="array" ref="O107">_xlfn.XLOOKUP($A107,ACT[[№]:[№]],ACT[Documents Work/ Сбор за подготовку документов
KRW],"",0,1)</f>
        <v>18501.216862943664</v>
      </c>
      <c r="P107" s="24" cm="1">
        <f t="array" ref="P107">_xlfn.XLOOKUP($A107,ACT[[№]:[№]],ACT[THC/ Терминальная обработка
KRW],"",0,1)</f>
        <v>68602.512127795111</v>
      </c>
      <c r="Q107" s="24" cm="1">
        <f t="array" ref="Q107">_xlfn.XLOOKUP($A107,ACT[[№]:[№]],ACT[Wharfage/ Портовая пошлина
KRW],"",0,1)</f>
        <v>3367.2214690557471</v>
      </c>
      <c r="R107" s="24" cm="1">
        <f t="array" ref="R107">_xlfn.XLOOKUP($A107,ACT[[№]:[№]],ACT[TRUCKING CHARGE],"",0,1)</f>
        <v>0</v>
      </c>
      <c r="S107" s="24" cm="1">
        <f t="array" ref="S107">_xlfn.XLOOKUP($A107,ACT[[№]:[№]],ACT[FCL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103791.82660111396</v>
      </c>
      <c r="T107" s="24" cm="1">
        <f t="array" ref="T107">_xlfn.XLOOKUP($A107,ACT[[№]:[№]],ACT[Special Wooden Shoring / Специальное деревянное крепление],"",0,1)</f>
        <v>0</v>
      </c>
      <c r="U107" s="9"/>
      <c r="V107" s="24" cm="1">
        <f t="array" ref="V107">_xlfn.XLOOKUP($A107,ACT[[№]:[№]],ACT[Total amount/ Общая стоимость KRW (10+11+12+13+14+15+16)],"",0,1)</f>
        <v>850305.95362167829</v>
      </c>
      <c r="W107" s="24" cm="1">
        <f t="array" ref="W107">_xlfn.XLOOKUP($A107,ACT[[№]:[№]],ACT[Total amount/ Общая стоимость (17*exchange rate/ обменный курс)
 USD],"",0,1)</f>
        <v>669.14</v>
      </c>
      <c r="X107" s="9" t="e" cm="1">
        <f t="array" ref="X107">IF(#REF!="",_xlfn.XLOOKUP("МАКС",#REF!,#REF!,,0,1),#REF!)</f>
        <v>#REF!</v>
      </c>
      <c r="Y107" s="12" t="e">
        <f>VLOOKUP(Шаблон_Формулы[[#This Row],[24]],#REF!,2,0)</f>
        <v>#REF!</v>
      </c>
      <c r="Z107" s="26" t="str">
        <f>IFERROR(Шаблон_Формулы[[#This Row],[23]]*Шаблон_Формулы[[#This Row],[25]],"")</f>
        <v/>
      </c>
      <c r="AA107" s="13" t="e" cm="1">
        <f t="array" ref="AA107">#REF!</f>
        <v>#REF!</v>
      </c>
    </row>
    <row r="108" spans="1:27" s="8" customFormat="1" ht="12">
      <c r="A108" s="11">
        <v>104</v>
      </c>
      <c r="B108" s="8" t="str" cm="1">
        <f t="array" ref="B108">_xlfn.XLOOKUP($A108,ACT[[№]:[№]],ACT[Container No/
№ Контейнера],"",0,1)</f>
        <v>TRLU7056755</v>
      </c>
      <c r="C108" s="8" t="str">
        <f t="shared" si="1"/>
        <v>UzAutoKorea</v>
      </c>
      <c r="D108" s="11" t="str" cm="1">
        <f t="array" ref="D108">_xlfn.XLOOKUP($A108,ACT[[№]:[№]],ACT[Container Type/ 
Тип контейнера],"",0,1)</f>
        <v>40'HC</v>
      </c>
      <c r="E108" s="21" cm="1">
        <f t="array" ref="E108">_xlfn.XLOOKUP($A108,ACT[[№]:[№]],ACT[Date of Dispatch/ 
Дата отгрузки],"",0,1)</f>
        <v>44965</v>
      </c>
      <c r="F108" s="22" t="str" cm="1">
        <f t="array" ref="F108">_xlfn.XLOOKUP($A108,ACT[[№]:[№]],ACT[Supplier/ Поставщик],"",0,1)</f>
        <v>ERAE AMS</v>
      </c>
      <c r="G108" s="22" t="str" cm="1">
        <f t="array" ref="G108">_xlfn.XLOOKUP($A108,ACT[[№]:[№]],ACT[Supplier Invoice No/                          № Инвойса Поставщика],"",0,1)</f>
        <v>DM231CH05(14)</v>
      </c>
      <c r="H108" s="23" cm="1">
        <f t="array" ref="H108">_xlfn.XLOOKUP($A108,ACT[[№]:[№]],ACT[CBM],"",0,1)</f>
        <v>12.948</v>
      </c>
      <c r="I108" s="23" cm="1">
        <f t="array" ref="I108">_xlfn.XLOOKUP($A108,ACT[[№]:[№]],ACT[Gross weight, kg/ Вес брутто, кг],"",0,1)</f>
        <v>11095.2</v>
      </c>
      <c r="J108" s="23" t="str" cm="1">
        <f t="array" ref="J108">_xlfn.XLOOKUP($A108,ACT[[№]:[№]],ACT[Delivery terms / Условия поставки],"",0,1)</f>
        <v>FCA</v>
      </c>
      <c r="K108" s="23" cm="1">
        <f t="array" ref="K108">_xlfn.XLOOKUP($A108,ACT[[№]:[№]],ACT[Container total CBM],"",0,1)</f>
        <v>42.457999999999998</v>
      </c>
      <c r="L108" s="24" cm="1">
        <f t="array" ref="L108">_xlfn.XLOOKUP($A108,ACT[[№]:[№]],ACT[FTL inland freight cost per Invoice Appendix/ Стоимость внутренней наземной перевозки за инвойс Приложение                     KRW],"",0,1)</f>
        <v>392000</v>
      </c>
      <c r="M108" s="24" cm="1">
        <f t="array" ref="M108">_xlfn.XLOOKUP($A108,ACT[[№]:[№]],ACT[Consolidation Work, Loading, Unloading/ Работы по консолидации, Погрузка, Разгрузка (Rate/Тариф - 8000 per CBM)                   KRW],"",0,1)</f>
        <v>109928.52</v>
      </c>
      <c r="N108" s="24" cm="1">
        <f t="array" ref="N108">_xlfn.XLOOKUP($A108,ACT[[№]:[№]],ACT[Shoring, Banding, Sealing, Handling/ Крепление, Перевязка, Опечатование, Обработка
KRW],"",0,1)</f>
        <v>59101.285976729952</v>
      </c>
      <c r="O108" s="24" cm="1">
        <f t="array" ref="O108">_xlfn.XLOOKUP($A108,ACT[[№]:[№]],ACT[Documents Work/ Сбор за подготовку документов
KRW],"",0,1)</f>
        <v>15248.009797917945</v>
      </c>
      <c r="P108" s="24" cm="1">
        <f t="array" ref="P108">_xlfn.XLOOKUP($A108,ACT[[№]:[№]],ACT[THC/ Терминальная обработка
KRW],"",0,1)</f>
        <v>56539.62033067974</v>
      </c>
      <c r="Q108" s="24" cm="1">
        <f t="array" ref="Q108">_xlfn.XLOOKUP($A108,ACT[[№]:[№]],ACT[Wharfage/ Портовая пошлина
KRW],"",0,1)</f>
        <v>2775.137783221066</v>
      </c>
      <c r="R108" s="24" cm="1">
        <f t="array" ref="R108">_xlfn.XLOOKUP($A108,ACT[[№]:[№]],ACT[TRUCKING CHARGE],"",0,1)</f>
        <v>0</v>
      </c>
      <c r="S108" s="24" cm="1">
        <f t="array" ref="S108">_xlfn.XLOOKUP($A108,ACT[[№]:[№]],ACT[FCL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85541.334966319657</v>
      </c>
      <c r="T108" s="24" cm="1">
        <f t="array" ref="T108">_xlfn.XLOOKUP($A108,ACT[[№]:[№]],ACT[Special Wooden Shoring / Специальное деревянное крепление],"",0,1)</f>
        <v>0</v>
      </c>
      <c r="U108" s="9"/>
      <c r="V108" s="24" cm="1">
        <f t="array" ref="V108">_xlfn.XLOOKUP($A108,ACT[[№]:[№]],ACT[Total amount/ Общая стоимость KRW (10+11+12+13+14+15+16)],"",0,1)</f>
        <v>721133.90885486826</v>
      </c>
      <c r="W108" s="24" cm="1">
        <f t="array" ref="W108">_xlfn.XLOOKUP($A108,ACT[[№]:[№]],ACT[Total amount/ Общая стоимость (17*exchange rate/ обменный курс)
 USD],"",0,1)</f>
        <v>567.49</v>
      </c>
      <c r="X108" s="9" t="e" cm="1">
        <f t="array" ref="X108">IF(#REF!="",_xlfn.XLOOKUP("МАКС",#REF!,#REF!,,0,1),#REF!)</f>
        <v>#REF!</v>
      </c>
      <c r="Y108" s="12" t="e">
        <f>VLOOKUP(Шаблон_Формулы[[#This Row],[24]],#REF!,2,0)</f>
        <v>#REF!</v>
      </c>
      <c r="Z108" s="26" t="str">
        <f>IFERROR(Шаблон_Формулы[[#This Row],[23]]*Шаблон_Формулы[[#This Row],[25]],"")</f>
        <v/>
      </c>
      <c r="AA108" s="13" t="e" cm="1">
        <f t="array" ref="AA108">#REF!</f>
        <v>#REF!</v>
      </c>
    </row>
    <row r="109" spans="1:27" s="8" customFormat="1" ht="12">
      <c r="A109" s="11">
        <v>105</v>
      </c>
      <c r="B109" s="8" t="str" cm="1">
        <f t="array" ref="B109">_xlfn.XLOOKUP($A109,ACT[[№]:[№]],ACT[Container No/
№ Контейнера],"",0,1)</f>
        <v>TRLU7056755</v>
      </c>
      <c r="C109" s="8" t="str">
        <f t="shared" si="1"/>
        <v>UzAutoKorea</v>
      </c>
      <c r="D109" s="11" t="str" cm="1">
        <f t="array" ref="D109">_xlfn.XLOOKUP($A109,ACT[[№]:[№]],ACT[Container Type/ 
Тип контейнера],"",0,1)</f>
        <v>40'HC</v>
      </c>
      <c r="E109" s="21" cm="1">
        <f t="array" ref="E109">_xlfn.XLOOKUP($A109,ACT[[№]:[№]],ACT[Date of Dispatch/ 
Дата отгрузки],"",0,1)</f>
        <v>44965</v>
      </c>
      <c r="F109" s="22" t="str" cm="1">
        <f t="array" ref="F109">_xlfn.XLOOKUP($A109,ACT[[№]:[№]],ACT[Supplier/ Поставщик],"",0,1)</f>
        <v>ERAE AMS</v>
      </c>
      <c r="G109" s="22" t="str" cm="1">
        <f t="array" ref="G109">_xlfn.XLOOKUP($A109,ACT[[№]:[№]],ACT[Supplier Invoice No/                          № Инвойса Поставщика],"",0,1)</f>
        <v>DM231CH05(15)</v>
      </c>
      <c r="H109" s="23" cm="1">
        <f t="array" ref="H109">_xlfn.XLOOKUP($A109,ACT[[№]:[№]],ACT[CBM],"",0,1)</f>
        <v>12.948</v>
      </c>
      <c r="I109" s="23" cm="1">
        <f t="array" ref="I109">_xlfn.XLOOKUP($A109,ACT[[№]:[№]],ACT[Gross weight, kg/ Вес брутто, кг],"",0,1)</f>
        <v>11095.2</v>
      </c>
      <c r="J109" s="23" t="str" cm="1">
        <f t="array" ref="J109">_xlfn.XLOOKUP($A109,ACT[[№]:[№]],ACT[Delivery terms / Условия поставки],"",0,1)</f>
        <v>FCA</v>
      </c>
      <c r="K109" s="23" cm="1">
        <f t="array" ref="K109">_xlfn.XLOOKUP($A109,ACT[[№]:[№]],ACT[Container total CBM],"",0,1)</f>
        <v>42.457999999999998</v>
      </c>
      <c r="L109" s="24" cm="1">
        <f t="array" ref="L109">_xlfn.XLOOKUP($A109,ACT[[№]:[№]],ACT[FTL inland freight cost per Invoice Appendix/ Стоимость внутренней наземной перевозки за инвойс Приложение                     KRW],"",0,1)</f>
        <v>392000</v>
      </c>
      <c r="M109" s="24" cm="1">
        <f t="array" ref="M109">_xlfn.XLOOKUP($A109,ACT[[№]:[№]],ACT[Consolidation Work, Loading, Unloading/ Работы по консолидации, Погрузка, Разгрузка (Rate/Тариф - 8000 per CBM)                   KRW],"",0,1)</f>
        <v>109928.52</v>
      </c>
      <c r="N109" s="24" cm="1">
        <f t="array" ref="N109">_xlfn.XLOOKUP($A109,ACT[[№]:[№]],ACT[Shoring, Banding, Sealing, Handling/ Крепление, Перевязка, Опечатование, Обработка
KRW],"",0,1)</f>
        <v>59101.285976729952</v>
      </c>
      <c r="O109" s="24" cm="1">
        <f t="array" ref="O109">_xlfn.XLOOKUP($A109,ACT[[№]:[№]],ACT[Documents Work/ Сбор за подготовку документов
KRW],"",0,1)</f>
        <v>15248.009797917945</v>
      </c>
      <c r="P109" s="24" cm="1">
        <f t="array" ref="P109">_xlfn.XLOOKUP($A109,ACT[[№]:[№]],ACT[THC/ Терминальная обработка
KRW],"",0,1)</f>
        <v>56539.62033067974</v>
      </c>
      <c r="Q109" s="24" cm="1">
        <f t="array" ref="Q109">_xlfn.XLOOKUP($A109,ACT[[№]:[№]],ACT[Wharfage/ Портовая пошлина
KRW],"",0,1)</f>
        <v>2775.137783221066</v>
      </c>
      <c r="R109" s="24" cm="1">
        <f t="array" ref="R109">_xlfn.XLOOKUP($A109,ACT[[№]:[№]],ACT[TRUCKING CHARGE],"",0,1)</f>
        <v>0</v>
      </c>
      <c r="S109" s="24" cm="1">
        <f t="array" ref="S109">_xlfn.XLOOKUP($A109,ACT[[№]:[№]],ACT[FCL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85541.334966319657</v>
      </c>
      <c r="T109" s="24" cm="1">
        <f t="array" ref="T109">_xlfn.XLOOKUP($A109,ACT[[№]:[№]],ACT[Special Wooden Shoring / Специальное деревянное крепление],"",0,1)</f>
        <v>0</v>
      </c>
      <c r="U109" s="9"/>
      <c r="V109" s="24" cm="1">
        <f t="array" ref="V109">_xlfn.XLOOKUP($A109,ACT[[№]:[№]],ACT[Total amount/ Общая стоимость KRW (10+11+12+13+14+15+16)],"",0,1)</f>
        <v>721133.90885486826</v>
      </c>
      <c r="W109" s="24" cm="1">
        <f t="array" ref="W109">_xlfn.XLOOKUP($A109,ACT[[№]:[№]],ACT[Total amount/ Общая стоимость (17*exchange rate/ обменный курс)
 USD],"",0,1)</f>
        <v>567.49</v>
      </c>
      <c r="X109" s="9" t="e" cm="1">
        <f t="array" ref="X109">IF(#REF!="",_xlfn.XLOOKUP("МАКС",#REF!,#REF!,,0,1),#REF!)</f>
        <v>#REF!</v>
      </c>
      <c r="Y109" s="12" t="e">
        <f>VLOOKUP(Шаблон_Формулы[[#This Row],[24]],#REF!,2,0)</f>
        <v>#REF!</v>
      </c>
      <c r="Z109" s="26" t="str">
        <f>IFERROR(Шаблон_Формулы[[#This Row],[23]]*Шаблон_Формулы[[#This Row],[25]],"")</f>
        <v/>
      </c>
      <c r="AA109" s="13" t="e" cm="1">
        <f t="array" ref="AA109">#REF!</f>
        <v>#REF!</v>
      </c>
    </row>
    <row r="110" spans="1:27" s="8" customFormat="1" ht="12">
      <c r="A110" s="11">
        <v>106</v>
      </c>
      <c r="B110" s="8" t="str" cm="1">
        <f t="array" ref="B110">_xlfn.XLOOKUP($A110,ACT[[№]:[№]],ACT[Container No/
№ Контейнера],"",0,1)</f>
        <v>TRLU7056755</v>
      </c>
      <c r="C110" s="8" t="str">
        <f t="shared" si="1"/>
        <v>UzAutoKorea</v>
      </c>
      <c r="D110" s="11" t="str" cm="1">
        <f t="array" ref="D110">_xlfn.XLOOKUP($A110,ACT[[№]:[№]],ACT[Container Type/ 
Тип контейнера],"",0,1)</f>
        <v>40'HC</v>
      </c>
      <c r="E110" s="21" cm="1">
        <f t="array" ref="E110">_xlfn.XLOOKUP($A110,ACT[[№]:[№]],ACT[Date of Dispatch/ 
Дата отгрузки],"",0,1)</f>
        <v>44965</v>
      </c>
      <c r="F110" s="22" t="str" cm="1">
        <f t="array" ref="F110">_xlfn.XLOOKUP($A110,ACT[[№]:[№]],ACT[Supplier/ Поставщик],"",0,1)</f>
        <v>ERAE AMS</v>
      </c>
      <c r="G110" s="22" t="str" cm="1">
        <f t="array" ref="G110">_xlfn.XLOOKUP($A110,ACT[[№]:[№]],ACT[Supplier Invoice No/                          № Инвойса Поставщика],"",0,1)</f>
        <v>DM231CH05(16)</v>
      </c>
      <c r="H110" s="23" cm="1">
        <f t="array" ref="H110">_xlfn.XLOOKUP($A110,ACT[[№]:[№]],ACT[CBM],"",0,1)</f>
        <v>5.7720000000000002</v>
      </c>
      <c r="I110" s="23" cm="1">
        <f t="array" ref="I110">_xlfn.XLOOKUP($A110,ACT[[№]:[№]],ACT[Gross weight, kg/ Вес брутто, кг],"",0,1)</f>
        <v>746.4</v>
      </c>
      <c r="J110" s="23" t="str" cm="1">
        <f t="array" ref="J110">_xlfn.XLOOKUP($A110,ACT[[№]:[№]],ACT[Delivery terms / Условия поставки],"",0,1)</f>
        <v>FCA</v>
      </c>
      <c r="K110" s="23" cm="1">
        <f t="array" ref="K110">_xlfn.XLOOKUP($A110,ACT[[№]:[№]],ACT[Container total CBM],"",0,1)</f>
        <v>42.457999999999998</v>
      </c>
      <c r="L110" s="24" cm="1">
        <f t="array" ref="L110">_xlfn.XLOOKUP($A110,ACT[[№]:[№]],ACT[FTL inland freight cost per Invoice Appendix/ Стоимость внутренней наземной перевозки за инвойс Приложение                     KRW],"",0,1)</f>
        <v>291100</v>
      </c>
      <c r="M110" s="24" cm="1">
        <f t="array" ref="M110">_xlfn.XLOOKUP($A110,ACT[[№]:[№]],ACT[Consolidation Work, Loading, Unloading/ Работы по консолидации, Погрузка, Разгрузка (Rate/Тариф - 8000 per CBM)                   KRW],"",0,1)</f>
        <v>49004.28</v>
      </c>
      <c r="N110" s="24" cm="1">
        <f t="array" ref="N110">_xlfn.XLOOKUP($A110,ACT[[№]:[№]],ACT[Shoring, Banding, Sealing, Handling/ Крепление, Перевязка, Опечатование, Обработка
KRW],"",0,1)</f>
        <v>26346.356399265162</v>
      </c>
      <c r="O110" s="24" cm="1">
        <f t="array" ref="O110">_xlfn.XLOOKUP($A110,ACT[[№]:[№]],ACT[Documents Work/ Сбор за подготовку документов
KRW],"",0,1)</f>
        <v>6797.3055725658305</v>
      </c>
      <c r="P110" s="24" cm="1">
        <f t="array" ref="P110">_xlfn.XLOOKUP($A110,ACT[[№]:[№]],ACT[THC/ Терминальная обработка
KRW],"",0,1)</f>
        <v>25204.409063074098</v>
      </c>
      <c r="Q110" s="24" cm="1">
        <f t="array" ref="Q110">_xlfn.XLOOKUP($A110,ACT[[№]:[№]],ACT[Wharfage/ Портовая пошлина
KRW],"",0,1)</f>
        <v>1237.1096142069812</v>
      </c>
      <c r="R110" s="24" cm="1">
        <f t="array" ref="R110">_xlfn.XLOOKUP($A110,ACT[[№]:[№]],ACT[TRUCKING CHARGE],"",0,1)</f>
        <v>0</v>
      </c>
      <c r="S110" s="24" cm="1">
        <f t="array" ref="S110">_xlfn.XLOOKUP($A110,ACT[[№]:[№]],ACT[FCL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38132.884262094311</v>
      </c>
      <c r="T110" s="24" cm="1">
        <f t="array" ref="T110">_xlfn.XLOOKUP($A110,ACT[[№]:[№]],ACT[Special Wooden Shoring / Специальное деревянное крепление],"",0,1)</f>
        <v>0</v>
      </c>
      <c r="U110" s="9"/>
      <c r="V110" s="24" cm="1">
        <f t="array" ref="V110">_xlfn.XLOOKUP($A110,ACT[[№]:[№]],ACT[Total amount/ Общая стоимость KRW (10+11+12+13+14+15+16)],"",0,1)</f>
        <v>437822.34491120646</v>
      </c>
      <c r="W110" s="24" cm="1">
        <f t="array" ref="W110">_xlfn.XLOOKUP($A110,ACT[[№]:[№]],ACT[Total amount/ Общая стоимость (17*exchange rate/ обменный курс)
 USD],"",0,1)</f>
        <v>344.54</v>
      </c>
      <c r="X110" s="9" t="e" cm="1">
        <f t="array" ref="X110">IF(#REF!="",_xlfn.XLOOKUP("МАКС",#REF!,#REF!,,0,1),#REF!)</f>
        <v>#REF!</v>
      </c>
      <c r="Y110" s="12" t="e">
        <f>VLOOKUP(Шаблон_Формулы[[#This Row],[24]],#REF!,2,0)</f>
        <v>#REF!</v>
      </c>
      <c r="Z110" s="26" t="str">
        <f>IFERROR(Шаблон_Формулы[[#This Row],[23]]*Шаблон_Формулы[[#This Row],[25]],"")</f>
        <v/>
      </c>
      <c r="AA110" s="13" t="e" cm="1">
        <f t="array" ref="AA110">#REF!</f>
        <v>#REF!</v>
      </c>
    </row>
    <row r="111" spans="1:27" s="8" customFormat="1" ht="12">
      <c r="A111" s="11">
        <v>107</v>
      </c>
      <c r="B111" s="8" t="str" cm="1">
        <f t="array" ref="B111">_xlfn.XLOOKUP($A111,ACT[[№]:[№]],ACT[Container No/
№ Контейнера],"",0,1)</f>
        <v>TRLU7056755</v>
      </c>
      <c r="C111" s="8" t="str">
        <f t="shared" si="1"/>
        <v>UzAutoKorea</v>
      </c>
      <c r="D111" s="11" t="str" cm="1">
        <f t="array" ref="D111">_xlfn.XLOOKUP($A111,ACT[[№]:[№]],ACT[Container Type/ 
Тип контейнера],"",0,1)</f>
        <v>40'HC</v>
      </c>
      <c r="E111" s="21" cm="1">
        <f t="array" ref="E111">_xlfn.XLOOKUP($A111,ACT[[№]:[№]],ACT[Date of Dispatch/ 
Дата отгрузки],"",0,1)</f>
        <v>44965</v>
      </c>
      <c r="F111" s="22" t="str" cm="1">
        <f t="array" ref="F111">_xlfn.XLOOKUP($A111,ACT[[№]:[№]],ACT[Supplier/ Поставщик],"",0,1)</f>
        <v>ERAE AMS</v>
      </c>
      <c r="G111" s="22" t="str" cm="1">
        <f t="array" ref="G111">_xlfn.XLOOKUP($A111,ACT[[№]:[№]],ACT[Supplier Invoice No/                          № Инвойса Поставщика],"",0,1)</f>
        <v>DM231CH05(17)</v>
      </c>
      <c r="H111" s="23" cm="1">
        <f t="array" ref="H111">_xlfn.XLOOKUP($A111,ACT[[№]:[№]],ACT[CBM],"",0,1)</f>
        <v>10.79</v>
      </c>
      <c r="I111" s="23" cm="1">
        <f t="array" ref="I111">_xlfn.XLOOKUP($A111,ACT[[№]:[№]],ACT[Gross weight, kg/ Вес брутто, кг],"",0,1)</f>
        <v>1343.4</v>
      </c>
      <c r="J111" s="23" t="str" cm="1">
        <f t="array" ref="J111">_xlfn.XLOOKUP($A111,ACT[[№]:[№]],ACT[Delivery terms / Условия поставки],"",0,1)</f>
        <v>FCA</v>
      </c>
      <c r="K111" s="23" cm="1">
        <f t="array" ref="K111">_xlfn.XLOOKUP($A111,ACT[[№]:[№]],ACT[Container total CBM],"",0,1)</f>
        <v>42.457999999999998</v>
      </c>
      <c r="L111" s="24" cm="1">
        <f t="array" ref="L111">_xlfn.XLOOKUP($A111,ACT[[№]:[№]],ACT[FTL inland freight cost per Invoice Appendix/ Стоимость внутренней наземной перевозки за инвойс Приложение                     KRW],"",0,1)</f>
        <v>332000</v>
      </c>
      <c r="M111" s="24" cm="1">
        <f t="array" ref="M111">_xlfn.XLOOKUP($A111,ACT[[№]:[№]],ACT[Consolidation Work, Loading, Unloading/ Работы по консолидации, Погрузка, Разгрузка (Rate/Тариф - 8000 per CBM)                   KRW],"",0,1)</f>
        <v>91607.099999999991</v>
      </c>
      <c r="N111" s="24" cm="1">
        <f t="array" ref="N111">_xlfn.XLOOKUP($A111,ACT[[№]:[№]],ACT[Shoring, Banding, Sealing, Handling/ Крепление, Перевязка, Опечатование, Обработка
KRW],"",0,1)</f>
        <v>49251.071647274955</v>
      </c>
      <c r="O111" s="24" cm="1">
        <f t="array" ref="O111">_xlfn.XLOOKUP($A111,ACT[[№]:[№]],ACT[Documents Work/ Сбор за подготовку документов
KRW],"",0,1)</f>
        <v>12706.674831598286</v>
      </c>
      <c r="P111" s="24" cm="1">
        <f t="array" ref="P111">_xlfn.XLOOKUP($A111,ACT[[№]:[№]],ACT[THC/ Терминальная обработка
KRW],"",0,1)</f>
        <v>47116.350275566445</v>
      </c>
      <c r="Q111" s="24" cm="1">
        <f t="array" ref="Q111">_xlfn.XLOOKUP($A111,ACT[[№]:[№]],ACT[Wharfage/ Портовая пошлина
KRW],"",0,1)</f>
        <v>2312.614819350888</v>
      </c>
      <c r="R111" s="24" cm="1">
        <f t="array" ref="R111">_xlfn.XLOOKUP($A111,ACT[[№]:[№]],ACT[TRUCKING CHARGE],"",0,1)</f>
        <v>0</v>
      </c>
      <c r="S111" s="24" cm="1">
        <f t="array" ref="S111">_xlfn.XLOOKUP($A111,ACT[[№]:[№]],ACT[FCL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71284.445805266383</v>
      </c>
      <c r="T111" s="24" cm="1">
        <f t="array" ref="T111">_xlfn.XLOOKUP($A111,ACT[[№]:[№]],ACT[Special Wooden Shoring / Специальное деревянное крепление],"",0,1)</f>
        <v>0</v>
      </c>
      <c r="U111" s="9"/>
      <c r="V111" s="24" cm="1">
        <f t="array" ref="V111">_xlfn.XLOOKUP($A111,ACT[[№]:[№]],ACT[Total amount/ Общая стоимость KRW (10+11+12+13+14+15+16)],"",0,1)</f>
        <v>606278.25737905689</v>
      </c>
      <c r="W111" s="24" cm="1">
        <f t="array" ref="W111">_xlfn.XLOOKUP($A111,ACT[[№]:[№]],ACT[Total amount/ Общая стоимость (17*exchange rate/ обменный курс)
 USD],"",0,1)</f>
        <v>477.11</v>
      </c>
      <c r="X111" s="9" t="e" cm="1">
        <f t="array" ref="X111">IF(#REF!="",_xlfn.XLOOKUP("МАКС",#REF!,#REF!,,0,1),#REF!)</f>
        <v>#REF!</v>
      </c>
      <c r="Y111" s="12" t="e">
        <f>VLOOKUP(Шаблон_Формулы[[#This Row],[24]],#REF!,2,0)</f>
        <v>#REF!</v>
      </c>
      <c r="Z111" s="26" t="str">
        <f>IFERROR(Шаблон_Формулы[[#This Row],[23]]*Шаблон_Формулы[[#This Row],[25]],"")</f>
        <v/>
      </c>
      <c r="AA111" s="13" t="e" cm="1">
        <f t="array" ref="AA111">#REF!</f>
        <v>#REF!</v>
      </c>
    </row>
    <row r="112" spans="1:27" s="8" customFormat="1" ht="12">
      <c r="A112" s="11">
        <v>108</v>
      </c>
      <c r="B112" s="8" t="str" cm="1">
        <f t="array" ref="B112">_xlfn.XLOOKUP($A112,ACT[[№]:[№]],ACT[Container No/
№ Контейнера],"",0,1)</f>
        <v>DFSU6374568</v>
      </c>
      <c r="C112" s="8" t="str">
        <f t="shared" si="1"/>
        <v>UzAutoKorea</v>
      </c>
      <c r="D112" s="11" t="str" cm="1">
        <f t="array" ref="D112">_xlfn.XLOOKUP($A112,ACT[[№]:[№]],ACT[Container Type/ 
Тип контейнера],"",0,1)</f>
        <v>40'HC</v>
      </c>
      <c r="E112" s="21" cm="1">
        <f t="array" ref="E112">_xlfn.XLOOKUP($A112,ACT[[№]:[№]],ACT[Date of Dispatch/ 
Дата отгрузки],"",0,1)</f>
        <v>44965</v>
      </c>
      <c r="F112" s="22" t="str" cm="1">
        <f t="array" ref="F112">_xlfn.XLOOKUP($A112,ACT[[№]:[№]],ACT[Supplier/ Поставщик],"",0,1)</f>
        <v>ERAE AMS</v>
      </c>
      <c r="G112" s="22" t="str" cm="1">
        <f t="array" ref="G112">_xlfn.XLOOKUP($A112,ACT[[№]:[№]],ACT[Supplier Invoice No/                          № Инвойса Поставщика],"",0,1)</f>
        <v>DM231CH05(18)</v>
      </c>
      <c r="H112" s="23" cm="1">
        <f t="array" ref="H112">_xlfn.XLOOKUP($A112,ACT[[№]:[№]],ACT[CBM],"",0,1)</f>
        <v>14.019</v>
      </c>
      <c r="I112" s="23" cm="1">
        <f t="array" ref="I112">_xlfn.XLOOKUP($A112,ACT[[№]:[№]],ACT[Gross weight, kg/ Вес брутто, кг],"",0,1)</f>
        <v>11198.72</v>
      </c>
      <c r="J112" s="23" t="str" cm="1">
        <f t="array" ref="J112">_xlfn.XLOOKUP($A112,ACT[[№]:[№]],ACT[Delivery terms / Условия поставки],"",0,1)</f>
        <v>FCA</v>
      </c>
      <c r="K112" s="23" cm="1">
        <f t="array" ref="K112">_xlfn.XLOOKUP($A112,ACT[[№]:[№]],ACT[Container total CBM],"",0,1)</f>
        <v>47.928999999999995</v>
      </c>
      <c r="L112" s="24" cm="1">
        <f t="array" ref="L112">_xlfn.XLOOKUP($A112,ACT[[№]:[№]],ACT[FTL inland freight cost per Invoice Appendix/ Стоимость внутренней наземной перевозки за инвойс Приложение                     KRW],"",0,1)</f>
        <v>624000</v>
      </c>
      <c r="M112" s="24" cm="1">
        <f t="array" ref="M112">_xlfn.XLOOKUP($A112,ACT[[№]:[№]],ACT[Consolidation Work, Loading, Unloading/ Работы по консолидации, Погрузка, Разгрузка (Rate/Тариф - 8000 per CBM)                   KRW],"",0,1)</f>
        <v>119021.31</v>
      </c>
      <c r="N112" s="24" cm="1">
        <f t="array" ref="N112">_xlfn.XLOOKUP($A112,ACT[[№]:[№]],ACT[Shoring, Banding, Sealing, Handling/ Крепление, Перевязка, Опечатование, Обработка
KRW],"",0,1)</f>
        <v>56685.559890671626</v>
      </c>
      <c r="O112" s="24" cm="1">
        <f t="array" ref="O112">_xlfn.XLOOKUP($A112,ACT[[№]:[№]],ACT[Documents Work/ Сбор за подготовку документов
KRW],"",0,1)</f>
        <v>14624.75745373365</v>
      </c>
      <c r="P112" s="24" cm="1">
        <f t="array" ref="P112">_xlfn.XLOOKUP($A112,ACT[[№]:[№]],ACT[THC/ Терминальная обработка
KRW],"",0,1)</f>
        <v>54228.600638444375</v>
      </c>
      <c r="Q112" s="24" cm="1">
        <f t="array" ref="Q112">_xlfn.XLOOKUP($A112,ACT[[№]:[№]],ACT[Wharfage/ Портовая пошлина
KRW],"",0,1)</f>
        <v>2661.7058565795242</v>
      </c>
      <c r="R112" s="24" cm="1">
        <f t="array" ref="R112">_xlfn.XLOOKUP($A112,ACT[[№]:[№]],ACT[TRUCKING CHARGE],"",0,1)</f>
        <v>0</v>
      </c>
      <c r="S112" s="24" cm="1">
        <f t="array" ref="S112">_xlfn.XLOOKUP($A112,ACT[[№]:[№]],ACT[FCL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82044.889315445776</v>
      </c>
      <c r="T112" s="24" cm="1">
        <f t="array" ref="T112">_xlfn.XLOOKUP($A112,ACT[[№]:[№]],ACT[Special Wooden Shoring / Специальное деревянное крепление],"",0,1)</f>
        <v>0</v>
      </c>
      <c r="U112" s="9"/>
      <c r="V112" s="24" cm="1">
        <f t="array" ref="V112">_xlfn.XLOOKUP($A112,ACT[[№]:[№]],ACT[Total amount/ Общая стоимость KRW (10+11+12+13+14+15+16)],"",0,1)</f>
        <v>953266.82315487508</v>
      </c>
      <c r="W112" s="24" cm="1">
        <f t="array" ref="W112">_xlfn.XLOOKUP($A112,ACT[[№]:[№]],ACT[Total amount/ Общая стоимость (17*exchange rate/ обменный курс)
 USD],"",0,1)</f>
        <v>750.17</v>
      </c>
      <c r="X112" s="9" t="e" cm="1">
        <f t="array" ref="X112">IF(#REF!="",_xlfn.XLOOKUP("МАКС",#REF!,#REF!,,0,1),#REF!)</f>
        <v>#REF!</v>
      </c>
      <c r="Y112" s="12" t="e">
        <f>VLOOKUP(Шаблон_Формулы[[#This Row],[24]],#REF!,2,0)</f>
        <v>#REF!</v>
      </c>
      <c r="Z112" s="26" t="str">
        <f>IFERROR(Шаблон_Формулы[[#This Row],[23]]*Шаблон_Формулы[[#This Row],[25]],"")</f>
        <v/>
      </c>
      <c r="AA112" s="13" t="e" cm="1">
        <f t="array" ref="AA112">#REF!</f>
        <v>#REF!</v>
      </c>
    </row>
    <row r="113" spans="1:27" s="8" customFormat="1" ht="12">
      <c r="A113" s="11">
        <v>109</v>
      </c>
      <c r="B113" s="8" t="str" cm="1">
        <f t="array" ref="B113">_xlfn.XLOOKUP($A113,ACT[[№]:[№]],ACT[Container No/
№ Контейнера],"",0,1)</f>
        <v>DFSU6374568</v>
      </c>
      <c r="C113" s="8" t="str">
        <f t="shared" si="1"/>
        <v>UzAutoKorea</v>
      </c>
      <c r="D113" s="11" t="str" cm="1">
        <f t="array" ref="D113">_xlfn.XLOOKUP($A113,ACT[[№]:[№]],ACT[Container Type/ 
Тип контейнера],"",0,1)</f>
        <v>40'HC</v>
      </c>
      <c r="E113" s="21" cm="1">
        <f t="array" ref="E113">_xlfn.XLOOKUP($A113,ACT[[№]:[№]],ACT[Date of Dispatch/ 
Дата отгрузки],"",0,1)</f>
        <v>44965</v>
      </c>
      <c r="F113" s="22" t="str" cm="1">
        <f t="array" ref="F113">_xlfn.XLOOKUP($A113,ACT[[№]:[№]],ACT[Supplier/ Поставщик],"",0,1)</f>
        <v>ERAE AMS</v>
      </c>
      <c r="G113" s="22" t="str" cm="1">
        <f t="array" ref="G113">_xlfn.XLOOKUP($A113,ACT[[№]:[№]],ACT[Supplier Invoice No/                          № Инвойса Поставщика],"",0,1)</f>
        <v>DM231CH05(19)</v>
      </c>
      <c r="H113" s="23" cm="1">
        <f t="array" ref="H113">_xlfn.XLOOKUP($A113,ACT[[№]:[№]],ACT[CBM],"",0,1)</f>
        <v>25.890999999999998</v>
      </c>
      <c r="I113" s="23" cm="1">
        <f t="array" ref="I113">_xlfn.XLOOKUP($A113,ACT[[№]:[№]],ACT[Gross weight, kg/ Вес брутто, кг],"",0,1)</f>
        <v>3224.16</v>
      </c>
      <c r="J113" s="23" t="str" cm="1">
        <f t="array" ref="J113">_xlfn.XLOOKUP($A113,ACT[[№]:[№]],ACT[Delivery terms / Условия поставки],"",0,1)</f>
        <v>FCA</v>
      </c>
      <c r="K113" s="23" cm="1">
        <f t="array" ref="K113">_xlfn.XLOOKUP($A113,ACT[[№]:[№]],ACT[Container total CBM],"",0,1)</f>
        <v>47.928999999999995</v>
      </c>
      <c r="L113" s="24" cm="1">
        <f t="array" ref="L113">_xlfn.XLOOKUP($A113,ACT[[№]:[№]],ACT[FTL inland freight cost per Invoice Appendix/ Стоимость внутренней наземной перевозки за инвойс Приложение                     KRW],"",0,1)</f>
        <v>392000</v>
      </c>
      <c r="M113" s="24" cm="1">
        <f t="array" ref="M113">_xlfn.XLOOKUP($A113,ACT[[№]:[№]],ACT[Consolidation Work, Loading, Unloading/ Работы по консолидации, Погрузка, Разгрузка (Rate/Тариф - 8000 per CBM)                   KRW],"",0,1)</f>
        <v>219814.59</v>
      </c>
      <c r="N113" s="24" cm="1">
        <f t="array" ref="N113">_xlfn.XLOOKUP($A113,ACT[[№]:[№]],ACT[Shoring, Banding, Sealing, Handling/ Крепление, Перевязка, Опечатование, Обработка
KRW],"",0,1)</f>
        <v>104689.76611237456</v>
      </c>
      <c r="O113" s="24" cm="1">
        <f t="array" ref="O113">_xlfn.XLOOKUP($A113,ACT[[№]:[№]],ACT[Documents Work/ Сбор за подготовку документов
KRW],"",0,1)</f>
        <v>27009.743579044003</v>
      </c>
      <c r="P113" s="24" cm="1">
        <f t="array" ref="P113">_xlfn.XLOOKUP($A113,ACT[[№]:[№]],ACT[THC/ Терминальная обработка
KRW],"",0,1)</f>
        <v>100152.12919109515</v>
      </c>
      <c r="Q113" s="24" cm="1">
        <f t="array" ref="Q113">_xlfn.XLOOKUP($A113,ACT[[№]:[№]],ACT[Wharfage/ Портовая пошлина
KRW],"",0,1)</f>
        <v>4915.773331386009</v>
      </c>
      <c r="R113" s="24" cm="1">
        <f t="array" ref="R113">_xlfn.XLOOKUP($A113,ACT[[№]:[№]],ACT[TRUCKING CHARGE],"",0,1)</f>
        <v>0</v>
      </c>
      <c r="S113" s="24" cm="1">
        <f t="array" ref="S113">_xlfn.XLOOKUP($A113,ACT[[№]:[№]],ACT[FCL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151524.66147843687</v>
      </c>
      <c r="T113" s="24" cm="1">
        <f t="array" ref="T113">_xlfn.XLOOKUP($A113,ACT[[№]:[№]],ACT[Special Wooden Shoring / Специальное деревянное крепление],"",0,1)</f>
        <v>0</v>
      </c>
      <c r="U113" s="9"/>
      <c r="V113" s="24" cm="1">
        <f t="array" ref="V113">_xlfn.XLOOKUP($A113,ACT[[№]:[№]],ACT[Total amount/ Общая стоимость KRW (10+11+12+13+14+15+16)],"",0,1)</f>
        <v>1000106.6636923366</v>
      </c>
      <c r="W113" s="24" cm="1">
        <f t="array" ref="W113">_xlfn.XLOOKUP($A113,ACT[[№]:[№]],ACT[Total amount/ Общая стоимость (17*exchange rate/ обменный курс)
 USD],"",0,1)</f>
        <v>787.03</v>
      </c>
      <c r="X113" s="9" t="e" cm="1">
        <f t="array" ref="X113">IF(#REF!="",_xlfn.XLOOKUP("МАКС",#REF!,#REF!,,0,1),#REF!)</f>
        <v>#REF!</v>
      </c>
      <c r="Y113" s="12" t="e">
        <f>VLOOKUP(Шаблон_Формулы[[#This Row],[24]],#REF!,2,0)</f>
        <v>#REF!</v>
      </c>
      <c r="Z113" s="26" t="str">
        <f>IFERROR(Шаблон_Формулы[[#This Row],[23]]*Шаблон_Формулы[[#This Row],[25]],"")</f>
        <v/>
      </c>
      <c r="AA113" s="13" t="e" cm="1">
        <f t="array" ref="AA113">#REF!</f>
        <v>#REF!</v>
      </c>
    </row>
    <row r="114" spans="1:27" s="8" customFormat="1" ht="12">
      <c r="A114" s="11">
        <v>110</v>
      </c>
      <c r="B114" s="8" t="str" cm="1">
        <f t="array" ref="B114">_xlfn.XLOOKUP($A114,ACT[[№]:[№]],ACT[Container No/
№ Контейнера],"",0,1)</f>
        <v>DFSU6374568</v>
      </c>
      <c r="C114" s="8" t="str">
        <f t="shared" si="1"/>
        <v>UzAutoKorea</v>
      </c>
      <c r="D114" s="11" t="str" cm="1">
        <f t="array" ref="D114">_xlfn.XLOOKUP($A114,ACT[[№]:[№]],ACT[Container Type/ 
Тип контейнера],"",0,1)</f>
        <v>40'HC</v>
      </c>
      <c r="E114" s="21" cm="1">
        <f t="array" ref="E114">_xlfn.XLOOKUP($A114,ACT[[№]:[№]],ACT[Date of Dispatch/ 
Дата отгрузки],"",0,1)</f>
        <v>44965</v>
      </c>
      <c r="F114" s="22" t="str" cm="1">
        <f t="array" ref="F114">_xlfn.XLOOKUP($A114,ACT[[№]:[№]],ACT[Supplier/ Поставщик],"",0,1)</f>
        <v>SAMJINJEONGGONG (GEM Project)</v>
      </c>
      <c r="G114" s="22" t="str" cm="1">
        <f t="array" ref="G114">_xlfn.XLOOKUP($A114,ACT[[№]:[№]],ACT[Supplier Invoice No/                          № Инвойса Поставщика],"",0,1)</f>
        <v>UZATK0035(16)</v>
      </c>
      <c r="H114" s="23" cm="1">
        <f t="array" ref="H114">_xlfn.XLOOKUP($A114,ACT[[№]:[№]],ACT[CBM],"",0,1)</f>
        <v>8.0190000000000001</v>
      </c>
      <c r="I114" s="23" cm="1">
        <f t="array" ref="I114">_xlfn.XLOOKUP($A114,ACT[[№]:[№]],ACT[Gross weight, kg/ Вес брутто, кг],"",0,1)</f>
        <v>8006</v>
      </c>
      <c r="J114" s="23" t="str" cm="1">
        <f t="array" ref="J114">_xlfn.XLOOKUP($A114,ACT[[№]:[№]],ACT[Delivery terms / Условия поставки],"",0,1)</f>
        <v>FCA</v>
      </c>
      <c r="K114" s="23" cm="1">
        <f t="array" ref="K114">_xlfn.XLOOKUP($A114,ACT[[№]:[№]],ACT[Container total CBM],"",0,1)</f>
        <v>47.928999999999995</v>
      </c>
      <c r="L114" s="24" cm="1">
        <f t="array" ref="L114">_xlfn.XLOOKUP($A114,ACT[[№]:[№]],ACT[FTL inland freight cost per Invoice Appendix/ Стоимость внутренней наземной перевозки за инвойс Приложение                     KRW],"",0,1)</f>
        <v>265000</v>
      </c>
      <c r="M114" s="24" cm="1">
        <f t="array" ref="M114">_xlfn.XLOOKUP($A114,ACT[[№]:[№]],ACT[Consolidation Work, Loading, Unloading/ Работы по консолидации, Погрузка, Разгрузка (Rate/Тариф - 8000 per CBM)                   KRW],"",0,1)</f>
        <v>68081.31</v>
      </c>
      <c r="N114" s="24" cm="1">
        <f t="array" ref="N114">_xlfn.XLOOKUP($A114,ACT[[№]:[№]],ACT[Shoring, Banding, Sealing, Handling/ Крепление, Перевязка, Опечатование, Обработка
KRW],"",0,1)</f>
        <v>32424.673996953832</v>
      </c>
      <c r="O114" s="24" cm="1">
        <f t="array" ref="O114">_xlfn.XLOOKUP($A114,ACT[[№]:[№]],ACT[Documents Work/ Сбор за подготовку документов
KRW],"",0,1)</f>
        <v>8365.498967222351</v>
      </c>
      <c r="P114" s="24" cm="1">
        <f t="array" ref="P114">_xlfn.XLOOKUP($A114,ACT[[№]:[№]],ACT[THC/ Терминальная обработка
KRW],"",0,1)</f>
        <v>31019.270170460477</v>
      </c>
      <c r="Q114" s="24" cm="1">
        <f t="array" ref="Q114">_xlfn.XLOOKUP($A114,ACT[[№]:[№]],ACT[Wharfage/ Портовая пошлина
KRW],"",0,1)</f>
        <v>1522.520812034468</v>
      </c>
      <c r="R114" s="24" cm="1">
        <f t="array" ref="R114">_xlfn.XLOOKUP($A114,ACT[[№]:[№]],ACT[TRUCKING CHARGE],"",0,1)</f>
        <v>0</v>
      </c>
      <c r="S114" s="24" cm="1">
        <f t="array" ref="S114">_xlfn.XLOOKUP($A114,ACT[[№]:[№]],ACT[FCL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46930.449206117395</v>
      </c>
      <c r="T114" s="24" cm="1">
        <f t="array" ref="T114">_xlfn.XLOOKUP($A114,ACT[[№]:[№]],ACT[Special Wooden Shoring / Специальное деревянное крепление],"",0,1)</f>
        <v>0</v>
      </c>
      <c r="U114" s="9"/>
      <c r="V114" s="24" cm="1">
        <f t="array" ref="V114">_xlfn.XLOOKUP($A114,ACT[[№]:[№]],ACT[Total amount/ Общая стоимость KRW (10+11+12+13+14+15+16)],"",0,1)</f>
        <v>453343.72315278847</v>
      </c>
      <c r="W114" s="24" cm="1">
        <f t="array" ref="W114">_xlfn.XLOOKUP($A114,ACT[[№]:[№]],ACT[Total amount/ Общая стоимость (17*exchange rate/ обменный курс)
 USD],"",0,1)</f>
        <v>356.76</v>
      </c>
      <c r="X114" s="9" t="e" cm="1">
        <f t="array" ref="X114">IF(#REF!="",_xlfn.XLOOKUP("МАКС",#REF!,#REF!,,0,1),#REF!)</f>
        <v>#REF!</v>
      </c>
      <c r="Y114" s="12" t="e">
        <f>VLOOKUP(Шаблон_Формулы[[#This Row],[24]],#REF!,2,0)</f>
        <v>#REF!</v>
      </c>
      <c r="Z114" s="26" t="str">
        <f>IFERROR(Шаблон_Формулы[[#This Row],[23]]*Шаблон_Формулы[[#This Row],[25]],"")</f>
        <v/>
      </c>
      <c r="AA114" s="13" t="e" cm="1">
        <f t="array" ref="AA114">#REF!</f>
        <v>#REF!</v>
      </c>
    </row>
    <row r="115" spans="1:27" s="8" customFormat="1" ht="12">
      <c r="A115" s="11">
        <v>111</v>
      </c>
      <c r="B115" s="8" t="str" cm="1">
        <f t="array" ref="B115">_xlfn.XLOOKUP($A115,ACT[[№]:[№]],ACT[Container No/
№ Контейнера],"",0,1)</f>
        <v>TCNU9895345</v>
      </c>
      <c r="C115" s="8" t="str">
        <f t="shared" si="1"/>
        <v>UzAutoKorea</v>
      </c>
      <c r="D115" s="11" t="str" cm="1">
        <f t="array" ref="D115">_xlfn.XLOOKUP($A115,ACT[[№]:[№]],ACT[Container Type/ 
Тип контейнера],"",0,1)</f>
        <v>40'HC</v>
      </c>
      <c r="E115" s="21" cm="1">
        <f t="array" ref="E115">_xlfn.XLOOKUP($A115,ACT[[№]:[№]],ACT[Date of Dispatch/ 
Дата отгрузки],"",0,1)</f>
        <v>44965</v>
      </c>
      <c r="F115" s="22" t="str" cm="1">
        <f t="array" ref="F115">_xlfn.XLOOKUP($A115,ACT[[№]:[№]],ACT[Supplier/ Поставщик],"",0,1)</f>
        <v>DMC (GEM Project)</v>
      </c>
      <c r="G115" s="22" t="str" cm="1">
        <f t="array" ref="G115">_xlfn.XLOOKUP($A115,ACT[[№]:[№]],ACT[Supplier Invoice No/                          № Инвойса Поставщика],"",0,1)</f>
        <v>UZATK0035(17)</v>
      </c>
      <c r="H115" s="23" cm="1">
        <f t="array" ref="H115">_xlfn.XLOOKUP($A115,ACT[[№]:[№]],ACT[CBM],"",0,1)</f>
        <v>60.765000000000001</v>
      </c>
      <c r="I115" s="23" cm="1">
        <f t="array" ref="I115">_xlfn.XLOOKUP($A115,ACT[[№]:[№]],ACT[Gross weight, kg/ Вес брутто, кг],"",0,1)</f>
        <v>4851</v>
      </c>
      <c r="J115" s="23" t="str" cm="1">
        <f t="array" ref="J115">_xlfn.XLOOKUP($A115,ACT[[№]:[№]],ACT[Delivery terms / Условия поставки],"",0,1)</f>
        <v>FCA</v>
      </c>
      <c r="K115" s="23" cm="1">
        <f t="array" ref="K115">_xlfn.XLOOKUP($A115,ACT[[№]:[№]],ACT[Container total CBM],"",0,1)</f>
        <v>60.765000000000001</v>
      </c>
      <c r="L115" s="24" cm="1">
        <f t="array" ref="L115">_xlfn.XLOOKUP($A115,ACT[[№]:[№]],ACT[FTL inland freight cost per Invoice Appendix/ Стоимость внутренней наземной перевозки за инвойс Приложение                     KRW],"",0,1)</f>
        <v>740000</v>
      </c>
      <c r="M115" s="24" cm="1">
        <f t="array" ref="M115">_xlfn.XLOOKUP($A115,ACT[[№]:[№]],ACT[Consolidation Work, Loading, Unloading/ Работы по консолидации, Погрузка, Разгрузка (Rate/Тариф - 8000 per CBM)                   KRW],"",0,1)</f>
        <v>515894.85</v>
      </c>
      <c r="N115" s="24" cm="1">
        <f t="array" ref="N115">_xlfn.XLOOKUP($A115,ACT[[№]:[№]],ACT[Shoring, Banding, Sealing, Handling/ Крепление, Перевязка, Опечатование, Обработка
KRW],"",0,1)</f>
        <v>193800</v>
      </c>
      <c r="O115" s="24" cm="1">
        <f t="array" ref="O115">_xlfn.XLOOKUP($A115,ACT[[№]:[№]],ACT[Documents Work/ Сбор за подготовку документов
KRW],"",0,1)</f>
        <v>50000</v>
      </c>
      <c r="P115" s="24" cm="1">
        <f t="array" ref="P115">_xlfn.XLOOKUP($A115,ACT[[№]:[№]],ACT[THC/ Терминальная обработка
KRW],"",0,1)</f>
        <v>185400</v>
      </c>
      <c r="Q115" s="24" cm="1">
        <f t="array" ref="Q115">_xlfn.XLOOKUP($A115,ACT[[№]:[№]],ACT[Wharfage/ Портовая пошлина
KRW],"",0,1)</f>
        <v>9100</v>
      </c>
      <c r="R115" s="24" cm="1">
        <f t="array" ref="R115">_xlfn.XLOOKUP($A115,ACT[[№]:[№]],ACT[TRUCKING CHARGE],"",0,1)</f>
        <v>0</v>
      </c>
      <c r="S115" s="24" cm="1">
        <f t="array" ref="S115">_xlfn.XLOOKUP($A115,ACT[[№]:[№]],ACT[FCL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280500</v>
      </c>
      <c r="T115" s="24" cm="1">
        <f t="array" ref="T115">_xlfn.XLOOKUP($A115,ACT[[№]:[№]],ACT[Special Wooden Shoring / Специальное деревянное крепление],"",0,1)</f>
        <v>0</v>
      </c>
      <c r="U115" s="9"/>
      <c r="V115" s="24" cm="1">
        <f t="array" ref="V115">_xlfn.XLOOKUP($A115,ACT[[№]:[№]],ACT[Total amount/ Общая стоимость KRW (10+11+12+13+14+15+16)],"",0,1)</f>
        <v>1974694.85</v>
      </c>
      <c r="W115" s="24" cm="1">
        <f t="array" ref="W115">_xlfn.XLOOKUP($A115,ACT[[№]:[№]],ACT[Total amount/ Общая стоимость (17*exchange rate/ обменный курс)
 USD],"",0,1)</f>
        <v>1553.97</v>
      </c>
      <c r="X115" s="9" t="e" cm="1">
        <f t="array" ref="X115">IF(#REF!="",_xlfn.XLOOKUP("МАКС",#REF!,#REF!,,0,1),#REF!)</f>
        <v>#REF!</v>
      </c>
      <c r="Y115" s="12" t="e">
        <f>VLOOKUP(Шаблон_Формулы[[#This Row],[24]],#REF!,2,0)</f>
        <v>#REF!</v>
      </c>
      <c r="Z115" s="26" t="str">
        <f>IFERROR(Шаблон_Формулы[[#This Row],[23]]*Шаблон_Формулы[[#This Row],[25]],"")</f>
        <v/>
      </c>
      <c r="AA115" s="13" t="e" cm="1">
        <f t="array" ref="AA115">#REF!</f>
        <v>#REF!</v>
      </c>
    </row>
    <row r="116" spans="1:27" s="8" customFormat="1" ht="12">
      <c r="A116" s="11">
        <v>112</v>
      </c>
      <c r="B116" s="8" t="str" cm="1">
        <f t="array" ref="B116">_xlfn.XLOOKUP($A116,ACT[[№]:[№]],ACT[Container No/
№ Контейнера],"",0,1)</f>
        <v>TRLU7155784</v>
      </c>
      <c r="C116" s="8" t="str">
        <f t="shared" si="1"/>
        <v>UzAutoKorea</v>
      </c>
      <c r="D116" s="11" t="str" cm="1">
        <f t="array" ref="D116">_xlfn.XLOOKUP($A116,ACT[[№]:[№]],ACT[Container Type/ 
Тип контейнера],"",0,1)</f>
        <v>40'HC</v>
      </c>
      <c r="E116" s="21" cm="1">
        <f t="array" ref="E116">_xlfn.XLOOKUP($A116,ACT[[№]:[№]],ACT[Date of Dispatch/ 
Дата отгрузки],"",0,1)</f>
        <v>44965</v>
      </c>
      <c r="F116" s="22" t="str" cm="1">
        <f t="array" ref="F116">_xlfn.XLOOKUP($A116,ACT[[№]:[№]],ACT[Supplier/ Поставщик],"",0,1)</f>
        <v>DMC (GEM Project)</v>
      </c>
      <c r="G116" s="22" t="str" cm="1">
        <f t="array" ref="G116">_xlfn.XLOOKUP($A116,ACT[[№]:[№]],ACT[Supplier Invoice No/                          № Инвойса Поставщика],"",0,1)</f>
        <v>UZATK0035(18)</v>
      </c>
      <c r="H116" s="23" cm="1">
        <f t="array" ref="H116">_xlfn.XLOOKUP($A116,ACT[[№]:[№]],ACT[CBM],"",0,1)</f>
        <v>41.741</v>
      </c>
      <c r="I116" s="23" cm="1">
        <f t="array" ref="I116">_xlfn.XLOOKUP($A116,ACT[[№]:[№]],ACT[Gross weight, kg/ Вес брутто, кг],"",0,1)</f>
        <v>5669</v>
      </c>
      <c r="J116" s="23" t="str" cm="1">
        <f t="array" ref="J116">_xlfn.XLOOKUP($A116,ACT[[№]:[№]],ACT[Delivery terms / Условия поставки],"",0,1)</f>
        <v>FCA</v>
      </c>
      <c r="K116" s="23" cm="1">
        <f t="array" ref="K116">_xlfn.XLOOKUP($A116,ACT[[№]:[№]],ACT[Container total CBM],"",0,1)</f>
        <v>59.998000000000005</v>
      </c>
      <c r="L116" s="24" cm="1">
        <f t="array" ref="L116">_xlfn.XLOOKUP($A116,ACT[[№]:[№]],ACT[FTL inland freight cost per Invoice Appendix/ Стоимость внутренней наземной перевозки за инвойс Приложение                     KRW],"",0,1)</f>
        <v>659000</v>
      </c>
      <c r="M116" s="24" cm="1">
        <f t="array" ref="M116">_xlfn.XLOOKUP($A116,ACT[[№]:[№]],ACT[Consolidation Work, Loading, Unloading/ Работы по консолидации, Погрузка, Разгрузка (Rate/Тариф - 8000 per CBM)                   KRW],"",0,1)</f>
        <v>354381.09</v>
      </c>
      <c r="N116" s="24" cm="1">
        <f t="array" ref="N116">_xlfn.XLOOKUP($A116,ACT[[№]:[№]],ACT[Shoring, Banding, Sealing, Handling/ Крепление, Перевязка, Опечатование, Обработка
KRW],"",0,1)</f>
        <v>134827.92426414214</v>
      </c>
      <c r="O116" s="24" cm="1">
        <f t="array" ref="O116">_xlfn.XLOOKUP($A116,ACT[[№]:[№]],ACT[Documents Work/ Сбор за подготовку документов
KRW],"",0,1)</f>
        <v>34785.326177539253</v>
      </c>
      <c r="P116" s="24" cm="1">
        <f t="array" ref="P116">_xlfn.XLOOKUP($A116,ACT[[№]:[№]],ACT[THC/ Терминальная обработка
KRW],"",0,1)</f>
        <v>128983.98946631554</v>
      </c>
      <c r="Q116" s="24" cm="1">
        <f t="array" ref="Q116">_xlfn.XLOOKUP($A116,ACT[[№]:[№]],ACT[Wharfage/ Портовая пошлина
KRW],"",0,1)</f>
        <v>6330.9293643121437</v>
      </c>
      <c r="R116" s="24" cm="1">
        <f t="array" ref="R116">_xlfn.XLOOKUP($A116,ACT[[№]:[№]],ACT[TRUCKING CHARGE],"",0,1)</f>
        <v>0</v>
      </c>
      <c r="S116" s="24" cm="1">
        <f t="array" ref="S116">_xlfn.XLOOKUP($A116,ACT[[№]:[№]],ACT[FCL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195145.6798559952</v>
      </c>
      <c r="T116" s="24" cm="1">
        <f t="array" ref="T116">_xlfn.XLOOKUP($A116,ACT[[№]:[№]],ACT[Special Wooden Shoring / Специальное деревянное крепление],"",0,1)</f>
        <v>0</v>
      </c>
      <c r="U116" s="9"/>
      <c r="V116" s="24" cm="1">
        <f t="array" ref="V116">_xlfn.XLOOKUP($A116,ACT[[№]:[№]],ACT[Total amount/ Общая стоимость KRW (10+11+12+13+14+15+16)],"",0,1)</f>
        <v>1513454.9391283044</v>
      </c>
      <c r="W116" s="24" cm="1">
        <f t="array" ref="W116">_xlfn.XLOOKUP($A116,ACT[[№]:[№]],ACT[Total amount/ Общая стоимость (17*exchange rate/ обменный курс)
 USD],"",0,1)</f>
        <v>1191</v>
      </c>
      <c r="X116" s="9" t="e" cm="1">
        <f t="array" ref="X116">IF(#REF!="",_xlfn.XLOOKUP("МАКС",#REF!,#REF!,,0,1),#REF!)</f>
        <v>#REF!</v>
      </c>
      <c r="Y116" s="12" t="e">
        <f>VLOOKUP(Шаблон_Формулы[[#This Row],[24]],#REF!,2,0)</f>
        <v>#REF!</v>
      </c>
      <c r="Z116" s="26" t="str">
        <f>IFERROR(Шаблон_Формулы[[#This Row],[23]]*Шаблон_Формулы[[#This Row],[25]],"")</f>
        <v/>
      </c>
      <c r="AA116" s="13" t="e" cm="1">
        <f t="array" ref="AA116">#REF!</f>
        <v>#REF!</v>
      </c>
    </row>
    <row r="117" spans="1:27" s="8" customFormat="1" ht="12">
      <c r="A117" s="11">
        <v>113</v>
      </c>
      <c r="B117" s="8" t="str" cm="1">
        <f t="array" ref="B117">_xlfn.XLOOKUP($A117,ACT[[№]:[№]],ACT[Container No/
№ Контейнера],"",0,1)</f>
        <v>TRLU7155784</v>
      </c>
      <c r="C117" s="8" t="str">
        <f t="shared" si="1"/>
        <v>UzAutoKorea</v>
      </c>
      <c r="D117" s="11" t="str" cm="1">
        <f t="array" ref="D117">_xlfn.XLOOKUP($A117,ACT[[№]:[№]],ACT[Container Type/ 
Тип контейнера],"",0,1)</f>
        <v>40'HC</v>
      </c>
      <c r="E117" s="21" cm="1">
        <f t="array" ref="E117">_xlfn.XLOOKUP($A117,ACT[[№]:[№]],ACT[Date of Dispatch/ 
Дата отгрузки],"",0,1)</f>
        <v>44965</v>
      </c>
      <c r="F117" s="22" t="str" cm="1">
        <f t="array" ref="F117">_xlfn.XLOOKUP($A117,ACT[[№]:[№]],ACT[Supplier/ Поставщик],"",0,1)</f>
        <v>DMC (GEM Project)</v>
      </c>
      <c r="G117" s="22" t="str" cm="1">
        <f t="array" ref="G117">_xlfn.XLOOKUP($A117,ACT[[№]:[№]],ACT[Supplier Invoice No/                          № Инвойса Поставщика],"",0,1)</f>
        <v>UZATK0035(19)</v>
      </c>
      <c r="H117" s="23" cm="1">
        <f t="array" ref="H117">_xlfn.XLOOKUP($A117,ACT[[№]:[№]],ACT[CBM],"",0,1)</f>
        <v>18.257000000000001</v>
      </c>
      <c r="I117" s="23" cm="1">
        <f t="array" ref="I117">_xlfn.XLOOKUP($A117,ACT[[№]:[№]],ACT[Gross weight, kg/ Вес брутто, кг],"",0,1)</f>
        <v>2066</v>
      </c>
      <c r="J117" s="23" t="str" cm="1">
        <f t="array" ref="J117">_xlfn.XLOOKUP($A117,ACT[[№]:[№]],ACT[Delivery terms / Условия поставки],"",0,1)</f>
        <v>FCA</v>
      </c>
      <c r="K117" s="23" cm="1">
        <f t="array" ref="K117">_xlfn.XLOOKUP($A117,ACT[[№]:[№]],ACT[Container total CBM],"",0,1)</f>
        <v>59.998000000000005</v>
      </c>
      <c r="L117" s="24" cm="1">
        <f t="array" ref="L117">_xlfn.XLOOKUP($A117,ACT[[№]:[№]],ACT[FTL inland freight cost per Invoice Appendix/ Стоимость внутренней наземной перевозки за инвойс Приложение                     KRW],"",0,1)</f>
        <v>331000</v>
      </c>
      <c r="M117" s="24" cm="1">
        <f t="array" ref="M117">_xlfn.XLOOKUP($A117,ACT[[№]:[№]],ACT[Consolidation Work, Loading, Unloading/ Работы по консолидации, Погрузка, Разгрузка (Rate/Тариф - 8000 per CBM)                   KRW],"",0,1)</f>
        <v>155001.93000000002</v>
      </c>
      <c r="N117" s="24" cm="1">
        <f t="array" ref="N117">_xlfn.XLOOKUP($A117,ACT[[№]:[№]],ACT[Shoring, Banding, Sealing, Handling/ Крепление, Перевязка, Опечатование, Обработка
KRW],"",0,1)</f>
        <v>58972.075735857856</v>
      </c>
      <c r="O117" s="24" cm="1">
        <f t="array" ref="O117">_xlfn.XLOOKUP($A117,ACT[[№]:[№]],ACT[Documents Work/ Сбор за подготовку документов
KRW],"",0,1)</f>
        <v>15214.673822460749</v>
      </c>
      <c r="P117" s="24" cm="1">
        <f t="array" ref="P117">_xlfn.XLOOKUP($A117,ACT[[№]:[№]],ACT[THC/ Терминальная обработка
KRW],"",0,1)</f>
        <v>56416.01053368445</v>
      </c>
      <c r="Q117" s="24" cm="1">
        <f t="array" ref="Q117">_xlfn.XLOOKUP($A117,ACT[[№]:[№]],ACT[Wharfage/ Портовая пошлина
KRW],"",0,1)</f>
        <v>2769.0706356878559</v>
      </c>
      <c r="R117" s="24" cm="1">
        <f t="array" ref="R117">_xlfn.XLOOKUP($A117,ACT[[№]:[№]],ACT[TRUCKING CHARGE],"",0,1)</f>
        <v>0</v>
      </c>
      <c r="S117" s="24" cm="1">
        <f t="array" ref="S117">_xlfn.XLOOKUP($A117,ACT[[№]:[№]],ACT[FCL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85354.3201440048</v>
      </c>
      <c r="T117" s="24" cm="1">
        <f t="array" ref="T117">_xlfn.XLOOKUP($A117,ACT[[№]:[№]],ACT[Special Wooden Shoring / Специальное деревянное крепление],"",0,1)</f>
        <v>0</v>
      </c>
      <c r="U117" s="9"/>
      <c r="V117" s="24" cm="1">
        <f t="array" ref="V117">_xlfn.XLOOKUP($A117,ACT[[№]:[№]],ACT[Total amount/ Общая стоимость KRW (10+11+12+13+14+15+16)],"",0,1)</f>
        <v>704728.08087169565</v>
      </c>
      <c r="W117" s="24" cm="1">
        <f t="array" ref="W117">_xlfn.XLOOKUP($A117,ACT[[№]:[№]],ACT[Total amount/ Общая стоимость (17*exchange rate/ обменный курс)
 USD],"",0,1)</f>
        <v>554.58000000000004</v>
      </c>
      <c r="X117" s="9" t="e" cm="1">
        <f t="array" ref="X117">IF(#REF!="",_xlfn.XLOOKUP("МАКС",#REF!,#REF!,,0,1),#REF!)</f>
        <v>#REF!</v>
      </c>
      <c r="Y117" s="12" t="e">
        <f>VLOOKUP(Шаблон_Формулы[[#This Row],[24]],#REF!,2,0)</f>
        <v>#REF!</v>
      </c>
      <c r="Z117" s="26" t="str">
        <f>IFERROR(Шаблон_Формулы[[#This Row],[23]]*Шаблон_Формулы[[#This Row],[25]],"")</f>
        <v/>
      </c>
      <c r="AA117" s="13" t="e" cm="1">
        <f t="array" ref="AA117">#REF!</f>
        <v>#REF!</v>
      </c>
    </row>
    <row r="118" spans="1:27" s="8" customFormat="1" ht="12">
      <c r="A118" s="11">
        <v>114</v>
      </c>
      <c r="B118" s="8" t="str" cm="1">
        <f t="array" ref="B118">_xlfn.XLOOKUP($A118,ACT[[№]:[№]],ACT[Container No/
№ Контейнера],"",0,1)</f>
        <v>CNU8456862</v>
      </c>
      <c r="C118" s="8" t="str">
        <f t="shared" si="1"/>
        <v>UzAutoKorea</v>
      </c>
      <c r="D118" s="11" t="str" cm="1">
        <f t="array" ref="D118">_xlfn.XLOOKUP($A118,ACT[[№]:[№]],ACT[Container Type/ 
Тип контейнера],"",0,1)</f>
        <v>40'HC</v>
      </c>
      <c r="E118" s="21" cm="1">
        <f t="array" ref="E118">_xlfn.XLOOKUP($A118,ACT[[№]:[№]],ACT[Date of Dispatch/ 
Дата отгрузки],"",0,1)</f>
        <v>44965</v>
      </c>
      <c r="F118" s="22" t="str" cm="1">
        <f t="array" ref="F118">_xlfn.XLOOKUP($A118,ACT[[№]:[№]],ACT[Supplier/ Поставщик],"",0,1)</f>
        <v>DMC (GEM Project)</v>
      </c>
      <c r="G118" s="22" t="str" cm="1">
        <f t="array" ref="G118">_xlfn.XLOOKUP($A118,ACT[[№]:[№]],ACT[Supplier Invoice No/                          № Инвойса Поставщика],"",0,1)</f>
        <v>UZATK0035(20)</v>
      </c>
      <c r="H118" s="23" cm="1">
        <f t="array" ref="H118">_xlfn.XLOOKUP($A118,ACT[[№]:[№]],ACT[CBM],"",0,1)</f>
        <v>54.564</v>
      </c>
      <c r="I118" s="23" cm="1">
        <f t="array" ref="I118">_xlfn.XLOOKUP($A118,ACT[[№]:[№]],ACT[Gross weight, kg/ Вес брутто, кг],"",0,1)</f>
        <v>4356</v>
      </c>
      <c r="J118" s="23" t="str" cm="1">
        <f t="array" ref="J118">_xlfn.XLOOKUP($A118,ACT[[№]:[№]],ACT[Delivery terms / Условия поставки],"",0,1)</f>
        <v>FCA</v>
      </c>
      <c r="K118" s="23" cm="1">
        <f t="array" ref="K118">_xlfn.XLOOKUP($A118,ACT[[№]:[№]],ACT[Container total CBM],"",0,1)</f>
        <v>59.936</v>
      </c>
      <c r="L118" s="24" cm="1">
        <f t="array" ref="L118">_xlfn.XLOOKUP($A118,ACT[[№]:[№]],ACT[FTL inland freight cost per Invoice Appendix/ Стоимость внутренней наземной перевозки за инвойс Приложение                     KRW],"",0,1)</f>
        <v>740000</v>
      </c>
      <c r="M118" s="24" cm="1">
        <f t="array" ref="M118">_xlfn.XLOOKUP($A118,ACT[[№]:[№]],ACT[Consolidation Work, Loading, Unloading/ Работы по консолидации, Погрузка, Разгрузка (Rate/Тариф - 8000 per CBM)                   KRW],"",0,1)</f>
        <v>463248.36</v>
      </c>
      <c r="N118" s="24" cm="1">
        <f t="array" ref="N118">_xlfn.XLOOKUP($A118,ACT[[№]:[№]],ACT[Shoring, Banding, Sealing, Handling/ Крепление, Перевязка, Опечатование, Обработка
KRW],"",0,1)</f>
        <v>176429.91190603308</v>
      </c>
      <c r="O118" s="24" cm="1">
        <f t="array" ref="O118">_xlfn.XLOOKUP($A118,ACT[[№]:[№]],ACT[Documents Work/ Сбор за подготовку документов
KRW],"",0,1)</f>
        <v>45518.553123331549</v>
      </c>
      <c r="P118" s="24" cm="1">
        <f t="array" ref="P118">_xlfn.XLOOKUP($A118,ACT[[№]:[№]],ACT[THC/ Терминальная обработка
KRW],"",0,1)</f>
        <v>168782.7949813134</v>
      </c>
      <c r="Q118" s="24" cm="1">
        <f t="array" ref="Q118">_xlfn.XLOOKUP($A118,ACT[[№]:[№]],ACT[Wharfage/ Портовая пошлина
KRW],"",0,1)</f>
        <v>8284.3766684463426</v>
      </c>
      <c r="R118" s="24" cm="1">
        <f t="array" ref="R118">_xlfn.XLOOKUP($A118,ACT[[№]:[№]],ACT[TRUCKING CHARGE],"",0,1)</f>
        <v>0</v>
      </c>
      <c r="S118" s="24" cm="1">
        <f t="array" ref="S118">_xlfn.XLOOKUP($A118,ACT[[№]:[№]],ACT[FCL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255359.08302188999</v>
      </c>
      <c r="T118" s="24" cm="1">
        <f t="array" ref="T118">_xlfn.XLOOKUP($A118,ACT[[№]:[№]],ACT[Special Wooden Shoring / Специальное деревянное крепление],"",0,1)</f>
        <v>0</v>
      </c>
      <c r="U118" s="9"/>
      <c r="V118" s="24" cm="1">
        <f t="array" ref="V118">_xlfn.XLOOKUP($A118,ACT[[№]:[№]],ACT[Total amount/ Общая стоимость KRW (10+11+12+13+14+15+16)],"",0,1)</f>
        <v>1857623.0797010141</v>
      </c>
      <c r="W118" s="24" cm="1">
        <f t="array" ref="W118">_xlfn.XLOOKUP($A118,ACT[[№]:[№]],ACT[Total amount/ Общая стоимость (17*exchange rate/ обменный курс)
 USD],"",0,1)</f>
        <v>1461.84</v>
      </c>
      <c r="X118" s="9" t="e" cm="1">
        <f t="array" ref="X118">IF(#REF!="",_xlfn.XLOOKUP("МАКС",#REF!,#REF!,,0,1),#REF!)</f>
        <v>#REF!</v>
      </c>
      <c r="Y118" s="12" t="e">
        <f>VLOOKUP(Шаблон_Формулы[[#This Row],[24]],#REF!,2,0)</f>
        <v>#REF!</v>
      </c>
      <c r="Z118" s="26" t="str">
        <f>IFERROR(Шаблон_Формулы[[#This Row],[23]]*Шаблон_Формулы[[#This Row],[25]],"")</f>
        <v/>
      </c>
      <c r="AA118" s="13" t="e" cm="1">
        <f t="array" ref="AA118">#REF!</f>
        <v>#REF!</v>
      </c>
    </row>
    <row r="119" spans="1:27" s="8" customFormat="1" ht="12">
      <c r="A119" s="11">
        <v>115</v>
      </c>
      <c r="B119" s="8" t="str" cm="1">
        <f t="array" ref="B119">_xlfn.XLOOKUP($A119,ACT[[№]:[№]],ACT[Container No/
№ Контейнера],"",0,1)</f>
        <v>CNU8456862</v>
      </c>
      <c r="C119" s="8" t="str">
        <f t="shared" si="1"/>
        <v>UzAutoKorea</v>
      </c>
      <c r="D119" s="11" t="str" cm="1">
        <f t="array" ref="D119">_xlfn.XLOOKUP($A119,ACT[[№]:[№]],ACT[Container Type/ 
Тип контейнера],"",0,1)</f>
        <v>40'HC</v>
      </c>
      <c r="E119" s="21" cm="1">
        <f t="array" ref="E119">_xlfn.XLOOKUP($A119,ACT[[№]:[№]],ACT[Date of Dispatch/ 
Дата отгрузки],"",0,1)</f>
        <v>44965</v>
      </c>
      <c r="F119" s="22" t="str" cm="1">
        <f t="array" ref="F119">_xlfn.XLOOKUP($A119,ACT[[№]:[№]],ACT[Supplier/ Поставщик],"",0,1)</f>
        <v>DMC (GEM Project)</v>
      </c>
      <c r="G119" s="22" t="str" cm="1">
        <f t="array" ref="G119">_xlfn.XLOOKUP($A119,ACT[[№]:[№]],ACT[Supplier Invoice No/                          № Инвойса Поставщика],"",0,1)</f>
        <v>UZATK0035(21)</v>
      </c>
      <c r="H119" s="23" cm="1">
        <f t="array" ref="H119">_xlfn.XLOOKUP($A119,ACT[[№]:[№]],ACT[CBM],"",0,1)</f>
        <v>5.3719999999999999</v>
      </c>
      <c r="I119" s="23" cm="1">
        <f t="array" ref="I119">_xlfn.XLOOKUP($A119,ACT[[№]:[№]],ACT[Gross weight, kg/ Вес брутто, кг],"",0,1)</f>
        <v>988</v>
      </c>
      <c r="J119" s="23" t="str" cm="1">
        <f t="array" ref="J119">_xlfn.XLOOKUP($A119,ACT[[№]:[№]],ACT[Delivery terms / Условия поставки],"",0,1)</f>
        <v>FCA</v>
      </c>
      <c r="K119" s="23" cm="1">
        <f t="array" ref="K119">_xlfn.XLOOKUP($A119,ACT[[№]:[№]],ACT[Container total CBM],"",0,1)</f>
        <v>59.936</v>
      </c>
      <c r="L119" s="24" cm="1">
        <f t="array" ref="L119">_xlfn.XLOOKUP($A119,ACT[[№]:[№]],ACT[FTL inland freight cost per Invoice Appendix/ Стоимость внутренней наземной перевозки за инвойс Приложение                     KRW],"",0,1)</f>
        <v>241000</v>
      </c>
      <c r="M119" s="24" cm="1">
        <f t="array" ref="M119">_xlfn.XLOOKUP($A119,ACT[[№]:[№]],ACT[Consolidation Work, Loading, Unloading/ Работы по консолидации, Погрузка, Разгрузка (Rate/Тариф - 8000 per CBM)                   KRW],"",0,1)</f>
        <v>45608.28</v>
      </c>
      <c r="N119" s="24" cm="1">
        <f t="array" ref="N119">_xlfn.XLOOKUP($A119,ACT[[№]:[№]],ACT[Shoring, Banding, Sealing, Handling/ Крепление, Перевязка, Опечатование, Обработка
KRW],"",0,1)</f>
        <v>17370.088093966897</v>
      </c>
      <c r="O119" s="24" cm="1">
        <f t="array" ref="O119">_xlfn.XLOOKUP($A119,ACT[[№]:[№]],ACT[Documents Work/ Сбор за подготовку документов
KRW],"",0,1)</f>
        <v>4481.4468766684458</v>
      </c>
      <c r="P119" s="24" cm="1">
        <f t="array" ref="P119">_xlfn.XLOOKUP($A119,ACT[[№]:[№]],ACT[THC/ Терминальная обработка
KRW],"",0,1)</f>
        <v>16617.2050186866</v>
      </c>
      <c r="Q119" s="24" cm="1">
        <f t="array" ref="Q119">_xlfn.XLOOKUP($A119,ACT[[№]:[№]],ACT[Wharfage/ Портовая пошлина
KRW],"",0,1)</f>
        <v>815.62333155365707</v>
      </c>
      <c r="R119" s="24" cm="1">
        <f t="array" ref="R119">_xlfn.XLOOKUP($A119,ACT[[№]:[№]],ACT[TRUCKING CHARGE],"",0,1)</f>
        <v>0</v>
      </c>
      <c r="S119" s="24" cm="1">
        <f t="array" ref="S119">_xlfn.XLOOKUP($A119,ACT[[№]:[№]],ACT[FCL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25140.916978109984</v>
      </c>
      <c r="T119" s="24" cm="1">
        <f t="array" ref="T119">_xlfn.XLOOKUP($A119,ACT[[№]:[№]],ACT[Special Wooden Shoring / Специальное деревянное крепление],"",0,1)</f>
        <v>0</v>
      </c>
      <c r="U119" s="9"/>
      <c r="V119" s="24" cm="1">
        <f t="array" ref="V119">_xlfn.XLOOKUP($A119,ACT[[№]:[№]],ACT[Total amount/ Общая стоимость KRW (10+11+12+13+14+15+16)],"",0,1)</f>
        <v>351033.56029898557</v>
      </c>
      <c r="W119" s="24" cm="1">
        <f t="array" ref="W119">_xlfn.XLOOKUP($A119,ACT[[№]:[№]],ACT[Total amount/ Общая стоимость (17*exchange rate/ обменный курс)
 USD],"",0,1)</f>
        <v>276.24</v>
      </c>
      <c r="X119" s="9" t="e" cm="1">
        <f t="array" ref="X119">IF(#REF!="",_xlfn.XLOOKUP("МАКС",#REF!,#REF!,,0,1),#REF!)</f>
        <v>#REF!</v>
      </c>
      <c r="Y119" s="12" t="e">
        <f>VLOOKUP(Шаблон_Формулы[[#This Row],[24]],#REF!,2,0)</f>
        <v>#REF!</v>
      </c>
      <c r="Z119" s="26" t="str">
        <f>IFERROR(Шаблон_Формулы[[#This Row],[23]]*Шаблон_Формулы[[#This Row],[25]],"")</f>
        <v/>
      </c>
      <c r="AA119" s="13" t="e" cm="1">
        <f t="array" ref="AA119">#REF!</f>
        <v>#REF!</v>
      </c>
    </row>
    <row r="120" spans="1:27" s="8" customFormat="1" ht="12">
      <c r="A120" s="11">
        <v>116</v>
      </c>
      <c r="B120" s="8" t="str" cm="1">
        <f t="array" ref="B120">_xlfn.XLOOKUP($A120,ACT[[№]:[№]],ACT[Container No/
№ Контейнера],"",0,1)</f>
        <v/>
      </c>
      <c r="C120" s="8" t="str">
        <f t="shared" si="1"/>
        <v>UzAutoKorea</v>
      </c>
      <c r="D120" s="11" t="str" cm="1">
        <f t="array" ref="D120">_xlfn.XLOOKUP($A120,ACT[[№]:[№]],ACT[Container Type/ 
Тип контейнера],"",0,1)</f>
        <v/>
      </c>
      <c r="E120" s="21" t="str" cm="1">
        <f t="array" ref="E120">_xlfn.XLOOKUP($A120,ACT[[№]:[№]],ACT[Date of Dispatch/ 
Дата отгрузки],"",0,1)</f>
        <v/>
      </c>
      <c r="F120" s="22" t="str" cm="1">
        <f t="array" ref="F120">_xlfn.XLOOKUP($A120,ACT[[№]:[№]],ACT[Supplier/ Поставщик],"",0,1)</f>
        <v/>
      </c>
      <c r="G120" s="22" t="str" cm="1">
        <f t="array" ref="G120">_xlfn.XLOOKUP($A120,ACT[[№]:[№]],ACT[Supplier Invoice No/                          № Инвойса Поставщика],"",0,1)</f>
        <v/>
      </c>
      <c r="H120" s="23" t="str" cm="1">
        <f t="array" ref="H120">_xlfn.XLOOKUP($A120,ACT[[№]:[№]],ACT[CBM],"",0,1)</f>
        <v/>
      </c>
      <c r="I120" s="23" t="str" cm="1">
        <f t="array" ref="I120">_xlfn.XLOOKUP($A120,ACT[[№]:[№]],ACT[Gross weight, kg/ Вес брутто, кг],"",0,1)</f>
        <v/>
      </c>
      <c r="J120" s="23" t="str" cm="1">
        <f t="array" ref="J120">_xlfn.XLOOKUP($A120,ACT[[№]:[№]],ACT[Delivery terms / Условия поставки],"",0,1)</f>
        <v/>
      </c>
      <c r="K120" s="23" t="str" cm="1">
        <f t="array" ref="K120">_xlfn.XLOOKUP($A120,ACT[[№]:[№]],ACT[Container total CBM],"",0,1)</f>
        <v/>
      </c>
      <c r="L120" s="24" t="str" cm="1">
        <f t="array" ref="L120">_xlfn.XLOOKUP($A120,ACT[[№]:[№]],ACT[FTL inland freight cost per Invoice Appendix/ Стоимость внутренней наземной перевозки за инвойс Приложение                     KRW],"",0,1)</f>
        <v/>
      </c>
      <c r="M120" s="24" t="str" cm="1">
        <f t="array" ref="M120">_xlfn.XLOOKUP($A120,ACT[[№]:[№]],ACT[Consolidation Work, Loading, Unloading/ Работы по консолидации, Погрузка, Разгрузка (Rate/Тариф - 8000 per CBM)                   KRW],"",0,1)</f>
        <v/>
      </c>
      <c r="N120" s="24" t="str" cm="1">
        <f t="array" ref="N120">_xlfn.XLOOKUP($A120,ACT[[№]:[№]],ACT[Shoring, Banding, Sealing, Handling/ Крепление, Перевязка, Опечатование, Обработка
KRW],"",0,1)</f>
        <v/>
      </c>
      <c r="O120" s="24" t="str" cm="1">
        <f t="array" ref="O120">_xlfn.XLOOKUP($A120,ACT[[№]:[№]],ACT[Documents Work/ Сбор за подготовку документов
KRW],"",0,1)</f>
        <v/>
      </c>
      <c r="P120" s="24" t="str" cm="1">
        <f t="array" ref="P120">_xlfn.XLOOKUP($A120,ACT[[№]:[№]],ACT[THC/ Терминальная обработка
KRW],"",0,1)</f>
        <v/>
      </c>
      <c r="Q120" s="24" t="str" cm="1">
        <f t="array" ref="Q120">_xlfn.XLOOKUP($A120,ACT[[№]:[№]],ACT[Wharfage/ Портовая пошлина
KRW],"",0,1)</f>
        <v/>
      </c>
      <c r="R120" s="24" t="str" cm="1">
        <f t="array" ref="R120">_xlfn.XLOOKUP($A120,ACT[[№]:[№]],ACT[TRUCKING CHARGE],"",0,1)</f>
        <v/>
      </c>
      <c r="S120" s="24" t="str" cm="1">
        <f t="array" ref="S120">_xlfn.XLOOKUP($A120,ACT[[№]:[№]],ACT[FCL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0" s="24" t="str" cm="1">
        <f t="array" ref="T120">_xlfn.XLOOKUP($A120,ACT[[№]:[№]],ACT[Special Wooden Shoring / Специальное деревянное крепление],"",0,1)</f>
        <v/>
      </c>
      <c r="U120" s="9"/>
      <c r="V120" s="24" t="str" cm="1">
        <f t="array" ref="V120">_xlfn.XLOOKUP($A120,ACT[[№]:[№]],ACT[Total amount/ Общая стоимость KRW (10+11+12+13+14+15+16)],"",0,1)</f>
        <v/>
      </c>
      <c r="W120" s="24" t="str" cm="1">
        <f t="array" ref="W120">_xlfn.XLOOKUP($A120,ACT[[№]:[№]],ACT[Total amount/ Общая стоимость (17*exchange rate/ обменный курс)
 USD],"",0,1)</f>
        <v/>
      </c>
      <c r="X120" s="9" t="e" cm="1">
        <f t="array" ref="X120">IF(#REF!="",_xlfn.XLOOKUP("МАКС",#REF!,#REF!,,0,1),#REF!)</f>
        <v>#REF!</v>
      </c>
      <c r="Y120" s="12" t="e">
        <f>VLOOKUP(Шаблон_Формулы[[#This Row],[24]],#REF!,2,0)</f>
        <v>#REF!</v>
      </c>
      <c r="Z120" s="26" t="str">
        <f>IFERROR(Шаблон_Формулы[[#This Row],[23]]*Шаблон_Формулы[[#This Row],[25]],"")</f>
        <v/>
      </c>
      <c r="AA120" s="13" t="e" cm="1">
        <f t="array" ref="AA120">#REF!</f>
        <v>#REF!</v>
      </c>
    </row>
    <row r="121" spans="1:27" s="8" customFormat="1" ht="12">
      <c r="A121" s="11">
        <v>117</v>
      </c>
      <c r="B121" s="8" t="str" cm="1">
        <f t="array" ref="B121">_xlfn.XLOOKUP($A121,ACT[[№]:[№]],ACT[Container No/
№ Контейнера],"",0,1)</f>
        <v/>
      </c>
      <c r="C121" s="8" t="str">
        <f t="shared" si="1"/>
        <v>UzAutoKorea</v>
      </c>
      <c r="D121" s="11" t="str" cm="1">
        <f t="array" ref="D121">_xlfn.XLOOKUP($A121,ACT[[№]:[№]],ACT[Container Type/ 
Тип контейнера],"",0,1)</f>
        <v/>
      </c>
      <c r="E121" s="21" t="str" cm="1">
        <f t="array" ref="E121">_xlfn.XLOOKUP($A121,ACT[[№]:[№]],ACT[Date of Dispatch/ 
Дата отгрузки],"",0,1)</f>
        <v/>
      </c>
      <c r="F121" s="22" t="str" cm="1">
        <f t="array" ref="F121">_xlfn.XLOOKUP($A121,ACT[[№]:[№]],ACT[Supplier/ Поставщик],"",0,1)</f>
        <v/>
      </c>
      <c r="G121" s="22" t="str" cm="1">
        <f t="array" ref="G121">_xlfn.XLOOKUP($A121,ACT[[№]:[№]],ACT[Supplier Invoice No/                          № Инвойса Поставщика],"",0,1)</f>
        <v/>
      </c>
      <c r="H121" s="23" t="str" cm="1">
        <f t="array" ref="H121">_xlfn.XLOOKUP($A121,ACT[[№]:[№]],ACT[CBM],"",0,1)</f>
        <v/>
      </c>
      <c r="I121" s="23" t="str" cm="1">
        <f t="array" ref="I121">_xlfn.XLOOKUP($A121,ACT[[№]:[№]],ACT[Gross weight, kg/ Вес брутто, кг],"",0,1)</f>
        <v/>
      </c>
      <c r="J121" s="23" t="str" cm="1">
        <f t="array" ref="J121">_xlfn.XLOOKUP($A121,ACT[[№]:[№]],ACT[Delivery terms / Условия поставки],"",0,1)</f>
        <v/>
      </c>
      <c r="K121" s="23" t="str" cm="1">
        <f t="array" ref="K121">_xlfn.XLOOKUP($A121,ACT[[№]:[№]],ACT[Container total CBM],"",0,1)</f>
        <v/>
      </c>
      <c r="L121" s="24" t="str" cm="1">
        <f t="array" ref="L121">_xlfn.XLOOKUP($A121,ACT[[№]:[№]],ACT[FTL inland freight cost per Invoice Appendix/ Стоимость внутренней наземной перевозки за инвойс Приложение                     KRW],"",0,1)</f>
        <v/>
      </c>
      <c r="M121" s="24" t="str" cm="1">
        <f t="array" ref="M121">_xlfn.XLOOKUP($A121,ACT[[№]:[№]],ACT[Consolidation Work, Loading, Unloading/ Работы по консолидации, Погрузка, Разгрузка (Rate/Тариф - 8000 per CBM)                   KRW],"",0,1)</f>
        <v/>
      </c>
      <c r="N121" s="24" t="str" cm="1">
        <f t="array" ref="N121">_xlfn.XLOOKUP($A121,ACT[[№]:[№]],ACT[Shoring, Banding, Sealing, Handling/ Крепление, Перевязка, Опечатование, Обработка
KRW],"",0,1)</f>
        <v/>
      </c>
      <c r="O121" s="24" t="str" cm="1">
        <f t="array" ref="O121">_xlfn.XLOOKUP($A121,ACT[[№]:[№]],ACT[Documents Work/ Сбор за подготовку документов
KRW],"",0,1)</f>
        <v/>
      </c>
      <c r="P121" s="24" t="str" cm="1">
        <f t="array" ref="P121">_xlfn.XLOOKUP($A121,ACT[[№]:[№]],ACT[THC/ Терминальная обработка
KRW],"",0,1)</f>
        <v/>
      </c>
      <c r="Q121" s="24" t="str" cm="1">
        <f t="array" ref="Q121">_xlfn.XLOOKUP($A121,ACT[[№]:[№]],ACT[Wharfage/ Портовая пошлина
KRW],"",0,1)</f>
        <v/>
      </c>
      <c r="R121" s="24" t="str" cm="1">
        <f t="array" ref="R121">_xlfn.XLOOKUP($A121,ACT[[№]:[№]],ACT[TRUCKING CHARGE],"",0,1)</f>
        <v/>
      </c>
      <c r="S121" s="24" t="str" cm="1">
        <f t="array" ref="S121">_xlfn.XLOOKUP($A121,ACT[[№]:[№]],ACT[FCL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1" s="24" t="str" cm="1">
        <f t="array" ref="T121">_xlfn.XLOOKUP($A121,ACT[[№]:[№]],ACT[Special Wooden Shoring / Специальное деревянное крепление],"",0,1)</f>
        <v/>
      </c>
      <c r="U121" s="9"/>
      <c r="V121" s="24" t="str" cm="1">
        <f t="array" ref="V121">_xlfn.XLOOKUP($A121,ACT[[№]:[№]],ACT[Total amount/ Общая стоимость KRW (10+11+12+13+14+15+16)],"",0,1)</f>
        <v/>
      </c>
      <c r="W121" s="24" t="str" cm="1">
        <f t="array" ref="W121">_xlfn.XLOOKUP($A121,ACT[[№]:[№]],ACT[Total amount/ Общая стоимость (17*exchange rate/ обменный курс)
 USD],"",0,1)</f>
        <v/>
      </c>
      <c r="X121" s="9" t="e" cm="1">
        <f t="array" ref="X121">IF(#REF!="",_xlfn.XLOOKUP("МАКС",#REF!,#REF!,,0,1),#REF!)</f>
        <v>#REF!</v>
      </c>
      <c r="Y121" s="12" t="e">
        <f>VLOOKUP(Шаблон_Формулы[[#This Row],[24]],#REF!,2,0)</f>
        <v>#REF!</v>
      </c>
      <c r="Z121" s="26" t="str">
        <f>IFERROR(Шаблон_Формулы[[#This Row],[23]]*Шаблон_Формулы[[#This Row],[25]],"")</f>
        <v/>
      </c>
      <c r="AA121" s="13" t="e" cm="1">
        <f t="array" ref="AA121">#REF!</f>
        <v>#REF!</v>
      </c>
    </row>
    <row r="122" spans="1:27" s="8" customFormat="1" ht="12">
      <c r="A122" s="11">
        <v>118</v>
      </c>
      <c r="B122" s="8" t="str" cm="1">
        <f t="array" ref="B122">_xlfn.XLOOKUP($A122,ACT[[№]:[№]],ACT[Container No/
№ Контейнера],"",0,1)</f>
        <v/>
      </c>
      <c r="C122" s="8" t="str">
        <f t="shared" si="1"/>
        <v>UzAutoKorea</v>
      </c>
      <c r="D122" s="11" t="str" cm="1">
        <f t="array" ref="D122">_xlfn.XLOOKUP($A122,ACT[[№]:[№]],ACT[Container Type/ 
Тип контейнера],"",0,1)</f>
        <v/>
      </c>
      <c r="E122" s="21" t="str" cm="1">
        <f t="array" ref="E122">_xlfn.XLOOKUP($A122,ACT[[№]:[№]],ACT[Date of Dispatch/ 
Дата отгрузки],"",0,1)</f>
        <v/>
      </c>
      <c r="F122" s="22" t="str" cm="1">
        <f t="array" ref="F122">_xlfn.XLOOKUP($A122,ACT[[№]:[№]],ACT[Supplier/ Поставщик],"",0,1)</f>
        <v/>
      </c>
      <c r="G122" s="22" t="str" cm="1">
        <f t="array" ref="G122">_xlfn.XLOOKUP($A122,ACT[[№]:[№]],ACT[Supplier Invoice No/                          № Инвойса Поставщика],"",0,1)</f>
        <v/>
      </c>
      <c r="H122" s="23" t="str" cm="1">
        <f t="array" ref="H122">_xlfn.XLOOKUP($A122,ACT[[№]:[№]],ACT[CBM],"",0,1)</f>
        <v/>
      </c>
      <c r="I122" s="23" t="str" cm="1">
        <f t="array" ref="I122">_xlfn.XLOOKUP($A122,ACT[[№]:[№]],ACT[Gross weight, kg/ Вес брутто, кг],"",0,1)</f>
        <v/>
      </c>
      <c r="J122" s="23" t="str" cm="1">
        <f t="array" ref="J122">_xlfn.XLOOKUP($A122,ACT[[№]:[№]],ACT[Delivery terms / Условия поставки],"",0,1)</f>
        <v/>
      </c>
      <c r="K122" s="23" t="str" cm="1">
        <f t="array" ref="K122">_xlfn.XLOOKUP($A122,ACT[[№]:[№]],ACT[Container total CBM],"",0,1)</f>
        <v/>
      </c>
      <c r="L122" s="24" t="str" cm="1">
        <f t="array" ref="L122">_xlfn.XLOOKUP($A122,ACT[[№]:[№]],ACT[FTL inland freight cost per Invoice Appendix/ Стоимость внутренней наземной перевозки за инвойс Приложение                     KRW],"",0,1)</f>
        <v/>
      </c>
      <c r="M122" s="24" t="str" cm="1">
        <f t="array" ref="M122">_xlfn.XLOOKUP($A122,ACT[[№]:[№]],ACT[Consolidation Work, Loading, Unloading/ Работы по консолидации, Погрузка, Разгрузка (Rate/Тариф - 8000 per CBM)                   KRW],"",0,1)</f>
        <v/>
      </c>
      <c r="N122" s="24" t="str" cm="1">
        <f t="array" ref="N122">_xlfn.XLOOKUP($A122,ACT[[№]:[№]],ACT[Shoring, Banding, Sealing, Handling/ Крепление, Перевязка, Опечатование, Обработка
KRW],"",0,1)</f>
        <v/>
      </c>
      <c r="O122" s="24" t="str" cm="1">
        <f t="array" ref="O122">_xlfn.XLOOKUP($A122,ACT[[№]:[№]],ACT[Documents Work/ Сбор за подготовку документов
KRW],"",0,1)</f>
        <v/>
      </c>
      <c r="P122" s="24" t="str" cm="1">
        <f t="array" ref="P122">_xlfn.XLOOKUP($A122,ACT[[№]:[№]],ACT[THC/ Терминальная обработка
KRW],"",0,1)</f>
        <v/>
      </c>
      <c r="Q122" s="24" t="str" cm="1">
        <f t="array" ref="Q122">_xlfn.XLOOKUP($A122,ACT[[№]:[№]],ACT[Wharfage/ Портовая пошлина
KRW],"",0,1)</f>
        <v/>
      </c>
      <c r="R122" s="24" t="str" cm="1">
        <f t="array" ref="R122">_xlfn.XLOOKUP($A122,ACT[[№]:[№]],ACT[TRUCKING CHARGE],"",0,1)</f>
        <v/>
      </c>
      <c r="S122" s="24" t="str" cm="1">
        <f t="array" ref="S122">_xlfn.XLOOKUP($A122,ACT[[№]:[№]],ACT[FCL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2" s="24" t="str" cm="1">
        <f t="array" ref="T122">_xlfn.XLOOKUP($A122,ACT[[№]:[№]],ACT[Special Wooden Shoring / Специальное деревянное крепление],"",0,1)</f>
        <v/>
      </c>
      <c r="U122" s="9"/>
      <c r="V122" s="24" t="str" cm="1">
        <f t="array" ref="V122">_xlfn.XLOOKUP($A122,ACT[[№]:[№]],ACT[Total amount/ Общая стоимость KRW (10+11+12+13+14+15+16)],"",0,1)</f>
        <v/>
      </c>
      <c r="W122" s="24" t="str" cm="1">
        <f t="array" ref="W122">_xlfn.XLOOKUP($A122,ACT[[№]:[№]],ACT[Total amount/ Общая стоимость (17*exchange rate/ обменный курс)
 USD],"",0,1)</f>
        <v/>
      </c>
      <c r="X122" s="9" t="e" cm="1">
        <f t="array" ref="X122">IF(#REF!="",_xlfn.XLOOKUP("МАКС",#REF!,#REF!,,0,1),#REF!)</f>
        <v>#REF!</v>
      </c>
      <c r="Y122" s="12" t="e">
        <f>VLOOKUP(Шаблон_Формулы[[#This Row],[24]],#REF!,2,0)</f>
        <v>#REF!</v>
      </c>
      <c r="Z122" s="26" t="str">
        <f>IFERROR(Шаблон_Формулы[[#This Row],[23]]*Шаблон_Формулы[[#This Row],[25]],"")</f>
        <v/>
      </c>
      <c r="AA122" s="13" t="e" cm="1">
        <f t="array" ref="AA122">#REF!</f>
        <v>#REF!</v>
      </c>
    </row>
    <row r="123" spans="1:27" s="8" customFormat="1" ht="12">
      <c r="A123" s="11">
        <v>119</v>
      </c>
      <c r="B123" s="8" t="str" cm="1">
        <f t="array" ref="B123">_xlfn.XLOOKUP($A123,ACT[[№]:[№]],ACT[Container No/
№ Контейнера],"",0,1)</f>
        <v/>
      </c>
      <c r="C123" s="8" t="str">
        <f t="shared" si="1"/>
        <v>UzAutoKorea</v>
      </c>
      <c r="D123" s="11" t="str" cm="1">
        <f t="array" ref="D123">_xlfn.XLOOKUP($A123,ACT[[№]:[№]],ACT[Container Type/ 
Тип контейнера],"",0,1)</f>
        <v/>
      </c>
      <c r="E123" s="21" t="str" cm="1">
        <f t="array" ref="E123">_xlfn.XLOOKUP($A123,ACT[[№]:[№]],ACT[Date of Dispatch/ 
Дата отгрузки],"",0,1)</f>
        <v/>
      </c>
      <c r="F123" s="22" t="str" cm="1">
        <f t="array" ref="F123">_xlfn.XLOOKUP($A123,ACT[[№]:[№]],ACT[Supplier/ Поставщик],"",0,1)</f>
        <v/>
      </c>
      <c r="G123" s="22" t="str" cm="1">
        <f t="array" ref="G123">_xlfn.XLOOKUP($A123,ACT[[№]:[№]],ACT[Supplier Invoice No/                          № Инвойса Поставщика],"",0,1)</f>
        <v/>
      </c>
      <c r="H123" s="23" t="str" cm="1">
        <f t="array" ref="H123">_xlfn.XLOOKUP($A123,ACT[[№]:[№]],ACT[CBM],"",0,1)</f>
        <v/>
      </c>
      <c r="I123" s="23" t="str" cm="1">
        <f t="array" ref="I123">_xlfn.XLOOKUP($A123,ACT[[№]:[№]],ACT[Gross weight, kg/ Вес брутто, кг],"",0,1)</f>
        <v/>
      </c>
      <c r="J123" s="23" t="str" cm="1">
        <f t="array" ref="J123">_xlfn.XLOOKUP($A123,ACT[[№]:[№]],ACT[Delivery terms / Условия поставки],"",0,1)</f>
        <v/>
      </c>
      <c r="K123" s="23" t="str" cm="1">
        <f t="array" ref="K123">_xlfn.XLOOKUP($A123,ACT[[№]:[№]],ACT[Container total CBM],"",0,1)</f>
        <v/>
      </c>
      <c r="L123" s="24" t="str" cm="1">
        <f t="array" ref="L123">_xlfn.XLOOKUP($A123,ACT[[№]:[№]],ACT[FTL inland freight cost per Invoice Appendix/ Стоимость внутренней наземной перевозки за инвойс Приложение                     KRW],"",0,1)</f>
        <v/>
      </c>
      <c r="M123" s="24" t="str" cm="1">
        <f t="array" ref="M123">_xlfn.XLOOKUP($A123,ACT[[№]:[№]],ACT[Consolidation Work, Loading, Unloading/ Работы по консолидации, Погрузка, Разгрузка (Rate/Тариф - 8000 per CBM)                   KRW],"",0,1)</f>
        <v/>
      </c>
      <c r="N123" s="24" t="str" cm="1">
        <f t="array" ref="N123">_xlfn.XLOOKUP($A123,ACT[[№]:[№]],ACT[Shoring, Banding, Sealing, Handling/ Крепление, Перевязка, Опечатование, Обработка
KRW],"",0,1)</f>
        <v/>
      </c>
      <c r="O123" s="24" t="str" cm="1">
        <f t="array" ref="O123">_xlfn.XLOOKUP($A123,ACT[[№]:[№]],ACT[Documents Work/ Сбор за подготовку документов
KRW],"",0,1)</f>
        <v/>
      </c>
      <c r="P123" s="24" t="str" cm="1">
        <f t="array" ref="P123">_xlfn.XLOOKUP($A123,ACT[[№]:[№]],ACT[THC/ Терминальная обработка
KRW],"",0,1)</f>
        <v/>
      </c>
      <c r="Q123" s="24" t="str" cm="1">
        <f t="array" ref="Q123">_xlfn.XLOOKUP($A123,ACT[[№]:[№]],ACT[Wharfage/ Портовая пошлина
KRW],"",0,1)</f>
        <v/>
      </c>
      <c r="R123" s="24" t="str" cm="1">
        <f t="array" ref="R123">_xlfn.XLOOKUP($A123,ACT[[№]:[№]],ACT[TRUCKING CHARGE],"",0,1)</f>
        <v/>
      </c>
      <c r="S123" s="24" t="str" cm="1">
        <f t="array" ref="S123">_xlfn.XLOOKUP($A123,ACT[[№]:[№]],ACT[FCL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3" s="24" t="str" cm="1">
        <f t="array" ref="T123">_xlfn.XLOOKUP($A123,ACT[[№]:[№]],ACT[Special Wooden Shoring / Специальное деревянное крепление],"",0,1)</f>
        <v/>
      </c>
      <c r="U123" s="9"/>
      <c r="V123" s="24" t="str" cm="1">
        <f t="array" ref="V123">_xlfn.XLOOKUP($A123,ACT[[№]:[№]],ACT[Total amount/ Общая стоимость KRW (10+11+12+13+14+15+16)],"",0,1)</f>
        <v/>
      </c>
      <c r="W123" s="24" t="str" cm="1">
        <f t="array" ref="W123">_xlfn.XLOOKUP($A123,ACT[[№]:[№]],ACT[Total amount/ Общая стоимость (17*exchange rate/ обменный курс)
 USD],"",0,1)</f>
        <v/>
      </c>
      <c r="X123" s="9" t="e" cm="1">
        <f t="array" ref="X123">IF(#REF!="",_xlfn.XLOOKUP("МАКС",#REF!,#REF!,,0,1),#REF!)</f>
        <v>#REF!</v>
      </c>
      <c r="Y123" s="12" t="e">
        <f>VLOOKUP(Шаблон_Формулы[[#This Row],[24]],#REF!,2,0)</f>
        <v>#REF!</v>
      </c>
      <c r="Z123" s="26" t="str">
        <f>IFERROR(Шаблон_Формулы[[#This Row],[23]]*Шаблон_Формулы[[#This Row],[25]],"")</f>
        <v/>
      </c>
      <c r="AA123" s="13" t="e" cm="1">
        <f t="array" ref="AA123">#REF!</f>
        <v>#REF!</v>
      </c>
    </row>
    <row r="124" spans="1:27" s="8" customFormat="1" ht="12">
      <c r="A124" s="11">
        <v>120</v>
      </c>
      <c r="B124" s="8" t="str" cm="1">
        <f t="array" ref="B124">_xlfn.XLOOKUP($A124,ACT[[№]:[№]],ACT[Container No/
№ Контейнера],"",0,1)</f>
        <v/>
      </c>
      <c r="C124" s="8" t="str">
        <f t="shared" si="1"/>
        <v>UzAutoKorea</v>
      </c>
      <c r="D124" s="11" t="str" cm="1">
        <f t="array" ref="D124">_xlfn.XLOOKUP($A124,ACT[[№]:[№]],ACT[Container Type/ 
Тип контейнера],"",0,1)</f>
        <v/>
      </c>
      <c r="E124" s="21" t="str" cm="1">
        <f t="array" ref="E124">_xlfn.XLOOKUP($A124,ACT[[№]:[№]],ACT[Date of Dispatch/ 
Дата отгрузки],"",0,1)</f>
        <v/>
      </c>
      <c r="F124" s="22" t="str" cm="1">
        <f t="array" ref="F124">_xlfn.XLOOKUP($A124,ACT[[№]:[№]],ACT[Supplier/ Поставщик],"",0,1)</f>
        <v/>
      </c>
      <c r="G124" s="22" t="str" cm="1">
        <f t="array" ref="G124">_xlfn.XLOOKUP($A124,ACT[[№]:[№]],ACT[Supplier Invoice No/                          № Инвойса Поставщика],"",0,1)</f>
        <v/>
      </c>
      <c r="H124" s="23" t="str" cm="1">
        <f t="array" ref="H124">_xlfn.XLOOKUP($A124,ACT[[№]:[№]],ACT[CBM],"",0,1)</f>
        <v/>
      </c>
      <c r="I124" s="23" t="str" cm="1">
        <f t="array" ref="I124">_xlfn.XLOOKUP($A124,ACT[[№]:[№]],ACT[Gross weight, kg/ Вес брутто, кг],"",0,1)</f>
        <v/>
      </c>
      <c r="J124" s="23" t="str" cm="1">
        <f t="array" ref="J124">_xlfn.XLOOKUP($A124,ACT[[№]:[№]],ACT[Delivery terms / Условия поставки],"",0,1)</f>
        <v/>
      </c>
      <c r="K124" s="23" t="str" cm="1">
        <f t="array" ref="K124">_xlfn.XLOOKUP($A124,ACT[[№]:[№]],ACT[Container total CBM],"",0,1)</f>
        <v/>
      </c>
      <c r="L124" s="24" t="str" cm="1">
        <f t="array" ref="L124">_xlfn.XLOOKUP($A124,ACT[[№]:[№]],ACT[FTL inland freight cost per Invoice Appendix/ Стоимость внутренней наземной перевозки за инвойс Приложение                     KRW],"",0,1)</f>
        <v/>
      </c>
      <c r="M124" s="24" t="str" cm="1">
        <f t="array" ref="M124">_xlfn.XLOOKUP($A124,ACT[[№]:[№]],ACT[Consolidation Work, Loading, Unloading/ Работы по консолидации, Погрузка, Разгрузка (Rate/Тариф - 8000 per CBM)                   KRW],"",0,1)</f>
        <v/>
      </c>
      <c r="N124" s="24" t="str" cm="1">
        <f t="array" ref="N124">_xlfn.XLOOKUP($A124,ACT[[№]:[№]],ACT[Shoring, Banding, Sealing, Handling/ Крепление, Перевязка, Опечатование, Обработка
KRW],"",0,1)</f>
        <v/>
      </c>
      <c r="O124" s="24" t="str" cm="1">
        <f t="array" ref="O124">_xlfn.XLOOKUP($A124,ACT[[№]:[№]],ACT[Documents Work/ Сбор за подготовку документов
KRW],"",0,1)</f>
        <v/>
      </c>
      <c r="P124" s="24" t="str" cm="1">
        <f t="array" ref="P124">_xlfn.XLOOKUP($A124,ACT[[№]:[№]],ACT[THC/ Терминальная обработка
KRW],"",0,1)</f>
        <v/>
      </c>
      <c r="Q124" s="24" t="str" cm="1">
        <f t="array" ref="Q124">_xlfn.XLOOKUP($A124,ACT[[№]:[№]],ACT[Wharfage/ Портовая пошлина
KRW],"",0,1)</f>
        <v/>
      </c>
      <c r="R124" s="24" t="str" cm="1">
        <f t="array" ref="R124">_xlfn.XLOOKUP($A124,ACT[[№]:[№]],ACT[TRUCKING CHARGE],"",0,1)</f>
        <v/>
      </c>
      <c r="S124" s="24" t="str" cm="1">
        <f t="array" ref="S124">_xlfn.XLOOKUP($A124,ACT[[№]:[№]],ACT[FCL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4" s="24" t="str" cm="1">
        <f t="array" ref="T124">_xlfn.XLOOKUP($A124,ACT[[№]:[№]],ACT[Special Wooden Shoring / Специальное деревянное крепление],"",0,1)</f>
        <v/>
      </c>
      <c r="U124" s="9"/>
      <c r="V124" s="24" t="str" cm="1">
        <f t="array" ref="V124">_xlfn.XLOOKUP($A124,ACT[[№]:[№]],ACT[Total amount/ Общая стоимость KRW (10+11+12+13+14+15+16)],"",0,1)</f>
        <v/>
      </c>
      <c r="W124" s="24" t="str" cm="1">
        <f t="array" ref="W124">_xlfn.XLOOKUP($A124,ACT[[№]:[№]],ACT[Total amount/ Общая стоимость (17*exchange rate/ обменный курс)
 USD],"",0,1)</f>
        <v/>
      </c>
      <c r="X124" s="9" t="e" cm="1">
        <f t="array" ref="X124">IF(#REF!="",_xlfn.XLOOKUP("МАКС",#REF!,#REF!,,0,1),#REF!)</f>
        <v>#REF!</v>
      </c>
      <c r="Y124" s="12" t="e">
        <f>VLOOKUP(Шаблон_Формулы[[#This Row],[24]],#REF!,2,0)</f>
        <v>#REF!</v>
      </c>
      <c r="Z124" s="26" t="str">
        <f>IFERROR(Шаблон_Формулы[[#This Row],[23]]*Шаблон_Формулы[[#This Row],[25]],"")</f>
        <v/>
      </c>
      <c r="AA124" s="13" t="e" cm="1">
        <f t="array" ref="AA124">#REF!</f>
        <v>#REF!</v>
      </c>
    </row>
    <row r="125" spans="1:27" s="8" customFormat="1" ht="12">
      <c r="A125" s="11">
        <v>121</v>
      </c>
      <c r="B125" s="8" t="str" cm="1">
        <f t="array" ref="B125">_xlfn.XLOOKUP($A125,ACT[[№]:[№]],ACT[Container No/
№ Контейнера],"",0,1)</f>
        <v/>
      </c>
      <c r="C125" s="8" t="str">
        <f t="shared" si="1"/>
        <v>UzAutoKorea</v>
      </c>
      <c r="D125" s="11" t="str" cm="1">
        <f t="array" ref="D125">_xlfn.XLOOKUP($A125,ACT[[№]:[№]],ACT[Container Type/ 
Тип контейнера],"",0,1)</f>
        <v/>
      </c>
      <c r="E125" s="21" t="str" cm="1">
        <f t="array" ref="E125">_xlfn.XLOOKUP($A125,ACT[[№]:[№]],ACT[Date of Dispatch/ 
Дата отгрузки],"",0,1)</f>
        <v/>
      </c>
      <c r="F125" s="22" t="str" cm="1">
        <f t="array" ref="F125">_xlfn.XLOOKUP($A125,ACT[[№]:[№]],ACT[Supplier/ Поставщик],"",0,1)</f>
        <v/>
      </c>
      <c r="G125" s="22" t="str" cm="1">
        <f t="array" ref="G125">_xlfn.XLOOKUP($A125,ACT[[№]:[№]],ACT[Supplier Invoice No/                          № Инвойса Поставщика],"",0,1)</f>
        <v/>
      </c>
      <c r="H125" s="23" t="str" cm="1">
        <f t="array" ref="H125">_xlfn.XLOOKUP($A125,ACT[[№]:[№]],ACT[CBM],"",0,1)</f>
        <v/>
      </c>
      <c r="I125" s="23" t="str" cm="1">
        <f t="array" ref="I125">_xlfn.XLOOKUP($A125,ACT[[№]:[№]],ACT[Gross weight, kg/ Вес брутто, кг],"",0,1)</f>
        <v/>
      </c>
      <c r="J125" s="23" t="str" cm="1">
        <f t="array" ref="J125">_xlfn.XLOOKUP($A125,ACT[[№]:[№]],ACT[Delivery terms / Условия поставки],"",0,1)</f>
        <v/>
      </c>
      <c r="K125" s="23" t="str" cm="1">
        <f t="array" ref="K125">_xlfn.XLOOKUP($A125,ACT[[№]:[№]],ACT[Container total CBM],"",0,1)</f>
        <v/>
      </c>
      <c r="L125" s="24" t="str" cm="1">
        <f t="array" ref="L125">_xlfn.XLOOKUP($A125,ACT[[№]:[№]],ACT[FTL inland freight cost per Invoice Appendix/ Стоимость внутренней наземной перевозки за инвойс Приложение                     KRW],"",0,1)</f>
        <v/>
      </c>
      <c r="M125" s="24" t="str" cm="1">
        <f t="array" ref="M125">_xlfn.XLOOKUP($A125,ACT[[№]:[№]],ACT[Consolidation Work, Loading, Unloading/ Работы по консолидации, Погрузка, Разгрузка (Rate/Тариф - 8000 per CBM)                   KRW],"",0,1)</f>
        <v/>
      </c>
      <c r="N125" s="24" t="str" cm="1">
        <f t="array" ref="N125">_xlfn.XLOOKUP($A125,ACT[[№]:[№]],ACT[Shoring, Banding, Sealing, Handling/ Крепление, Перевязка, Опечатование, Обработка
KRW],"",0,1)</f>
        <v/>
      </c>
      <c r="O125" s="24" t="str" cm="1">
        <f t="array" ref="O125">_xlfn.XLOOKUP($A125,ACT[[№]:[№]],ACT[Documents Work/ Сбор за подготовку документов
KRW],"",0,1)</f>
        <v/>
      </c>
      <c r="P125" s="24" t="str" cm="1">
        <f t="array" ref="P125">_xlfn.XLOOKUP($A125,ACT[[№]:[№]],ACT[THC/ Терминальная обработка
KRW],"",0,1)</f>
        <v/>
      </c>
      <c r="Q125" s="24" t="str" cm="1">
        <f t="array" ref="Q125">_xlfn.XLOOKUP($A125,ACT[[№]:[№]],ACT[Wharfage/ Портовая пошлина
KRW],"",0,1)</f>
        <v/>
      </c>
      <c r="R125" s="24" t="str" cm="1">
        <f t="array" ref="R125">_xlfn.XLOOKUP($A125,ACT[[№]:[№]],ACT[TRUCKING CHARGE],"",0,1)</f>
        <v/>
      </c>
      <c r="S125" s="24" t="str" cm="1">
        <f t="array" ref="S125">_xlfn.XLOOKUP($A125,ACT[[№]:[№]],ACT[FCL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5" s="24" t="str" cm="1">
        <f t="array" ref="T125">_xlfn.XLOOKUP($A125,ACT[[№]:[№]],ACT[Special Wooden Shoring / Специальное деревянное крепление],"",0,1)</f>
        <v/>
      </c>
      <c r="U125" s="9"/>
      <c r="V125" s="24" t="str" cm="1">
        <f t="array" ref="V125">_xlfn.XLOOKUP($A125,ACT[[№]:[№]],ACT[Total amount/ Общая стоимость KRW (10+11+12+13+14+15+16)],"",0,1)</f>
        <v/>
      </c>
      <c r="W125" s="24" t="str" cm="1">
        <f t="array" ref="W125">_xlfn.XLOOKUP($A125,ACT[[№]:[№]],ACT[Total amount/ Общая стоимость (17*exchange rate/ обменный курс)
 USD],"",0,1)</f>
        <v/>
      </c>
      <c r="X125" s="9" t="e" cm="1">
        <f t="array" ref="X125">IF(#REF!="",_xlfn.XLOOKUP("МАКС",#REF!,#REF!,,0,1),#REF!)</f>
        <v>#REF!</v>
      </c>
      <c r="Y125" s="12" t="e">
        <f>VLOOKUP(Шаблон_Формулы[[#This Row],[24]],#REF!,2,0)</f>
        <v>#REF!</v>
      </c>
      <c r="Z125" s="26" t="str">
        <f>IFERROR(Шаблон_Формулы[[#This Row],[23]]*Шаблон_Формулы[[#This Row],[25]],"")</f>
        <v/>
      </c>
      <c r="AA125" s="13" t="e" cm="1">
        <f t="array" ref="AA125">#REF!</f>
        <v>#REF!</v>
      </c>
    </row>
    <row r="126" spans="1:27" s="8" customFormat="1" ht="12">
      <c r="A126" s="11">
        <v>122</v>
      </c>
      <c r="B126" s="8" t="str" cm="1">
        <f t="array" ref="B126">_xlfn.XLOOKUP($A126,ACT[[№]:[№]],ACT[Container No/
№ Контейнера],"",0,1)</f>
        <v/>
      </c>
      <c r="C126" s="8" t="str">
        <f t="shared" si="1"/>
        <v>UzAutoKorea</v>
      </c>
      <c r="D126" s="11" t="str" cm="1">
        <f t="array" ref="D126">_xlfn.XLOOKUP($A126,ACT[[№]:[№]],ACT[Container Type/ 
Тип контейнера],"",0,1)</f>
        <v/>
      </c>
      <c r="E126" s="21" t="str" cm="1">
        <f t="array" ref="E126">_xlfn.XLOOKUP($A126,ACT[[№]:[№]],ACT[Date of Dispatch/ 
Дата отгрузки],"",0,1)</f>
        <v/>
      </c>
      <c r="F126" s="22" t="str" cm="1">
        <f t="array" ref="F126">_xlfn.XLOOKUP($A126,ACT[[№]:[№]],ACT[Supplier/ Поставщик],"",0,1)</f>
        <v/>
      </c>
      <c r="G126" s="22" t="str" cm="1">
        <f t="array" ref="G126">_xlfn.XLOOKUP($A126,ACT[[№]:[№]],ACT[Supplier Invoice No/                          № Инвойса Поставщика],"",0,1)</f>
        <v/>
      </c>
      <c r="H126" s="23" t="str" cm="1">
        <f t="array" ref="H126">_xlfn.XLOOKUP($A126,ACT[[№]:[№]],ACT[CBM],"",0,1)</f>
        <v/>
      </c>
      <c r="I126" s="23" t="str" cm="1">
        <f t="array" ref="I126">_xlfn.XLOOKUP($A126,ACT[[№]:[№]],ACT[Gross weight, kg/ Вес брутто, кг],"",0,1)</f>
        <v/>
      </c>
      <c r="J126" s="23" t="str" cm="1">
        <f t="array" ref="J126">_xlfn.XLOOKUP($A126,ACT[[№]:[№]],ACT[Delivery terms / Условия поставки],"",0,1)</f>
        <v/>
      </c>
      <c r="K126" s="23" t="str" cm="1">
        <f t="array" ref="K126">_xlfn.XLOOKUP($A126,ACT[[№]:[№]],ACT[Container total CBM],"",0,1)</f>
        <v/>
      </c>
      <c r="L126" s="24" t="str" cm="1">
        <f t="array" ref="L126">_xlfn.XLOOKUP($A126,ACT[[№]:[№]],ACT[FTL inland freight cost per Invoice Appendix/ Стоимость внутренней наземной перевозки за инвойс Приложение                     KRW],"",0,1)</f>
        <v/>
      </c>
      <c r="M126" s="24" t="str" cm="1">
        <f t="array" ref="M126">_xlfn.XLOOKUP($A126,ACT[[№]:[№]],ACT[Consolidation Work, Loading, Unloading/ Работы по консолидации, Погрузка, Разгрузка (Rate/Тариф - 8000 per CBM)                   KRW],"",0,1)</f>
        <v/>
      </c>
      <c r="N126" s="24" t="str" cm="1">
        <f t="array" ref="N126">_xlfn.XLOOKUP($A126,ACT[[№]:[№]],ACT[Shoring, Banding, Sealing, Handling/ Крепление, Перевязка, Опечатование, Обработка
KRW],"",0,1)</f>
        <v/>
      </c>
      <c r="O126" s="24" t="str" cm="1">
        <f t="array" ref="O126">_xlfn.XLOOKUP($A126,ACT[[№]:[№]],ACT[Documents Work/ Сбор за подготовку документов
KRW],"",0,1)</f>
        <v/>
      </c>
      <c r="P126" s="24" t="str" cm="1">
        <f t="array" ref="P126">_xlfn.XLOOKUP($A126,ACT[[№]:[№]],ACT[THC/ Терминальная обработка
KRW],"",0,1)</f>
        <v/>
      </c>
      <c r="Q126" s="24" t="str" cm="1">
        <f t="array" ref="Q126">_xlfn.XLOOKUP($A126,ACT[[№]:[№]],ACT[Wharfage/ Портовая пошлина
KRW],"",0,1)</f>
        <v/>
      </c>
      <c r="R126" s="24" t="str" cm="1">
        <f t="array" ref="R126">_xlfn.XLOOKUP($A126,ACT[[№]:[№]],ACT[TRUCKING CHARGE],"",0,1)</f>
        <v/>
      </c>
      <c r="S126" s="24" t="str" cm="1">
        <f t="array" ref="S126">_xlfn.XLOOKUP($A126,ACT[[№]:[№]],ACT[FCL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6" s="24" t="str" cm="1">
        <f t="array" ref="T126">_xlfn.XLOOKUP($A126,ACT[[№]:[№]],ACT[Special Wooden Shoring / Специальное деревянное крепление],"",0,1)</f>
        <v/>
      </c>
      <c r="U126" s="9"/>
      <c r="V126" s="24" t="str" cm="1">
        <f t="array" ref="V126">_xlfn.XLOOKUP($A126,ACT[[№]:[№]],ACT[Total amount/ Общая стоимость KRW (10+11+12+13+14+15+16)],"",0,1)</f>
        <v/>
      </c>
      <c r="W126" s="24" t="str" cm="1">
        <f t="array" ref="W126">_xlfn.XLOOKUP($A126,ACT[[№]:[№]],ACT[Total amount/ Общая стоимость (17*exchange rate/ обменный курс)
 USD],"",0,1)</f>
        <v/>
      </c>
      <c r="X126" s="9" t="e" cm="1">
        <f t="array" ref="X126">IF(#REF!="",_xlfn.XLOOKUP("МАКС",#REF!,#REF!,,0,1),#REF!)</f>
        <v>#REF!</v>
      </c>
      <c r="Y126" s="12" t="e">
        <f>VLOOKUP(Шаблон_Формулы[[#This Row],[24]],#REF!,2,0)</f>
        <v>#REF!</v>
      </c>
      <c r="Z126" s="26" t="str">
        <f>IFERROR(Шаблон_Формулы[[#This Row],[23]]*Шаблон_Формулы[[#This Row],[25]],"")</f>
        <v/>
      </c>
      <c r="AA126" s="13" t="e" cm="1">
        <f t="array" ref="AA126">#REF!</f>
        <v>#REF!</v>
      </c>
    </row>
    <row r="127" spans="1:27" s="8" customFormat="1" ht="12">
      <c r="A127" s="11">
        <v>123</v>
      </c>
      <c r="B127" s="8" t="str" cm="1">
        <f t="array" ref="B127">_xlfn.XLOOKUP($A127,ACT[[№]:[№]],ACT[Container No/
№ Контейнера],"",0,1)</f>
        <v/>
      </c>
      <c r="C127" s="8" t="str">
        <f t="shared" si="1"/>
        <v>UzAutoKorea</v>
      </c>
      <c r="D127" s="11" t="str" cm="1">
        <f t="array" ref="D127">_xlfn.XLOOKUP($A127,ACT[[№]:[№]],ACT[Container Type/ 
Тип контейнера],"",0,1)</f>
        <v/>
      </c>
      <c r="E127" s="21" t="str" cm="1">
        <f t="array" ref="E127">_xlfn.XLOOKUP($A127,ACT[[№]:[№]],ACT[Date of Dispatch/ 
Дата отгрузки],"",0,1)</f>
        <v/>
      </c>
      <c r="F127" s="22" t="str" cm="1">
        <f t="array" ref="F127">_xlfn.XLOOKUP($A127,ACT[[№]:[№]],ACT[Supplier/ Поставщик],"",0,1)</f>
        <v/>
      </c>
      <c r="G127" s="22" t="str" cm="1">
        <f t="array" ref="G127">_xlfn.XLOOKUP($A127,ACT[[№]:[№]],ACT[Supplier Invoice No/                          № Инвойса Поставщика],"",0,1)</f>
        <v/>
      </c>
      <c r="H127" s="23" t="str" cm="1">
        <f t="array" ref="H127">_xlfn.XLOOKUP($A127,ACT[[№]:[№]],ACT[CBM],"",0,1)</f>
        <v/>
      </c>
      <c r="I127" s="23" t="str" cm="1">
        <f t="array" ref="I127">_xlfn.XLOOKUP($A127,ACT[[№]:[№]],ACT[Gross weight, kg/ Вес брутто, кг],"",0,1)</f>
        <v/>
      </c>
      <c r="J127" s="23" t="str" cm="1">
        <f t="array" ref="J127">_xlfn.XLOOKUP($A127,ACT[[№]:[№]],ACT[Delivery terms / Условия поставки],"",0,1)</f>
        <v/>
      </c>
      <c r="K127" s="23" t="str" cm="1">
        <f t="array" ref="K127">_xlfn.XLOOKUP($A127,ACT[[№]:[№]],ACT[Container total CBM],"",0,1)</f>
        <v/>
      </c>
      <c r="L127" s="24" t="str" cm="1">
        <f t="array" ref="L127">_xlfn.XLOOKUP($A127,ACT[[№]:[№]],ACT[FTL inland freight cost per Invoice Appendix/ Стоимость внутренней наземной перевозки за инвойс Приложение                     KRW],"",0,1)</f>
        <v/>
      </c>
      <c r="M127" s="24" t="str" cm="1">
        <f t="array" ref="M127">_xlfn.XLOOKUP($A127,ACT[[№]:[№]],ACT[Consolidation Work, Loading, Unloading/ Работы по консолидации, Погрузка, Разгрузка (Rate/Тариф - 8000 per CBM)                   KRW],"",0,1)</f>
        <v/>
      </c>
      <c r="N127" s="24" t="str" cm="1">
        <f t="array" ref="N127">_xlfn.XLOOKUP($A127,ACT[[№]:[№]],ACT[Shoring, Banding, Sealing, Handling/ Крепление, Перевязка, Опечатование, Обработка
KRW],"",0,1)</f>
        <v/>
      </c>
      <c r="O127" s="24" t="str" cm="1">
        <f t="array" ref="O127">_xlfn.XLOOKUP($A127,ACT[[№]:[№]],ACT[Documents Work/ Сбор за подготовку документов
KRW],"",0,1)</f>
        <v/>
      </c>
      <c r="P127" s="24" t="str" cm="1">
        <f t="array" ref="P127">_xlfn.XLOOKUP($A127,ACT[[№]:[№]],ACT[THC/ Терминальная обработка
KRW],"",0,1)</f>
        <v/>
      </c>
      <c r="Q127" s="24" t="str" cm="1">
        <f t="array" ref="Q127">_xlfn.XLOOKUP($A127,ACT[[№]:[№]],ACT[Wharfage/ Портовая пошлина
KRW],"",0,1)</f>
        <v/>
      </c>
      <c r="R127" s="24" t="str" cm="1">
        <f t="array" ref="R127">_xlfn.XLOOKUP($A127,ACT[[№]:[№]],ACT[TRUCKING CHARGE],"",0,1)</f>
        <v/>
      </c>
      <c r="S127" s="24" t="str" cm="1">
        <f t="array" ref="S127">_xlfn.XLOOKUP($A127,ACT[[№]:[№]],ACT[FCL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7" s="24" t="str" cm="1">
        <f t="array" ref="T127">_xlfn.XLOOKUP($A127,ACT[[№]:[№]],ACT[Special Wooden Shoring / Специальное деревянное крепление],"",0,1)</f>
        <v/>
      </c>
      <c r="U127" s="9"/>
      <c r="V127" s="24" t="str" cm="1">
        <f t="array" ref="V127">_xlfn.XLOOKUP($A127,ACT[[№]:[№]],ACT[Total amount/ Общая стоимость KRW (10+11+12+13+14+15+16)],"",0,1)</f>
        <v/>
      </c>
      <c r="W127" s="24" t="str" cm="1">
        <f t="array" ref="W127">_xlfn.XLOOKUP($A127,ACT[[№]:[№]],ACT[Total amount/ Общая стоимость (17*exchange rate/ обменный курс)
 USD],"",0,1)</f>
        <v/>
      </c>
      <c r="X127" s="9" t="e" cm="1">
        <f t="array" ref="X127">IF(#REF!="",_xlfn.XLOOKUP("МАКС",#REF!,#REF!,,0,1),#REF!)</f>
        <v>#REF!</v>
      </c>
      <c r="Y127" s="12" t="e">
        <f>VLOOKUP(Шаблон_Формулы[[#This Row],[24]],#REF!,2,0)</f>
        <v>#REF!</v>
      </c>
      <c r="Z127" s="26" t="str">
        <f>IFERROR(Шаблон_Формулы[[#This Row],[23]]*Шаблон_Формулы[[#This Row],[25]],"")</f>
        <v/>
      </c>
      <c r="AA127" s="13" t="e" cm="1">
        <f t="array" ref="AA127">#REF!</f>
        <v>#REF!</v>
      </c>
    </row>
    <row r="128" spans="1:27" s="8" customFormat="1" ht="12">
      <c r="A128" s="11">
        <v>124</v>
      </c>
      <c r="B128" s="8" t="str" cm="1">
        <f t="array" ref="B128">_xlfn.XLOOKUP($A128,ACT[[№]:[№]],ACT[Container No/
№ Контейнера],"",0,1)</f>
        <v/>
      </c>
      <c r="C128" s="8" t="str">
        <f t="shared" si="1"/>
        <v>UzAutoKorea</v>
      </c>
      <c r="D128" s="11" t="str" cm="1">
        <f t="array" ref="D128">_xlfn.XLOOKUP($A128,ACT[[№]:[№]],ACT[Container Type/ 
Тип контейнера],"",0,1)</f>
        <v/>
      </c>
      <c r="E128" s="21" t="str" cm="1">
        <f t="array" ref="E128">_xlfn.XLOOKUP($A128,ACT[[№]:[№]],ACT[Date of Dispatch/ 
Дата отгрузки],"",0,1)</f>
        <v/>
      </c>
      <c r="F128" s="22" t="str" cm="1">
        <f t="array" ref="F128">_xlfn.XLOOKUP($A128,ACT[[№]:[№]],ACT[Supplier/ Поставщик],"",0,1)</f>
        <v/>
      </c>
      <c r="G128" s="22" t="str" cm="1">
        <f t="array" ref="G128">_xlfn.XLOOKUP($A128,ACT[[№]:[№]],ACT[Supplier Invoice No/                          № Инвойса Поставщика],"",0,1)</f>
        <v/>
      </c>
      <c r="H128" s="23" t="str" cm="1">
        <f t="array" ref="H128">_xlfn.XLOOKUP($A128,ACT[[№]:[№]],ACT[CBM],"",0,1)</f>
        <v/>
      </c>
      <c r="I128" s="23" t="str" cm="1">
        <f t="array" ref="I128">_xlfn.XLOOKUP($A128,ACT[[№]:[№]],ACT[Gross weight, kg/ Вес брутто, кг],"",0,1)</f>
        <v/>
      </c>
      <c r="J128" s="23" t="str" cm="1">
        <f t="array" ref="J128">_xlfn.XLOOKUP($A128,ACT[[№]:[№]],ACT[Delivery terms / Условия поставки],"",0,1)</f>
        <v/>
      </c>
      <c r="K128" s="23" t="str" cm="1">
        <f t="array" ref="K128">_xlfn.XLOOKUP($A128,ACT[[№]:[№]],ACT[Container total CBM],"",0,1)</f>
        <v/>
      </c>
      <c r="L128" s="24" t="str" cm="1">
        <f t="array" ref="L128">_xlfn.XLOOKUP($A128,ACT[[№]:[№]],ACT[FTL inland freight cost per Invoice Appendix/ Стоимость внутренней наземной перевозки за инвойс Приложение                     KRW],"",0,1)</f>
        <v/>
      </c>
      <c r="M128" s="24" t="str" cm="1">
        <f t="array" ref="M128">_xlfn.XLOOKUP($A128,ACT[[№]:[№]],ACT[Consolidation Work, Loading, Unloading/ Работы по консолидации, Погрузка, Разгрузка (Rate/Тариф - 8000 per CBM)                   KRW],"",0,1)</f>
        <v/>
      </c>
      <c r="N128" s="24" t="str" cm="1">
        <f t="array" ref="N128">_xlfn.XLOOKUP($A128,ACT[[№]:[№]],ACT[Shoring, Banding, Sealing, Handling/ Крепление, Перевязка, Опечатование, Обработка
KRW],"",0,1)</f>
        <v/>
      </c>
      <c r="O128" s="24" t="str" cm="1">
        <f t="array" ref="O128">_xlfn.XLOOKUP($A128,ACT[[№]:[№]],ACT[Documents Work/ Сбор за подготовку документов
KRW],"",0,1)</f>
        <v/>
      </c>
      <c r="P128" s="24" t="str" cm="1">
        <f t="array" ref="P128">_xlfn.XLOOKUP($A128,ACT[[№]:[№]],ACT[THC/ Терминальная обработка
KRW],"",0,1)</f>
        <v/>
      </c>
      <c r="Q128" s="24" t="str" cm="1">
        <f t="array" ref="Q128">_xlfn.XLOOKUP($A128,ACT[[№]:[№]],ACT[Wharfage/ Портовая пошлина
KRW],"",0,1)</f>
        <v/>
      </c>
      <c r="R128" s="24" t="str" cm="1">
        <f t="array" ref="R128">_xlfn.XLOOKUP($A128,ACT[[№]:[№]],ACT[TRUCKING CHARGE],"",0,1)</f>
        <v/>
      </c>
      <c r="S128" s="24" t="str" cm="1">
        <f t="array" ref="S128">_xlfn.XLOOKUP($A128,ACT[[№]:[№]],ACT[FCL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8" s="24" t="str" cm="1">
        <f t="array" ref="T128">_xlfn.XLOOKUP($A128,ACT[[№]:[№]],ACT[Special Wooden Shoring / Специальное деревянное крепление],"",0,1)</f>
        <v/>
      </c>
      <c r="U128" s="9"/>
      <c r="V128" s="24" t="str" cm="1">
        <f t="array" ref="V128">_xlfn.XLOOKUP($A128,ACT[[№]:[№]],ACT[Total amount/ Общая стоимость KRW (10+11+12+13+14+15+16)],"",0,1)</f>
        <v/>
      </c>
      <c r="W128" s="24" t="str" cm="1">
        <f t="array" ref="W128">_xlfn.XLOOKUP($A128,ACT[[№]:[№]],ACT[Total amount/ Общая стоимость (17*exchange rate/ обменный курс)
 USD],"",0,1)</f>
        <v/>
      </c>
      <c r="X128" s="9" t="e" cm="1">
        <f t="array" ref="X128">IF(#REF!="",_xlfn.XLOOKUP("МАКС",#REF!,#REF!,,0,1),#REF!)</f>
        <v>#REF!</v>
      </c>
      <c r="Y128" s="12" t="e">
        <f>VLOOKUP(Шаблон_Формулы[[#This Row],[24]],#REF!,2,0)</f>
        <v>#REF!</v>
      </c>
      <c r="Z128" s="26" t="str">
        <f>IFERROR(Шаблон_Формулы[[#This Row],[23]]*Шаблон_Формулы[[#This Row],[25]],"")</f>
        <v/>
      </c>
      <c r="AA128" s="13" t="e" cm="1">
        <f t="array" ref="AA128">#REF!</f>
        <v>#REF!</v>
      </c>
    </row>
    <row r="129" spans="1:27" s="8" customFormat="1" ht="12">
      <c r="A129" s="11">
        <v>125</v>
      </c>
      <c r="B129" s="8" t="str" cm="1">
        <f t="array" ref="B129">_xlfn.XLOOKUP($A129,ACT[[№]:[№]],ACT[Container No/
№ Контейнера],"",0,1)</f>
        <v/>
      </c>
      <c r="C129" s="8" t="str">
        <f t="shared" si="1"/>
        <v>UzAutoKorea</v>
      </c>
      <c r="D129" s="11" t="str" cm="1">
        <f t="array" ref="D129">_xlfn.XLOOKUP($A129,ACT[[№]:[№]],ACT[Container Type/ 
Тип контейнера],"",0,1)</f>
        <v/>
      </c>
      <c r="E129" s="21" t="str" cm="1">
        <f t="array" ref="E129">_xlfn.XLOOKUP($A129,ACT[[№]:[№]],ACT[Date of Dispatch/ 
Дата отгрузки],"",0,1)</f>
        <v/>
      </c>
      <c r="F129" s="22" t="str" cm="1">
        <f t="array" ref="F129">_xlfn.XLOOKUP($A129,ACT[[№]:[№]],ACT[Supplier/ Поставщик],"",0,1)</f>
        <v/>
      </c>
      <c r="G129" s="22" t="str" cm="1">
        <f t="array" ref="G129">_xlfn.XLOOKUP($A129,ACT[[№]:[№]],ACT[Supplier Invoice No/                          № Инвойса Поставщика],"",0,1)</f>
        <v/>
      </c>
      <c r="H129" s="23" t="str" cm="1">
        <f t="array" ref="H129">_xlfn.XLOOKUP($A129,ACT[[№]:[№]],ACT[CBM],"",0,1)</f>
        <v/>
      </c>
      <c r="I129" s="23" t="str" cm="1">
        <f t="array" ref="I129">_xlfn.XLOOKUP($A129,ACT[[№]:[№]],ACT[Gross weight, kg/ Вес брутто, кг],"",0,1)</f>
        <v/>
      </c>
      <c r="J129" s="23" t="str" cm="1">
        <f t="array" ref="J129">_xlfn.XLOOKUP($A129,ACT[[№]:[№]],ACT[Delivery terms / Условия поставки],"",0,1)</f>
        <v/>
      </c>
      <c r="K129" s="23" t="str" cm="1">
        <f t="array" ref="K129">_xlfn.XLOOKUP($A129,ACT[[№]:[№]],ACT[Container total CBM],"",0,1)</f>
        <v/>
      </c>
      <c r="L129" s="24" t="str" cm="1">
        <f t="array" ref="L129">_xlfn.XLOOKUP($A129,ACT[[№]:[№]],ACT[FTL inland freight cost per Invoice Appendix/ Стоимость внутренней наземной перевозки за инвойс Приложение                     KRW],"",0,1)</f>
        <v/>
      </c>
      <c r="M129" s="24" t="str" cm="1">
        <f t="array" ref="M129">_xlfn.XLOOKUP($A129,ACT[[№]:[№]],ACT[Consolidation Work, Loading, Unloading/ Работы по консолидации, Погрузка, Разгрузка (Rate/Тариф - 8000 per CBM)                   KRW],"",0,1)</f>
        <v/>
      </c>
      <c r="N129" s="24" t="str" cm="1">
        <f t="array" ref="N129">_xlfn.XLOOKUP($A129,ACT[[№]:[№]],ACT[Shoring, Banding, Sealing, Handling/ Крепление, Перевязка, Опечатование, Обработка
KRW],"",0,1)</f>
        <v/>
      </c>
      <c r="O129" s="24" t="str" cm="1">
        <f t="array" ref="O129">_xlfn.XLOOKUP($A129,ACT[[№]:[№]],ACT[Documents Work/ Сбор за подготовку документов
KRW],"",0,1)</f>
        <v/>
      </c>
      <c r="P129" s="24" t="str" cm="1">
        <f t="array" ref="P129">_xlfn.XLOOKUP($A129,ACT[[№]:[№]],ACT[THC/ Терминальная обработка
KRW],"",0,1)</f>
        <v/>
      </c>
      <c r="Q129" s="24" t="str" cm="1">
        <f t="array" ref="Q129">_xlfn.XLOOKUP($A129,ACT[[№]:[№]],ACT[Wharfage/ Портовая пошлина
KRW],"",0,1)</f>
        <v/>
      </c>
      <c r="R129" s="24" t="str" cm="1">
        <f t="array" ref="R129">_xlfn.XLOOKUP($A129,ACT[[№]:[№]],ACT[TRUCKING CHARGE],"",0,1)</f>
        <v/>
      </c>
      <c r="S129" s="24" t="str" cm="1">
        <f t="array" ref="S129">_xlfn.XLOOKUP($A129,ACT[[№]:[№]],ACT[FCL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9" s="24" t="str" cm="1">
        <f t="array" ref="T129">_xlfn.XLOOKUP($A129,ACT[[№]:[№]],ACT[Special Wooden Shoring / Специальное деревянное крепление],"",0,1)</f>
        <v/>
      </c>
      <c r="U129" s="9"/>
      <c r="V129" s="24" t="str" cm="1">
        <f t="array" ref="V129">_xlfn.XLOOKUP($A129,ACT[[№]:[№]],ACT[Total amount/ Общая стоимость KRW (10+11+12+13+14+15+16)],"",0,1)</f>
        <v/>
      </c>
      <c r="W129" s="24" t="str" cm="1">
        <f t="array" ref="W129">_xlfn.XLOOKUP($A129,ACT[[№]:[№]],ACT[Total amount/ Общая стоимость (17*exchange rate/ обменный курс)
 USD],"",0,1)</f>
        <v/>
      </c>
      <c r="X129" s="9" t="e" cm="1">
        <f t="array" ref="X129">IF(#REF!="",_xlfn.XLOOKUP("МАКС",#REF!,#REF!,,0,1),#REF!)</f>
        <v>#REF!</v>
      </c>
      <c r="Y129" s="12" t="e">
        <f>VLOOKUP(Шаблон_Формулы[[#This Row],[24]],#REF!,2,0)</f>
        <v>#REF!</v>
      </c>
      <c r="Z129" s="26" t="str">
        <f>IFERROR(Шаблон_Формулы[[#This Row],[23]]*Шаблон_Формулы[[#This Row],[25]],"")</f>
        <v/>
      </c>
      <c r="AA129" s="13" t="e" cm="1">
        <f t="array" ref="AA129">#REF!</f>
        <v>#REF!</v>
      </c>
    </row>
    <row r="130" spans="1:27" s="8" customFormat="1" ht="12">
      <c r="A130" s="11">
        <v>126</v>
      </c>
      <c r="B130" s="8" t="str" cm="1">
        <f t="array" ref="B130">_xlfn.XLOOKUP($A130,ACT[[№]:[№]],ACT[Container No/
№ Контейнера],"",0,1)</f>
        <v/>
      </c>
      <c r="C130" s="8" t="str">
        <f t="shared" si="1"/>
        <v>UzAutoKorea</v>
      </c>
      <c r="D130" s="11" t="str" cm="1">
        <f t="array" ref="D130">_xlfn.XLOOKUP($A130,ACT[[№]:[№]],ACT[Container Type/ 
Тип контейнера],"",0,1)</f>
        <v/>
      </c>
      <c r="E130" s="21" t="str" cm="1">
        <f t="array" ref="E130">_xlfn.XLOOKUP($A130,ACT[[№]:[№]],ACT[Date of Dispatch/ 
Дата отгрузки],"",0,1)</f>
        <v/>
      </c>
      <c r="F130" s="22" t="str" cm="1">
        <f t="array" ref="F130">_xlfn.XLOOKUP($A130,ACT[[№]:[№]],ACT[Supplier/ Поставщик],"",0,1)</f>
        <v/>
      </c>
      <c r="G130" s="22" t="str" cm="1">
        <f t="array" ref="G130">_xlfn.XLOOKUP($A130,ACT[[№]:[№]],ACT[Supplier Invoice No/                          № Инвойса Поставщика],"",0,1)</f>
        <v/>
      </c>
      <c r="H130" s="23" t="str" cm="1">
        <f t="array" ref="H130">_xlfn.XLOOKUP($A130,ACT[[№]:[№]],ACT[CBM],"",0,1)</f>
        <v/>
      </c>
      <c r="I130" s="23" t="str" cm="1">
        <f t="array" ref="I130">_xlfn.XLOOKUP($A130,ACT[[№]:[№]],ACT[Gross weight, kg/ Вес брутто, кг],"",0,1)</f>
        <v/>
      </c>
      <c r="J130" s="23" t="str" cm="1">
        <f t="array" ref="J130">_xlfn.XLOOKUP($A130,ACT[[№]:[№]],ACT[Delivery terms / Условия поставки],"",0,1)</f>
        <v/>
      </c>
      <c r="K130" s="23" t="str" cm="1">
        <f t="array" ref="K130">_xlfn.XLOOKUP($A130,ACT[[№]:[№]],ACT[Container total CBM],"",0,1)</f>
        <v/>
      </c>
      <c r="L130" s="24" t="str" cm="1">
        <f t="array" ref="L130">_xlfn.XLOOKUP($A130,ACT[[№]:[№]],ACT[FTL inland freight cost per Invoice Appendix/ Стоимость внутренней наземной перевозки за инвойс Приложение                     KRW],"",0,1)</f>
        <v/>
      </c>
      <c r="M130" s="24" t="str" cm="1">
        <f t="array" ref="M130">_xlfn.XLOOKUP($A130,ACT[[№]:[№]],ACT[Consolidation Work, Loading, Unloading/ Работы по консолидации, Погрузка, Разгрузка (Rate/Тариф - 8000 per CBM)                   KRW],"",0,1)</f>
        <v/>
      </c>
      <c r="N130" s="24" t="str" cm="1">
        <f t="array" ref="N130">_xlfn.XLOOKUP($A130,ACT[[№]:[№]],ACT[Shoring, Banding, Sealing, Handling/ Крепление, Перевязка, Опечатование, Обработка
KRW],"",0,1)</f>
        <v/>
      </c>
      <c r="O130" s="24" t="str" cm="1">
        <f t="array" ref="O130">_xlfn.XLOOKUP($A130,ACT[[№]:[№]],ACT[Documents Work/ Сбор за подготовку документов
KRW],"",0,1)</f>
        <v/>
      </c>
      <c r="P130" s="24" t="str" cm="1">
        <f t="array" ref="P130">_xlfn.XLOOKUP($A130,ACT[[№]:[№]],ACT[THC/ Терминальная обработка
KRW],"",0,1)</f>
        <v/>
      </c>
      <c r="Q130" s="24" t="str" cm="1">
        <f t="array" ref="Q130">_xlfn.XLOOKUP($A130,ACT[[№]:[№]],ACT[Wharfage/ Портовая пошлина
KRW],"",0,1)</f>
        <v/>
      </c>
      <c r="R130" s="24" t="str" cm="1">
        <f t="array" ref="R130">_xlfn.XLOOKUP($A130,ACT[[№]:[№]],ACT[TRUCKING CHARGE],"",0,1)</f>
        <v/>
      </c>
      <c r="S130" s="24" t="str" cm="1">
        <f t="array" ref="S130">_xlfn.XLOOKUP($A130,ACT[[№]:[№]],ACT[FCL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0" s="24" t="str" cm="1">
        <f t="array" ref="T130">_xlfn.XLOOKUP($A130,ACT[[№]:[№]],ACT[Special Wooden Shoring / Специальное деревянное крепление],"",0,1)</f>
        <v/>
      </c>
      <c r="U130" s="9"/>
      <c r="V130" s="24" t="str" cm="1">
        <f t="array" ref="V130">_xlfn.XLOOKUP($A130,ACT[[№]:[№]],ACT[Total amount/ Общая стоимость KRW (10+11+12+13+14+15+16)],"",0,1)</f>
        <v/>
      </c>
      <c r="W130" s="24" t="str" cm="1">
        <f t="array" ref="W130">_xlfn.XLOOKUP($A130,ACT[[№]:[№]],ACT[Total amount/ Общая стоимость (17*exchange rate/ обменный курс)
 USD],"",0,1)</f>
        <v/>
      </c>
      <c r="X130" s="9" t="e" cm="1">
        <f t="array" ref="X130">IF(#REF!="",_xlfn.XLOOKUP("МАКС",#REF!,#REF!,,0,1),#REF!)</f>
        <v>#REF!</v>
      </c>
      <c r="Y130" s="12" t="e">
        <f>VLOOKUP(Шаблон_Формулы[[#This Row],[24]],#REF!,2,0)</f>
        <v>#REF!</v>
      </c>
      <c r="Z130" s="26" t="str">
        <f>IFERROR(Шаблон_Формулы[[#This Row],[23]]*Шаблон_Формулы[[#This Row],[25]],"")</f>
        <v/>
      </c>
      <c r="AA130" s="13" t="e" cm="1">
        <f t="array" ref="AA130">#REF!</f>
        <v>#REF!</v>
      </c>
    </row>
    <row r="131" spans="1:27" s="8" customFormat="1" ht="12">
      <c r="A131" s="11">
        <v>127</v>
      </c>
      <c r="B131" s="8" t="str" cm="1">
        <f t="array" ref="B131">_xlfn.XLOOKUP($A131,ACT[[№]:[№]],ACT[Container No/
№ Контейнера],"",0,1)</f>
        <v/>
      </c>
      <c r="C131" s="8" t="str">
        <f t="shared" si="1"/>
        <v>UzAutoKorea</v>
      </c>
      <c r="D131" s="11" t="str" cm="1">
        <f t="array" ref="D131">_xlfn.XLOOKUP($A131,ACT[[№]:[№]],ACT[Container Type/ 
Тип контейнера],"",0,1)</f>
        <v/>
      </c>
      <c r="E131" s="21" t="str" cm="1">
        <f t="array" ref="E131">_xlfn.XLOOKUP($A131,ACT[[№]:[№]],ACT[Date of Dispatch/ 
Дата отгрузки],"",0,1)</f>
        <v/>
      </c>
      <c r="F131" s="22" t="str" cm="1">
        <f t="array" ref="F131">_xlfn.XLOOKUP($A131,ACT[[№]:[№]],ACT[Supplier/ Поставщик],"",0,1)</f>
        <v/>
      </c>
      <c r="G131" s="22" t="str" cm="1">
        <f t="array" ref="G131">_xlfn.XLOOKUP($A131,ACT[[№]:[№]],ACT[Supplier Invoice No/                          № Инвойса Поставщика],"",0,1)</f>
        <v/>
      </c>
      <c r="H131" s="23" t="str" cm="1">
        <f t="array" ref="H131">_xlfn.XLOOKUP($A131,ACT[[№]:[№]],ACT[CBM],"",0,1)</f>
        <v/>
      </c>
      <c r="I131" s="23" t="str" cm="1">
        <f t="array" ref="I131">_xlfn.XLOOKUP($A131,ACT[[№]:[№]],ACT[Gross weight, kg/ Вес брутто, кг],"",0,1)</f>
        <v/>
      </c>
      <c r="J131" s="23" t="str" cm="1">
        <f t="array" ref="J131">_xlfn.XLOOKUP($A131,ACT[[№]:[№]],ACT[Delivery terms / Условия поставки],"",0,1)</f>
        <v/>
      </c>
      <c r="K131" s="23" t="str" cm="1">
        <f t="array" ref="K131">_xlfn.XLOOKUP($A131,ACT[[№]:[№]],ACT[Container total CBM],"",0,1)</f>
        <v/>
      </c>
      <c r="L131" s="24" t="str" cm="1">
        <f t="array" ref="L131">_xlfn.XLOOKUP($A131,ACT[[№]:[№]],ACT[FTL inland freight cost per Invoice Appendix/ Стоимость внутренней наземной перевозки за инвойс Приложение                     KRW],"",0,1)</f>
        <v/>
      </c>
      <c r="M131" s="24" t="str" cm="1">
        <f t="array" ref="M131">_xlfn.XLOOKUP($A131,ACT[[№]:[№]],ACT[Consolidation Work, Loading, Unloading/ Работы по консолидации, Погрузка, Разгрузка (Rate/Тариф - 8000 per CBM)                   KRW],"",0,1)</f>
        <v/>
      </c>
      <c r="N131" s="24" t="str" cm="1">
        <f t="array" ref="N131">_xlfn.XLOOKUP($A131,ACT[[№]:[№]],ACT[Shoring, Banding, Sealing, Handling/ Крепление, Перевязка, Опечатование, Обработка
KRW],"",0,1)</f>
        <v/>
      </c>
      <c r="O131" s="24" t="str" cm="1">
        <f t="array" ref="O131">_xlfn.XLOOKUP($A131,ACT[[№]:[№]],ACT[Documents Work/ Сбор за подготовку документов
KRW],"",0,1)</f>
        <v/>
      </c>
      <c r="P131" s="24" t="str" cm="1">
        <f t="array" ref="P131">_xlfn.XLOOKUP($A131,ACT[[№]:[№]],ACT[THC/ Терминальная обработка
KRW],"",0,1)</f>
        <v/>
      </c>
      <c r="Q131" s="24" t="str" cm="1">
        <f t="array" ref="Q131">_xlfn.XLOOKUP($A131,ACT[[№]:[№]],ACT[Wharfage/ Портовая пошлина
KRW],"",0,1)</f>
        <v/>
      </c>
      <c r="R131" s="24" t="str" cm="1">
        <f t="array" ref="R131">_xlfn.XLOOKUP($A131,ACT[[№]:[№]],ACT[TRUCKING CHARGE],"",0,1)</f>
        <v/>
      </c>
      <c r="S131" s="24" t="str" cm="1">
        <f t="array" ref="S131">_xlfn.XLOOKUP($A131,ACT[[№]:[№]],ACT[FCL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1" s="24" t="str" cm="1">
        <f t="array" ref="T131">_xlfn.XLOOKUP($A131,ACT[[№]:[№]],ACT[Special Wooden Shoring / Специальное деревянное крепление],"",0,1)</f>
        <v/>
      </c>
      <c r="U131" s="9"/>
      <c r="V131" s="24" t="str" cm="1">
        <f t="array" ref="V131">_xlfn.XLOOKUP($A131,ACT[[№]:[№]],ACT[Total amount/ Общая стоимость KRW (10+11+12+13+14+15+16)],"",0,1)</f>
        <v/>
      </c>
      <c r="W131" s="24" t="str" cm="1">
        <f t="array" ref="W131">_xlfn.XLOOKUP($A131,ACT[[№]:[№]],ACT[Total amount/ Общая стоимость (17*exchange rate/ обменный курс)
 USD],"",0,1)</f>
        <v/>
      </c>
      <c r="X131" s="9" t="e" cm="1">
        <f t="array" ref="X131">IF(#REF!="",_xlfn.XLOOKUP("МАКС",#REF!,#REF!,,0,1),#REF!)</f>
        <v>#REF!</v>
      </c>
      <c r="Y131" s="12" t="e">
        <f>VLOOKUP(Шаблон_Формулы[[#This Row],[24]],#REF!,2,0)</f>
        <v>#REF!</v>
      </c>
      <c r="Z131" s="26" t="str">
        <f>IFERROR(Шаблон_Формулы[[#This Row],[23]]*Шаблон_Формулы[[#This Row],[25]],"")</f>
        <v/>
      </c>
      <c r="AA131" s="13" t="e" cm="1">
        <f t="array" ref="AA131">#REF!</f>
        <v>#REF!</v>
      </c>
    </row>
    <row r="132" spans="1:27" s="8" customFormat="1" ht="12">
      <c r="A132" s="11">
        <v>128</v>
      </c>
      <c r="B132" s="8" t="str" cm="1">
        <f t="array" ref="B132">_xlfn.XLOOKUP($A132,ACT[[№]:[№]],ACT[Container No/
№ Контейнера],"",0,1)</f>
        <v/>
      </c>
      <c r="C132" s="8" t="str">
        <f t="shared" si="1"/>
        <v>UzAutoKorea</v>
      </c>
      <c r="D132" s="11" t="str" cm="1">
        <f t="array" ref="D132">_xlfn.XLOOKUP($A132,ACT[[№]:[№]],ACT[Container Type/ 
Тип контейнера],"",0,1)</f>
        <v/>
      </c>
      <c r="E132" s="21" t="str" cm="1">
        <f t="array" ref="E132">_xlfn.XLOOKUP($A132,ACT[[№]:[№]],ACT[Date of Dispatch/ 
Дата отгрузки],"",0,1)</f>
        <v/>
      </c>
      <c r="F132" s="22" t="str" cm="1">
        <f t="array" ref="F132">_xlfn.XLOOKUP($A132,ACT[[№]:[№]],ACT[Supplier/ Поставщик],"",0,1)</f>
        <v/>
      </c>
      <c r="G132" s="22" t="str" cm="1">
        <f t="array" ref="G132">_xlfn.XLOOKUP($A132,ACT[[№]:[№]],ACT[Supplier Invoice No/                          № Инвойса Поставщика],"",0,1)</f>
        <v/>
      </c>
      <c r="H132" s="23" t="str" cm="1">
        <f t="array" ref="H132">_xlfn.XLOOKUP($A132,ACT[[№]:[№]],ACT[CBM],"",0,1)</f>
        <v/>
      </c>
      <c r="I132" s="23" t="str" cm="1">
        <f t="array" ref="I132">_xlfn.XLOOKUP($A132,ACT[[№]:[№]],ACT[Gross weight, kg/ Вес брутто, кг],"",0,1)</f>
        <v/>
      </c>
      <c r="J132" s="23" t="str" cm="1">
        <f t="array" ref="J132">_xlfn.XLOOKUP($A132,ACT[[№]:[№]],ACT[Delivery terms / Условия поставки],"",0,1)</f>
        <v/>
      </c>
      <c r="K132" s="23" t="str" cm="1">
        <f t="array" ref="K132">_xlfn.XLOOKUP($A132,ACT[[№]:[№]],ACT[Container total CBM],"",0,1)</f>
        <v/>
      </c>
      <c r="L132" s="24" t="str" cm="1">
        <f t="array" ref="L132">_xlfn.XLOOKUP($A132,ACT[[№]:[№]],ACT[FTL inland freight cost per Invoice Appendix/ Стоимость внутренней наземной перевозки за инвойс Приложение                     KRW],"",0,1)</f>
        <v/>
      </c>
      <c r="M132" s="24" t="str" cm="1">
        <f t="array" ref="M132">_xlfn.XLOOKUP($A132,ACT[[№]:[№]],ACT[Consolidation Work, Loading, Unloading/ Работы по консолидации, Погрузка, Разгрузка (Rate/Тариф - 8000 per CBM)                   KRW],"",0,1)</f>
        <v/>
      </c>
      <c r="N132" s="24" t="str" cm="1">
        <f t="array" ref="N132">_xlfn.XLOOKUP($A132,ACT[[№]:[№]],ACT[Shoring, Banding, Sealing, Handling/ Крепление, Перевязка, Опечатование, Обработка
KRW],"",0,1)</f>
        <v/>
      </c>
      <c r="O132" s="24" t="str" cm="1">
        <f t="array" ref="O132">_xlfn.XLOOKUP($A132,ACT[[№]:[№]],ACT[Documents Work/ Сбор за подготовку документов
KRW],"",0,1)</f>
        <v/>
      </c>
      <c r="P132" s="24" t="str" cm="1">
        <f t="array" ref="P132">_xlfn.XLOOKUP($A132,ACT[[№]:[№]],ACT[THC/ Терминальная обработка
KRW],"",0,1)</f>
        <v/>
      </c>
      <c r="Q132" s="24" t="str" cm="1">
        <f t="array" ref="Q132">_xlfn.XLOOKUP($A132,ACT[[№]:[№]],ACT[Wharfage/ Портовая пошлина
KRW],"",0,1)</f>
        <v/>
      </c>
      <c r="R132" s="24" t="str" cm="1">
        <f t="array" ref="R132">_xlfn.XLOOKUP($A132,ACT[[№]:[№]],ACT[TRUCKING CHARGE],"",0,1)</f>
        <v/>
      </c>
      <c r="S132" s="24" t="str" cm="1">
        <f t="array" ref="S132">_xlfn.XLOOKUP($A132,ACT[[№]:[№]],ACT[FCL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2" s="24" t="str" cm="1">
        <f t="array" ref="T132">_xlfn.XLOOKUP($A132,ACT[[№]:[№]],ACT[Special Wooden Shoring / Специальное деревянное крепление],"",0,1)</f>
        <v/>
      </c>
      <c r="U132" s="9"/>
      <c r="V132" s="24" t="str" cm="1">
        <f t="array" ref="V132">_xlfn.XLOOKUP($A132,ACT[[№]:[№]],ACT[Total amount/ Общая стоимость KRW (10+11+12+13+14+15+16)],"",0,1)</f>
        <v/>
      </c>
      <c r="W132" s="24" t="str" cm="1">
        <f t="array" ref="W132">_xlfn.XLOOKUP($A132,ACT[[№]:[№]],ACT[Total amount/ Общая стоимость (17*exchange rate/ обменный курс)
 USD],"",0,1)</f>
        <v/>
      </c>
      <c r="X132" s="9" t="e" cm="1">
        <f t="array" ref="X132">IF(#REF!="",_xlfn.XLOOKUP("МАКС",#REF!,#REF!,,0,1),#REF!)</f>
        <v>#REF!</v>
      </c>
      <c r="Y132" s="12" t="e">
        <f>VLOOKUP(Шаблон_Формулы[[#This Row],[24]],#REF!,2,0)</f>
        <v>#REF!</v>
      </c>
      <c r="Z132" s="26" t="str">
        <f>IFERROR(Шаблон_Формулы[[#This Row],[23]]*Шаблон_Формулы[[#This Row],[25]],"")</f>
        <v/>
      </c>
      <c r="AA132" s="13" t="e" cm="1">
        <f t="array" ref="AA132">#REF!</f>
        <v>#REF!</v>
      </c>
    </row>
    <row r="133" spans="1:27" s="8" customFormat="1" ht="12">
      <c r="A133" s="11">
        <v>129</v>
      </c>
      <c r="B133" s="8" t="str" cm="1">
        <f t="array" ref="B133">_xlfn.XLOOKUP($A133,ACT[[№]:[№]],ACT[Container No/
№ Контейнера],"",0,1)</f>
        <v/>
      </c>
      <c r="C133" s="8" t="str">
        <f t="shared" si="1"/>
        <v>UzAutoKorea</v>
      </c>
      <c r="D133" s="11" t="str" cm="1">
        <f t="array" ref="D133">_xlfn.XLOOKUP($A133,ACT[[№]:[№]],ACT[Container Type/ 
Тип контейнера],"",0,1)</f>
        <v/>
      </c>
      <c r="E133" s="21" t="str" cm="1">
        <f t="array" ref="E133">_xlfn.XLOOKUP($A133,ACT[[№]:[№]],ACT[Date of Dispatch/ 
Дата отгрузки],"",0,1)</f>
        <v/>
      </c>
      <c r="F133" s="22" t="str" cm="1">
        <f t="array" ref="F133">_xlfn.XLOOKUP($A133,ACT[[№]:[№]],ACT[Supplier/ Поставщик],"",0,1)</f>
        <v/>
      </c>
      <c r="G133" s="22" t="str" cm="1">
        <f t="array" ref="G133">_xlfn.XLOOKUP($A133,ACT[[№]:[№]],ACT[Supplier Invoice No/                          № Инвойса Поставщика],"",0,1)</f>
        <v/>
      </c>
      <c r="H133" s="23" t="str" cm="1">
        <f t="array" ref="H133">_xlfn.XLOOKUP($A133,ACT[[№]:[№]],ACT[CBM],"",0,1)</f>
        <v/>
      </c>
      <c r="I133" s="23" t="str" cm="1">
        <f t="array" ref="I133">_xlfn.XLOOKUP($A133,ACT[[№]:[№]],ACT[Gross weight, kg/ Вес брутто, кг],"",0,1)</f>
        <v/>
      </c>
      <c r="J133" s="23" t="str" cm="1">
        <f t="array" ref="J133">_xlfn.XLOOKUP($A133,ACT[[№]:[№]],ACT[Delivery terms / Условия поставки],"",0,1)</f>
        <v/>
      </c>
      <c r="K133" s="23" t="str" cm="1">
        <f t="array" ref="K133">_xlfn.XLOOKUP($A133,ACT[[№]:[№]],ACT[Container total CBM],"",0,1)</f>
        <v/>
      </c>
      <c r="L133" s="24" t="str" cm="1">
        <f t="array" ref="L133">_xlfn.XLOOKUP($A133,ACT[[№]:[№]],ACT[FTL inland freight cost per Invoice Appendix/ Стоимость внутренней наземной перевозки за инвойс Приложение                     KRW],"",0,1)</f>
        <v/>
      </c>
      <c r="M133" s="24" t="str" cm="1">
        <f t="array" ref="M133">_xlfn.XLOOKUP($A133,ACT[[№]:[№]],ACT[Consolidation Work, Loading, Unloading/ Работы по консолидации, Погрузка, Разгрузка (Rate/Тариф - 8000 per CBM)                   KRW],"",0,1)</f>
        <v/>
      </c>
      <c r="N133" s="24" t="str" cm="1">
        <f t="array" ref="N133">_xlfn.XLOOKUP($A133,ACT[[№]:[№]],ACT[Shoring, Banding, Sealing, Handling/ Крепление, Перевязка, Опечатование, Обработка
KRW],"",0,1)</f>
        <v/>
      </c>
      <c r="O133" s="24" t="str" cm="1">
        <f t="array" ref="O133">_xlfn.XLOOKUP($A133,ACT[[№]:[№]],ACT[Documents Work/ Сбор за подготовку документов
KRW],"",0,1)</f>
        <v/>
      </c>
      <c r="P133" s="24" t="str" cm="1">
        <f t="array" ref="P133">_xlfn.XLOOKUP($A133,ACT[[№]:[№]],ACT[THC/ Терминальная обработка
KRW],"",0,1)</f>
        <v/>
      </c>
      <c r="Q133" s="24" t="str" cm="1">
        <f t="array" ref="Q133">_xlfn.XLOOKUP($A133,ACT[[№]:[№]],ACT[Wharfage/ Портовая пошлина
KRW],"",0,1)</f>
        <v/>
      </c>
      <c r="R133" s="24" t="str" cm="1">
        <f t="array" ref="R133">_xlfn.XLOOKUP($A133,ACT[[№]:[№]],ACT[TRUCKING CHARGE],"",0,1)</f>
        <v/>
      </c>
      <c r="S133" s="24" t="str" cm="1">
        <f t="array" ref="S133">_xlfn.XLOOKUP($A133,ACT[[№]:[№]],ACT[FCL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3" s="24" t="str" cm="1">
        <f t="array" ref="T133">_xlfn.XLOOKUP($A133,ACT[[№]:[№]],ACT[Special Wooden Shoring / Специальное деревянное крепление],"",0,1)</f>
        <v/>
      </c>
      <c r="U133" s="9"/>
      <c r="V133" s="24" t="str" cm="1">
        <f t="array" ref="V133">_xlfn.XLOOKUP($A133,ACT[[№]:[№]],ACT[Total amount/ Общая стоимость KRW (10+11+12+13+14+15+16)],"",0,1)</f>
        <v/>
      </c>
      <c r="W133" s="24" t="str" cm="1">
        <f t="array" ref="W133">_xlfn.XLOOKUP($A133,ACT[[№]:[№]],ACT[Total amount/ Общая стоимость (17*exchange rate/ обменный курс)
 USD],"",0,1)</f>
        <v/>
      </c>
      <c r="X133" s="9" t="e" cm="1">
        <f t="array" ref="X133">IF(#REF!="",_xlfn.XLOOKUP("МАКС",#REF!,#REF!,,0,1),#REF!)</f>
        <v>#REF!</v>
      </c>
      <c r="Y133" s="12" t="e">
        <f>VLOOKUP(Шаблон_Формулы[[#This Row],[24]],#REF!,2,0)</f>
        <v>#REF!</v>
      </c>
      <c r="Z133" s="26" t="str">
        <f>IFERROR(Шаблон_Формулы[[#This Row],[23]]*Шаблон_Формулы[[#This Row],[25]],"")</f>
        <v/>
      </c>
      <c r="AA133" s="13" t="e" cm="1">
        <f t="array" ref="AA133">#REF!</f>
        <v>#REF!</v>
      </c>
    </row>
    <row r="134" spans="1:27" s="8" customFormat="1" ht="12">
      <c r="A134" s="11">
        <v>130</v>
      </c>
      <c r="B134" s="8" t="str" cm="1">
        <f t="array" ref="B134">_xlfn.XLOOKUP($A134,ACT[[№]:[№]],ACT[Container No/
№ Контейнера],"",0,1)</f>
        <v/>
      </c>
      <c r="C134" s="8" t="str">
        <f t="shared" ref="C134:C154" si="2">"UzAutoKorea"</f>
        <v>UzAutoKorea</v>
      </c>
      <c r="D134" s="11" t="str" cm="1">
        <f t="array" ref="D134">_xlfn.XLOOKUP($A134,ACT[[№]:[№]],ACT[Container Type/ 
Тип контейнера],"",0,1)</f>
        <v/>
      </c>
      <c r="E134" s="21" t="str" cm="1">
        <f t="array" ref="E134">_xlfn.XLOOKUP($A134,ACT[[№]:[№]],ACT[Date of Dispatch/ 
Дата отгрузки],"",0,1)</f>
        <v/>
      </c>
      <c r="F134" s="22" t="str" cm="1">
        <f t="array" ref="F134">_xlfn.XLOOKUP($A134,ACT[[№]:[№]],ACT[Supplier/ Поставщик],"",0,1)</f>
        <v/>
      </c>
      <c r="G134" s="22" t="str" cm="1">
        <f t="array" ref="G134">_xlfn.XLOOKUP($A134,ACT[[№]:[№]],ACT[Supplier Invoice No/                          № Инвойса Поставщика],"",0,1)</f>
        <v/>
      </c>
      <c r="H134" s="23" t="str" cm="1">
        <f t="array" ref="H134">_xlfn.XLOOKUP($A134,ACT[[№]:[№]],ACT[CBM],"",0,1)</f>
        <v/>
      </c>
      <c r="I134" s="23" t="str" cm="1">
        <f t="array" ref="I134">_xlfn.XLOOKUP($A134,ACT[[№]:[№]],ACT[Gross weight, kg/ Вес брутто, кг],"",0,1)</f>
        <v/>
      </c>
      <c r="J134" s="23" t="str" cm="1">
        <f t="array" ref="J134">_xlfn.XLOOKUP($A134,ACT[[№]:[№]],ACT[Delivery terms / Условия поставки],"",0,1)</f>
        <v/>
      </c>
      <c r="K134" s="23" t="str" cm="1">
        <f t="array" ref="K134">_xlfn.XLOOKUP($A134,ACT[[№]:[№]],ACT[Container total CBM],"",0,1)</f>
        <v/>
      </c>
      <c r="L134" s="24" t="str" cm="1">
        <f t="array" ref="L134">_xlfn.XLOOKUP($A134,ACT[[№]:[№]],ACT[FTL inland freight cost per Invoice Appendix/ Стоимость внутренней наземной перевозки за инвойс Приложение                     KRW],"",0,1)</f>
        <v/>
      </c>
      <c r="M134" s="24" t="str" cm="1">
        <f t="array" ref="M134">_xlfn.XLOOKUP($A134,ACT[[№]:[№]],ACT[Consolidation Work, Loading, Unloading/ Работы по консолидации, Погрузка, Разгрузка (Rate/Тариф - 8000 per CBM)                   KRW],"",0,1)</f>
        <v/>
      </c>
      <c r="N134" s="24" t="str" cm="1">
        <f t="array" ref="N134">_xlfn.XLOOKUP($A134,ACT[[№]:[№]],ACT[Shoring, Banding, Sealing, Handling/ Крепление, Перевязка, Опечатование, Обработка
KRW],"",0,1)</f>
        <v/>
      </c>
      <c r="O134" s="24" t="str" cm="1">
        <f t="array" ref="O134">_xlfn.XLOOKUP($A134,ACT[[№]:[№]],ACT[Documents Work/ Сбор за подготовку документов
KRW],"",0,1)</f>
        <v/>
      </c>
      <c r="P134" s="24" t="str" cm="1">
        <f t="array" ref="P134">_xlfn.XLOOKUP($A134,ACT[[№]:[№]],ACT[THC/ Терминальная обработка
KRW],"",0,1)</f>
        <v/>
      </c>
      <c r="Q134" s="24" t="str" cm="1">
        <f t="array" ref="Q134">_xlfn.XLOOKUP($A134,ACT[[№]:[№]],ACT[Wharfage/ Портовая пошлина
KRW],"",0,1)</f>
        <v/>
      </c>
      <c r="R134" s="24" t="str" cm="1">
        <f t="array" ref="R134">_xlfn.XLOOKUP($A134,ACT[[№]:[№]],ACT[TRUCKING CHARGE],"",0,1)</f>
        <v/>
      </c>
      <c r="S134" s="24" t="str" cm="1">
        <f t="array" ref="S134">_xlfn.XLOOKUP($A134,ACT[[№]:[№]],ACT[FCL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4" s="24" t="str" cm="1">
        <f t="array" ref="T134">_xlfn.XLOOKUP($A134,ACT[[№]:[№]],ACT[Special Wooden Shoring / Специальное деревянное крепление],"",0,1)</f>
        <v/>
      </c>
      <c r="U134" s="9"/>
      <c r="V134" s="24" t="str" cm="1">
        <f t="array" ref="V134">_xlfn.XLOOKUP($A134,ACT[[№]:[№]],ACT[Total amount/ Общая стоимость KRW (10+11+12+13+14+15+16)],"",0,1)</f>
        <v/>
      </c>
      <c r="W134" s="24" t="str" cm="1">
        <f t="array" ref="W134">_xlfn.XLOOKUP($A134,ACT[[№]:[№]],ACT[Total amount/ Общая стоимость (17*exchange rate/ обменный курс)
 USD],"",0,1)</f>
        <v/>
      </c>
      <c r="X134" s="9" t="e" cm="1">
        <f t="array" ref="X134">IF(#REF!="",_xlfn.XLOOKUP("МАКС",#REF!,#REF!,,0,1),#REF!)</f>
        <v>#REF!</v>
      </c>
      <c r="Y134" s="12" t="e">
        <f>VLOOKUP(Шаблон_Формулы[[#This Row],[24]],#REF!,2,0)</f>
        <v>#REF!</v>
      </c>
      <c r="Z134" s="26" t="str">
        <f>IFERROR(Шаблон_Формулы[[#This Row],[23]]*Шаблон_Формулы[[#This Row],[25]],"")</f>
        <v/>
      </c>
      <c r="AA134" s="13" t="e" cm="1">
        <f t="array" ref="AA134">#REF!</f>
        <v>#REF!</v>
      </c>
    </row>
    <row r="135" spans="1:27" s="8" customFormat="1" ht="12">
      <c r="A135" s="11">
        <v>131</v>
      </c>
      <c r="B135" s="8" t="str" cm="1">
        <f t="array" ref="B135">_xlfn.XLOOKUP($A135,ACT[[№]:[№]],ACT[Container No/
№ Контейнера],"",0,1)</f>
        <v/>
      </c>
      <c r="C135" s="8" t="str">
        <f t="shared" si="2"/>
        <v>UzAutoKorea</v>
      </c>
      <c r="D135" s="11" t="str" cm="1">
        <f t="array" ref="D135">_xlfn.XLOOKUP($A135,ACT[[№]:[№]],ACT[Container Type/ 
Тип контейнера],"",0,1)</f>
        <v/>
      </c>
      <c r="E135" s="21" t="str" cm="1">
        <f t="array" ref="E135">_xlfn.XLOOKUP($A135,ACT[[№]:[№]],ACT[Date of Dispatch/ 
Дата отгрузки],"",0,1)</f>
        <v/>
      </c>
      <c r="F135" s="22" t="str" cm="1">
        <f t="array" ref="F135">_xlfn.XLOOKUP($A135,ACT[[№]:[№]],ACT[Supplier/ Поставщик],"",0,1)</f>
        <v/>
      </c>
      <c r="G135" s="22" t="str" cm="1">
        <f t="array" ref="G135">_xlfn.XLOOKUP($A135,ACT[[№]:[№]],ACT[Supplier Invoice No/                          № Инвойса Поставщика],"",0,1)</f>
        <v/>
      </c>
      <c r="H135" s="23" t="str" cm="1">
        <f t="array" ref="H135">_xlfn.XLOOKUP($A135,ACT[[№]:[№]],ACT[CBM],"",0,1)</f>
        <v/>
      </c>
      <c r="I135" s="23" t="str" cm="1">
        <f t="array" ref="I135">_xlfn.XLOOKUP($A135,ACT[[№]:[№]],ACT[Gross weight, kg/ Вес брутто, кг],"",0,1)</f>
        <v/>
      </c>
      <c r="J135" s="23" t="str" cm="1">
        <f t="array" ref="J135">_xlfn.XLOOKUP($A135,ACT[[№]:[№]],ACT[Delivery terms / Условия поставки],"",0,1)</f>
        <v/>
      </c>
      <c r="K135" s="23" t="str" cm="1">
        <f t="array" ref="K135">_xlfn.XLOOKUP($A135,ACT[[№]:[№]],ACT[Container total CBM],"",0,1)</f>
        <v/>
      </c>
      <c r="L135" s="24" t="str" cm="1">
        <f t="array" ref="L135">_xlfn.XLOOKUP($A135,ACT[[№]:[№]],ACT[FTL inland freight cost per Invoice Appendix/ Стоимость внутренней наземной перевозки за инвойс Приложение                     KRW],"",0,1)</f>
        <v/>
      </c>
      <c r="M135" s="24" t="str" cm="1">
        <f t="array" ref="M135">_xlfn.XLOOKUP($A135,ACT[[№]:[№]],ACT[Consolidation Work, Loading, Unloading/ Работы по консолидации, Погрузка, Разгрузка (Rate/Тариф - 8000 per CBM)                   KRW],"",0,1)</f>
        <v/>
      </c>
      <c r="N135" s="24" t="str" cm="1">
        <f t="array" ref="N135">_xlfn.XLOOKUP($A135,ACT[[№]:[№]],ACT[Shoring, Banding, Sealing, Handling/ Крепление, Перевязка, Опечатование, Обработка
KRW],"",0,1)</f>
        <v/>
      </c>
      <c r="O135" s="24" t="str" cm="1">
        <f t="array" ref="O135">_xlfn.XLOOKUP($A135,ACT[[№]:[№]],ACT[Documents Work/ Сбор за подготовку документов
KRW],"",0,1)</f>
        <v/>
      </c>
      <c r="P135" s="24" t="str" cm="1">
        <f t="array" ref="P135">_xlfn.XLOOKUP($A135,ACT[[№]:[№]],ACT[THC/ Терминальная обработка
KRW],"",0,1)</f>
        <v/>
      </c>
      <c r="Q135" s="24" t="str" cm="1">
        <f t="array" ref="Q135">_xlfn.XLOOKUP($A135,ACT[[№]:[№]],ACT[Wharfage/ Портовая пошлина
KRW],"",0,1)</f>
        <v/>
      </c>
      <c r="R135" s="24" t="str" cm="1">
        <f t="array" ref="R135">_xlfn.XLOOKUP($A135,ACT[[№]:[№]],ACT[TRUCKING CHARGE],"",0,1)</f>
        <v/>
      </c>
      <c r="S135" s="24" t="str" cm="1">
        <f t="array" ref="S135">_xlfn.XLOOKUP($A135,ACT[[№]:[№]],ACT[FCL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5" s="24" t="str" cm="1">
        <f t="array" ref="T135">_xlfn.XLOOKUP($A135,ACT[[№]:[№]],ACT[Special Wooden Shoring / Специальное деревянное крепление],"",0,1)</f>
        <v/>
      </c>
      <c r="U135" s="9"/>
      <c r="V135" s="24" t="str" cm="1">
        <f t="array" ref="V135">_xlfn.XLOOKUP($A135,ACT[[№]:[№]],ACT[Total amount/ Общая стоимость KRW (10+11+12+13+14+15+16)],"",0,1)</f>
        <v/>
      </c>
      <c r="W135" s="24" t="str" cm="1">
        <f t="array" ref="W135">_xlfn.XLOOKUP($A135,ACT[[№]:[№]],ACT[Total amount/ Общая стоимость (17*exchange rate/ обменный курс)
 USD],"",0,1)</f>
        <v/>
      </c>
      <c r="X135" s="9" t="e" cm="1">
        <f t="array" ref="X135">IF(#REF!="",_xlfn.XLOOKUP("МАКС",#REF!,#REF!,,0,1),#REF!)</f>
        <v>#REF!</v>
      </c>
      <c r="Y135" s="12" t="e">
        <f>VLOOKUP(Шаблон_Формулы[[#This Row],[24]],#REF!,2,0)</f>
        <v>#REF!</v>
      </c>
      <c r="Z135" s="26" t="str">
        <f>IFERROR(Шаблон_Формулы[[#This Row],[23]]*Шаблон_Формулы[[#This Row],[25]],"")</f>
        <v/>
      </c>
      <c r="AA135" s="13" t="e" cm="1">
        <f t="array" ref="AA135">#REF!</f>
        <v>#REF!</v>
      </c>
    </row>
    <row r="136" spans="1:27" s="8" customFormat="1" ht="12">
      <c r="A136" s="11">
        <v>132</v>
      </c>
      <c r="B136" s="8" t="str" cm="1">
        <f t="array" ref="B136">_xlfn.XLOOKUP($A136,ACT[[№]:[№]],ACT[Container No/
№ Контейнера],"",0,1)</f>
        <v/>
      </c>
      <c r="C136" s="8" t="str">
        <f t="shared" si="2"/>
        <v>UzAutoKorea</v>
      </c>
      <c r="D136" s="11" t="str" cm="1">
        <f t="array" ref="D136">_xlfn.XLOOKUP($A136,ACT[[№]:[№]],ACT[Container Type/ 
Тип контейнера],"",0,1)</f>
        <v/>
      </c>
      <c r="E136" s="21" t="str" cm="1">
        <f t="array" ref="E136">_xlfn.XLOOKUP($A136,ACT[[№]:[№]],ACT[Date of Dispatch/ 
Дата отгрузки],"",0,1)</f>
        <v/>
      </c>
      <c r="F136" s="22" t="str" cm="1">
        <f t="array" ref="F136">_xlfn.XLOOKUP($A136,ACT[[№]:[№]],ACT[Supplier/ Поставщик],"",0,1)</f>
        <v/>
      </c>
      <c r="G136" s="22" t="str" cm="1">
        <f t="array" ref="G136">_xlfn.XLOOKUP($A136,ACT[[№]:[№]],ACT[Supplier Invoice No/                          № Инвойса Поставщика],"",0,1)</f>
        <v/>
      </c>
      <c r="H136" s="23" t="str" cm="1">
        <f t="array" ref="H136">_xlfn.XLOOKUP($A136,ACT[[№]:[№]],ACT[CBM],"",0,1)</f>
        <v/>
      </c>
      <c r="I136" s="23" t="str" cm="1">
        <f t="array" ref="I136">_xlfn.XLOOKUP($A136,ACT[[№]:[№]],ACT[Gross weight, kg/ Вес брутто, кг],"",0,1)</f>
        <v/>
      </c>
      <c r="J136" s="23" t="str" cm="1">
        <f t="array" ref="J136">_xlfn.XLOOKUP($A136,ACT[[№]:[№]],ACT[Delivery terms / Условия поставки],"",0,1)</f>
        <v/>
      </c>
      <c r="K136" s="23" t="str" cm="1">
        <f t="array" ref="K136">_xlfn.XLOOKUP($A136,ACT[[№]:[№]],ACT[Container total CBM],"",0,1)</f>
        <v/>
      </c>
      <c r="L136" s="24" t="str" cm="1">
        <f t="array" ref="L136">_xlfn.XLOOKUP($A136,ACT[[№]:[№]],ACT[FTL inland freight cost per Invoice Appendix/ Стоимость внутренней наземной перевозки за инвойс Приложение                     KRW],"",0,1)</f>
        <v/>
      </c>
      <c r="M136" s="24" t="str" cm="1">
        <f t="array" ref="M136">_xlfn.XLOOKUP($A136,ACT[[№]:[№]],ACT[Consolidation Work, Loading, Unloading/ Работы по консолидации, Погрузка, Разгрузка (Rate/Тариф - 8000 per CBM)                   KRW],"",0,1)</f>
        <v/>
      </c>
      <c r="N136" s="24" t="str" cm="1">
        <f t="array" ref="N136">_xlfn.XLOOKUP($A136,ACT[[№]:[№]],ACT[Shoring, Banding, Sealing, Handling/ Крепление, Перевязка, Опечатование, Обработка
KRW],"",0,1)</f>
        <v/>
      </c>
      <c r="O136" s="24" t="str" cm="1">
        <f t="array" ref="O136">_xlfn.XLOOKUP($A136,ACT[[№]:[№]],ACT[Documents Work/ Сбор за подготовку документов
KRW],"",0,1)</f>
        <v/>
      </c>
      <c r="P136" s="24" t="str" cm="1">
        <f t="array" ref="P136">_xlfn.XLOOKUP($A136,ACT[[№]:[№]],ACT[THC/ Терминальная обработка
KRW],"",0,1)</f>
        <v/>
      </c>
      <c r="Q136" s="24" t="str" cm="1">
        <f t="array" ref="Q136">_xlfn.XLOOKUP($A136,ACT[[№]:[№]],ACT[Wharfage/ Портовая пошлина
KRW],"",0,1)</f>
        <v/>
      </c>
      <c r="R136" s="24" t="str" cm="1">
        <f t="array" ref="R136">_xlfn.XLOOKUP($A136,ACT[[№]:[№]],ACT[TRUCKING CHARGE],"",0,1)</f>
        <v/>
      </c>
      <c r="S136" s="24" t="str" cm="1">
        <f t="array" ref="S136">_xlfn.XLOOKUP($A136,ACT[[№]:[№]],ACT[FCL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6" s="24" t="str" cm="1">
        <f t="array" ref="T136">_xlfn.XLOOKUP($A136,ACT[[№]:[№]],ACT[Special Wooden Shoring / Специальное деревянное крепление],"",0,1)</f>
        <v/>
      </c>
      <c r="U136" s="9"/>
      <c r="V136" s="24" t="str" cm="1">
        <f t="array" ref="V136">_xlfn.XLOOKUP($A136,ACT[[№]:[№]],ACT[Total amount/ Общая стоимость KRW (10+11+12+13+14+15+16)],"",0,1)</f>
        <v/>
      </c>
      <c r="W136" s="24" t="str" cm="1">
        <f t="array" ref="W136">_xlfn.XLOOKUP($A136,ACT[[№]:[№]],ACT[Total amount/ Общая стоимость (17*exchange rate/ обменный курс)
 USD],"",0,1)</f>
        <v/>
      </c>
      <c r="X136" s="9" t="e" cm="1">
        <f t="array" ref="X136">IF(#REF!="",_xlfn.XLOOKUP("МАКС",#REF!,#REF!,,0,1),#REF!)</f>
        <v>#REF!</v>
      </c>
      <c r="Y136" s="12" t="e">
        <f>VLOOKUP(Шаблон_Формулы[[#This Row],[24]],#REF!,2,0)</f>
        <v>#REF!</v>
      </c>
      <c r="Z136" s="26" t="str">
        <f>IFERROR(Шаблон_Формулы[[#This Row],[23]]*Шаблон_Формулы[[#This Row],[25]],"")</f>
        <v/>
      </c>
      <c r="AA136" s="13" t="e" cm="1">
        <f t="array" ref="AA136">#REF!</f>
        <v>#REF!</v>
      </c>
    </row>
    <row r="137" spans="1:27" s="8" customFormat="1" ht="12">
      <c r="A137" s="11">
        <v>133</v>
      </c>
      <c r="B137" s="8" t="str" cm="1">
        <f t="array" ref="B137">_xlfn.XLOOKUP($A137,ACT[[№]:[№]],ACT[Container No/
№ Контейнера],"",0,1)</f>
        <v/>
      </c>
      <c r="C137" s="8" t="str">
        <f t="shared" si="2"/>
        <v>UzAutoKorea</v>
      </c>
      <c r="D137" s="11" t="str" cm="1">
        <f t="array" ref="D137">_xlfn.XLOOKUP($A137,ACT[[№]:[№]],ACT[Container Type/ 
Тип контейнера],"",0,1)</f>
        <v/>
      </c>
      <c r="E137" s="21" t="str" cm="1">
        <f t="array" ref="E137">_xlfn.XLOOKUP($A137,ACT[[№]:[№]],ACT[Date of Dispatch/ 
Дата отгрузки],"",0,1)</f>
        <v/>
      </c>
      <c r="F137" s="22" t="str" cm="1">
        <f t="array" ref="F137">_xlfn.XLOOKUP($A137,ACT[[№]:[№]],ACT[Supplier/ Поставщик],"",0,1)</f>
        <v/>
      </c>
      <c r="G137" s="22" t="str" cm="1">
        <f t="array" ref="G137">_xlfn.XLOOKUP($A137,ACT[[№]:[№]],ACT[Supplier Invoice No/                          № Инвойса Поставщика],"",0,1)</f>
        <v/>
      </c>
      <c r="H137" s="23" t="str" cm="1">
        <f t="array" ref="H137">_xlfn.XLOOKUP($A137,ACT[[№]:[№]],ACT[CBM],"",0,1)</f>
        <v/>
      </c>
      <c r="I137" s="23" t="str" cm="1">
        <f t="array" ref="I137">_xlfn.XLOOKUP($A137,ACT[[№]:[№]],ACT[Gross weight, kg/ Вес брутто, кг],"",0,1)</f>
        <v/>
      </c>
      <c r="J137" s="23" t="str" cm="1">
        <f t="array" ref="J137">_xlfn.XLOOKUP($A137,ACT[[№]:[№]],ACT[Delivery terms / Условия поставки],"",0,1)</f>
        <v/>
      </c>
      <c r="K137" s="23" t="str" cm="1">
        <f t="array" ref="K137">_xlfn.XLOOKUP($A137,ACT[[№]:[№]],ACT[Container total CBM],"",0,1)</f>
        <v/>
      </c>
      <c r="L137" s="24" t="str" cm="1">
        <f t="array" ref="L137">_xlfn.XLOOKUP($A137,ACT[[№]:[№]],ACT[FTL inland freight cost per Invoice Appendix/ Стоимость внутренней наземной перевозки за инвойс Приложение                     KRW],"",0,1)</f>
        <v/>
      </c>
      <c r="M137" s="24" t="str" cm="1">
        <f t="array" ref="M137">_xlfn.XLOOKUP($A137,ACT[[№]:[№]],ACT[Consolidation Work, Loading, Unloading/ Работы по консолидации, Погрузка, Разгрузка (Rate/Тариф - 8000 per CBM)                   KRW],"",0,1)</f>
        <v/>
      </c>
      <c r="N137" s="24" t="str" cm="1">
        <f t="array" ref="N137">_xlfn.XLOOKUP($A137,ACT[[№]:[№]],ACT[Shoring, Banding, Sealing, Handling/ Крепление, Перевязка, Опечатование, Обработка
KRW],"",0,1)</f>
        <v/>
      </c>
      <c r="O137" s="24" t="str" cm="1">
        <f t="array" ref="O137">_xlfn.XLOOKUP($A137,ACT[[№]:[№]],ACT[Documents Work/ Сбор за подготовку документов
KRW],"",0,1)</f>
        <v/>
      </c>
      <c r="P137" s="24" t="str" cm="1">
        <f t="array" ref="P137">_xlfn.XLOOKUP($A137,ACT[[№]:[№]],ACT[THC/ Терминальная обработка
KRW],"",0,1)</f>
        <v/>
      </c>
      <c r="Q137" s="24" t="str" cm="1">
        <f t="array" ref="Q137">_xlfn.XLOOKUP($A137,ACT[[№]:[№]],ACT[Wharfage/ Портовая пошлина
KRW],"",0,1)</f>
        <v/>
      </c>
      <c r="R137" s="24" t="str" cm="1">
        <f t="array" ref="R137">_xlfn.XLOOKUP($A137,ACT[[№]:[№]],ACT[TRUCKING CHARGE],"",0,1)</f>
        <v/>
      </c>
      <c r="S137" s="24" t="str" cm="1">
        <f t="array" ref="S137">_xlfn.XLOOKUP($A137,ACT[[№]:[№]],ACT[FCL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7" s="24" t="str" cm="1">
        <f t="array" ref="T137">_xlfn.XLOOKUP($A137,ACT[[№]:[№]],ACT[Special Wooden Shoring / Специальное деревянное крепление],"",0,1)</f>
        <v/>
      </c>
      <c r="U137" s="9"/>
      <c r="V137" s="24" t="str" cm="1">
        <f t="array" ref="V137">_xlfn.XLOOKUP($A137,ACT[[№]:[№]],ACT[Total amount/ Общая стоимость KRW (10+11+12+13+14+15+16)],"",0,1)</f>
        <v/>
      </c>
      <c r="W137" s="24" t="str" cm="1">
        <f t="array" ref="W137">_xlfn.XLOOKUP($A137,ACT[[№]:[№]],ACT[Total amount/ Общая стоимость (17*exchange rate/ обменный курс)
 USD],"",0,1)</f>
        <v/>
      </c>
      <c r="X137" s="9" t="e" cm="1">
        <f t="array" ref="X137">IF(#REF!="",_xlfn.XLOOKUP("МАКС",#REF!,#REF!,,0,1),#REF!)</f>
        <v>#REF!</v>
      </c>
      <c r="Y137" s="12" t="e">
        <f>VLOOKUP(Шаблон_Формулы[[#This Row],[24]],#REF!,2,0)</f>
        <v>#REF!</v>
      </c>
      <c r="Z137" s="26" t="str">
        <f>IFERROR(Шаблон_Формулы[[#This Row],[23]]*Шаблон_Формулы[[#This Row],[25]],"")</f>
        <v/>
      </c>
      <c r="AA137" s="13" t="e" cm="1">
        <f t="array" ref="AA137">#REF!</f>
        <v>#REF!</v>
      </c>
    </row>
    <row r="138" spans="1:27" s="8" customFormat="1" ht="12">
      <c r="A138" s="11">
        <v>134</v>
      </c>
      <c r="B138" s="8" t="str" cm="1">
        <f t="array" ref="B138">_xlfn.XLOOKUP($A138,ACT[[№]:[№]],ACT[Container No/
№ Контейнера],"",0,1)</f>
        <v/>
      </c>
      <c r="C138" s="8" t="str">
        <f t="shared" si="2"/>
        <v>UzAutoKorea</v>
      </c>
      <c r="D138" s="11" t="str" cm="1">
        <f t="array" ref="D138">_xlfn.XLOOKUP($A138,ACT[[№]:[№]],ACT[Container Type/ 
Тип контейнера],"",0,1)</f>
        <v/>
      </c>
      <c r="E138" s="21" t="str" cm="1">
        <f t="array" ref="E138">_xlfn.XLOOKUP($A138,ACT[[№]:[№]],ACT[Date of Dispatch/ 
Дата отгрузки],"",0,1)</f>
        <v/>
      </c>
      <c r="F138" s="22" t="str" cm="1">
        <f t="array" ref="F138">_xlfn.XLOOKUP($A138,ACT[[№]:[№]],ACT[Supplier/ Поставщик],"",0,1)</f>
        <v/>
      </c>
      <c r="G138" s="22" t="str" cm="1">
        <f t="array" ref="G138">_xlfn.XLOOKUP($A138,ACT[[№]:[№]],ACT[Supplier Invoice No/                          № Инвойса Поставщика],"",0,1)</f>
        <v/>
      </c>
      <c r="H138" s="23" t="str" cm="1">
        <f t="array" ref="H138">_xlfn.XLOOKUP($A138,ACT[[№]:[№]],ACT[CBM],"",0,1)</f>
        <v/>
      </c>
      <c r="I138" s="23" t="str" cm="1">
        <f t="array" ref="I138">_xlfn.XLOOKUP($A138,ACT[[№]:[№]],ACT[Gross weight, kg/ Вес брутто, кг],"",0,1)</f>
        <v/>
      </c>
      <c r="J138" s="23" t="str" cm="1">
        <f t="array" ref="J138">_xlfn.XLOOKUP($A138,ACT[[№]:[№]],ACT[Delivery terms / Условия поставки],"",0,1)</f>
        <v/>
      </c>
      <c r="K138" s="23" t="str" cm="1">
        <f t="array" ref="K138">_xlfn.XLOOKUP($A138,ACT[[№]:[№]],ACT[Container total CBM],"",0,1)</f>
        <v/>
      </c>
      <c r="L138" s="24" t="str" cm="1">
        <f t="array" ref="L138">_xlfn.XLOOKUP($A138,ACT[[№]:[№]],ACT[FTL inland freight cost per Invoice Appendix/ Стоимость внутренней наземной перевозки за инвойс Приложение                     KRW],"",0,1)</f>
        <v/>
      </c>
      <c r="M138" s="24" t="str" cm="1">
        <f t="array" ref="M138">_xlfn.XLOOKUP($A138,ACT[[№]:[№]],ACT[Consolidation Work, Loading, Unloading/ Работы по консолидации, Погрузка, Разгрузка (Rate/Тариф - 8000 per CBM)                   KRW],"",0,1)</f>
        <v/>
      </c>
      <c r="N138" s="24" t="str" cm="1">
        <f t="array" ref="N138">_xlfn.XLOOKUP($A138,ACT[[№]:[№]],ACT[Shoring, Banding, Sealing, Handling/ Крепление, Перевязка, Опечатование, Обработка
KRW],"",0,1)</f>
        <v/>
      </c>
      <c r="O138" s="24" t="str" cm="1">
        <f t="array" ref="O138">_xlfn.XLOOKUP($A138,ACT[[№]:[№]],ACT[Documents Work/ Сбор за подготовку документов
KRW],"",0,1)</f>
        <v/>
      </c>
      <c r="P138" s="24" t="str" cm="1">
        <f t="array" ref="P138">_xlfn.XLOOKUP($A138,ACT[[№]:[№]],ACT[THC/ Терминальная обработка
KRW],"",0,1)</f>
        <v/>
      </c>
      <c r="Q138" s="24" t="str" cm="1">
        <f t="array" ref="Q138">_xlfn.XLOOKUP($A138,ACT[[№]:[№]],ACT[Wharfage/ Портовая пошлина
KRW],"",0,1)</f>
        <v/>
      </c>
      <c r="R138" s="24" t="str" cm="1">
        <f t="array" ref="R138">_xlfn.XLOOKUP($A138,ACT[[№]:[№]],ACT[TRUCKING CHARGE],"",0,1)</f>
        <v/>
      </c>
      <c r="S138" s="24" t="str" cm="1">
        <f t="array" ref="S138">_xlfn.XLOOKUP($A138,ACT[[№]:[№]],ACT[FCL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8" s="24" t="str" cm="1">
        <f t="array" ref="T138">_xlfn.XLOOKUP($A138,ACT[[№]:[№]],ACT[Special Wooden Shoring / Специальное деревянное крепление],"",0,1)</f>
        <v/>
      </c>
      <c r="U138" s="9"/>
      <c r="V138" s="24" t="str" cm="1">
        <f t="array" ref="V138">_xlfn.XLOOKUP($A138,ACT[[№]:[№]],ACT[Total amount/ Общая стоимость KRW (10+11+12+13+14+15+16)],"",0,1)</f>
        <v/>
      </c>
      <c r="W138" s="24" t="str" cm="1">
        <f t="array" ref="W138">_xlfn.XLOOKUP($A138,ACT[[№]:[№]],ACT[Total amount/ Общая стоимость (17*exchange rate/ обменный курс)
 USD],"",0,1)</f>
        <v/>
      </c>
      <c r="X138" s="9" t="e" cm="1">
        <f t="array" ref="X138">IF(#REF!="",_xlfn.XLOOKUP("МАКС",#REF!,#REF!,,0,1),#REF!)</f>
        <v>#REF!</v>
      </c>
      <c r="Y138" s="12" t="e">
        <f>VLOOKUP(Шаблон_Формулы[[#This Row],[24]],#REF!,2,0)</f>
        <v>#REF!</v>
      </c>
      <c r="Z138" s="26" t="str">
        <f>IFERROR(Шаблон_Формулы[[#This Row],[23]]*Шаблон_Формулы[[#This Row],[25]],"")</f>
        <v/>
      </c>
      <c r="AA138" s="13" t="e" cm="1">
        <f t="array" ref="AA138">#REF!</f>
        <v>#REF!</v>
      </c>
    </row>
    <row r="139" spans="1:27" s="8" customFormat="1" ht="12">
      <c r="A139" s="11">
        <v>135</v>
      </c>
      <c r="B139" s="8" t="str" cm="1">
        <f t="array" ref="B139">_xlfn.XLOOKUP($A139,ACT[[№]:[№]],ACT[Container No/
№ Контейнера],"",0,1)</f>
        <v/>
      </c>
      <c r="C139" s="8" t="str">
        <f t="shared" si="2"/>
        <v>UzAutoKorea</v>
      </c>
      <c r="D139" s="11" t="str" cm="1">
        <f t="array" ref="D139">_xlfn.XLOOKUP($A139,ACT[[№]:[№]],ACT[Container Type/ 
Тип контейнера],"",0,1)</f>
        <v/>
      </c>
      <c r="E139" s="21" t="str" cm="1">
        <f t="array" ref="E139">_xlfn.XLOOKUP($A139,ACT[[№]:[№]],ACT[Date of Dispatch/ 
Дата отгрузки],"",0,1)</f>
        <v/>
      </c>
      <c r="F139" s="22" t="str" cm="1">
        <f t="array" ref="F139">_xlfn.XLOOKUP($A139,ACT[[№]:[№]],ACT[Supplier/ Поставщик],"",0,1)</f>
        <v/>
      </c>
      <c r="G139" s="22" t="str" cm="1">
        <f t="array" ref="G139">_xlfn.XLOOKUP($A139,ACT[[№]:[№]],ACT[Supplier Invoice No/                          № Инвойса Поставщика],"",0,1)</f>
        <v/>
      </c>
      <c r="H139" s="23" t="str" cm="1">
        <f t="array" ref="H139">_xlfn.XLOOKUP($A139,ACT[[№]:[№]],ACT[CBM],"",0,1)</f>
        <v/>
      </c>
      <c r="I139" s="23" t="str" cm="1">
        <f t="array" ref="I139">_xlfn.XLOOKUP($A139,ACT[[№]:[№]],ACT[Gross weight, kg/ Вес брутто, кг],"",0,1)</f>
        <v/>
      </c>
      <c r="J139" s="23" t="str" cm="1">
        <f t="array" ref="J139">_xlfn.XLOOKUP($A139,ACT[[№]:[№]],ACT[Delivery terms / Условия поставки],"",0,1)</f>
        <v/>
      </c>
      <c r="K139" s="23" t="str" cm="1">
        <f t="array" ref="K139">_xlfn.XLOOKUP($A139,ACT[[№]:[№]],ACT[Container total CBM],"",0,1)</f>
        <v/>
      </c>
      <c r="L139" s="24" t="str" cm="1">
        <f t="array" ref="L139">_xlfn.XLOOKUP($A139,ACT[[№]:[№]],ACT[FTL inland freight cost per Invoice Appendix/ Стоимость внутренней наземной перевозки за инвойс Приложение                     KRW],"",0,1)</f>
        <v/>
      </c>
      <c r="M139" s="24" t="str" cm="1">
        <f t="array" ref="M139">_xlfn.XLOOKUP($A139,ACT[[№]:[№]],ACT[Consolidation Work, Loading, Unloading/ Работы по консолидации, Погрузка, Разгрузка (Rate/Тариф - 8000 per CBM)                   KRW],"",0,1)</f>
        <v/>
      </c>
      <c r="N139" s="24" t="str" cm="1">
        <f t="array" ref="N139">_xlfn.XLOOKUP($A139,ACT[[№]:[№]],ACT[Shoring, Banding, Sealing, Handling/ Крепление, Перевязка, Опечатование, Обработка
KRW],"",0,1)</f>
        <v/>
      </c>
      <c r="O139" s="24" t="str" cm="1">
        <f t="array" ref="O139">_xlfn.XLOOKUP($A139,ACT[[№]:[№]],ACT[Documents Work/ Сбор за подготовку документов
KRW],"",0,1)</f>
        <v/>
      </c>
      <c r="P139" s="24" t="str" cm="1">
        <f t="array" ref="P139">_xlfn.XLOOKUP($A139,ACT[[№]:[№]],ACT[THC/ Терминальная обработка
KRW],"",0,1)</f>
        <v/>
      </c>
      <c r="Q139" s="24" t="str" cm="1">
        <f t="array" ref="Q139">_xlfn.XLOOKUP($A139,ACT[[№]:[№]],ACT[Wharfage/ Портовая пошлина
KRW],"",0,1)</f>
        <v/>
      </c>
      <c r="R139" s="24" t="str" cm="1">
        <f t="array" ref="R139">_xlfn.XLOOKUP($A139,ACT[[№]:[№]],ACT[TRUCKING CHARGE],"",0,1)</f>
        <v/>
      </c>
      <c r="S139" s="24" t="str" cm="1">
        <f t="array" ref="S139">_xlfn.XLOOKUP($A139,ACT[[№]:[№]],ACT[FCL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9" s="24" t="str" cm="1">
        <f t="array" ref="T139">_xlfn.XLOOKUP($A139,ACT[[№]:[№]],ACT[Special Wooden Shoring / Специальное деревянное крепление],"",0,1)</f>
        <v/>
      </c>
      <c r="U139" s="9"/>
      <c r="V139" s="24" t="str" cm="1">
        <f t="array" ref="V139">_xlfn.XLOOKUP($A139,ACT[[№]:[№]],ACT[Total amount/ Общая стоимость KRW (10+11+12+13+14+15+16)],"",0,1)</f>
        <v/>
      </c>
      <c r="W139" s="24" t="str" cm="1">
        <f t="array" ref="W139">_xlfn.XLOOKUP($A139,ACT[[№]:[№]],ACT[Total amount/ Общая стоимость (17*exchange rate/ обменный курс)
 USD],"",0,1)</f>
        <v/>
      </c>
      <c r="X139" s="9" t="e" cm="1">
        <f t="array" ref="X139">IF(#REF!="",_xlfn.XLOOKUP("МАКС",#REF!,#REF!,,0,1),#REF!)</f>
        <v>#REF!</v>
      </c>
      <c r="Y139" s="12" t="e">
        <f>VLOOKUP(Шаблон_Формулы[[#This Row],[24]],#REF!,2,0)</f>
        <v>#REF!</v>
      </c>
      <c r="Z139" s="26" t="str">
        <f>IFERROR(Шаблон_Формулы[[#This Row],[23]]*Шаблон_Формулы[[#This Row],[25]],"")</f>
        <v/>
      </c>
      <c r="AA139" s="13" t="e" cm="1">
        <f t="array" ref="AA139">#REF!</f>
        <v>#REF!</v>
      </c>
    </row>
    <row r="140" spans="1:27" s="8" customFormat="1" ht="12">
      <c r="A140" s="11">
        <v>136</v>
      </c>
      <c r="B140" s="8" t="str" cm="1">
        <f t="array" ref="B140">_xlfn.XLOOKUP($A140,ACT[[№]:[№]],ACT[Container No/
№ Контейнера],"",0,1)</f>
        <v/>
      </c>
      <c r="C140" s="8" t="str">
        <f t="shared" si="2"/>
        <v>UzAutoKorea</v>
      </c>
      <c r="D140" s="11" t="str" cm="1">
        <f t="array" ref="D140">_xlfn.XLOOKUP($A140,ACT[[№]:[№]],ACT[Container Type/ 
Тип контейнера],"",0,1)</f>
        <v/>
      </c>
      <c r="E140" s="21" t="str" cm="1">
        <f t="array" ref="E140">_xlfn.XLOOKUP($A140,ACT[[№]:[№]],ACT[Date of Dispatch/ 
Дата отгрузки],"",0,1)</f>
        <v/>
      </c>
      <c r="F140" s="22" t="str" cm="1">
        <f t="array" ref="F140">_xlfn.XLOOKUP($A140,ACT[[№]:[№]],ACT[Supplier/ Поставщик],"",0,1)</f>
        <v/>
      </c>
      <c r="G140" s="22" t="str" cm="1">
        <f t="array" ref="G140">_xlfn.XLOOKUP($A140,ACT[[№]:[№]],ACT[Supplier Invoice No/                          № Инвойса Поставщика],"",0,1)</f>
        <v/>
      </c>
      <c r="H140" s="23" t="str" cm="1">
        <f t="array" ref="H140">_xlfn.XLOOKUP($A140,ACT[[№]:[№]],ACT[CBM],"",0,1)</f>
        <v/>
      </c>
      <c r="I140" s="23" t="str" cm="1">
        <f t="array" ref="I140">_xlfn.XLOOKUP($A140,ACT[[№]:[№]],ACT[Gross weight, kg/ Вес брутто, кг],"",0,1)</f>
        <v/>
      </c>
      <c r="J140" s="23" t="str" cm="1">
        <f t="array" ref="J140">_xlfn.XLOOKUP($A140,ACT[[№]:[№]],ACT[Delivery terms / Условия поставки],"",0,1)</f>
        <v/>
      </c>
      <c r="K140" s="23" t="str" cm="1">
        <f t="array" ref="K140">_xlfn.XLOOKUP($A140,ACT[[№]:[№]],ACT[Container total CBM],"",0,1)</f>
        <v/>
      </c>
      <c r="L140" s="24" t="str" cm="1">
        <f t="array" ref="L140">_xlfn.XLOOKUP($A140,ACT[[№]:[№]],ACT[FTL inland freight cost per Invoice Appendix/ Стоимость внутренней наземной перевозки за инвойс Приложение                     KRW],"",0,1)</f>
        <v/>
      </c>
      <c r="M140" s="24" t="str" cm="1">
        <f t="array" ref="M140">_xlfn.XLOOKUP($A140,ACT[[№]:[№]],ACT[Consolidation Work, Loading, Unloading/ Работы по консолидации, Погрузка, Разгрузка (Rate/Тариф - 8000 per CBM)                   KRW],"",0,1)</f>
        <v/>
      </c>
      <c r="N140" s="24" t="str" cm="1">
        <f t="array" ref="N140">_xlfn.XLOOKUP($A140,ACT[[№]:[№]],ACT[Shoring, Banding, Sealing, Handling/ Крепление, Перевязка, Опечатование, Обработка
KRW],"",0,1)</f>
        <v/>
      </c>
      <c r="O140" s="24" t="str" cm="1">
        <f t="array" ref="O140">_xlfn.XLOOKUP($A140,ACT[[№]:[№]],ACT[Documents Work/ Сбор за подготовку документов
KRW],"",0,1)</f>
        <v/>
      </c>
      <c r="P140" s="24" t="str" cm="1">
        <f t="array" ref="P140">_xlfn.XLOOKUP($A140,ACT[[№]:[№]],ACT[THC/ Терминальная обработка
KRW],"",0,1)</f>
        <v/>
      </c>
      <c r="Q140" s="24" t="str" cm="1">
        <f t="array" ref="Q140">_xlfn.XLOOKUP($A140,ACT[[№]:[№]],ACT[Wharfage/ Портовая пошлина
KRW],"",0,1)</f>
        <v/>
      </c>
      <c r="R140" s="24" t="str" cm="1">
        <f t="array" ref="R140">_xlfn.XLOOKUP($A140,ACT[[№]:[№]],ACT[TRUCKING CHARGE],"",0,1)</f>
        <v/>
      </c>
      <c r="S140" s="24" t="str" cm="1">
        <f t="array" ref="S140">_xlfn.XLOOKUP($A140,ACT[[№]:[№]],ACT[FCL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0" s="24" t="str" cm="1">
        <f t="array" ref="T140">_xlfn.XLOOKUP($A140,ACT[[№]:[№]],ACT[Special Wooden Shoring / Специальное деревянное крепление],"",0,1)</f>
        <v/>
      </c>
      <c r="U140" s="9"/>
      <c r="V140" s="24" t="str" cm="1">
        <f t="array" ref="V140">_xlfn.XLOOKUP($A140,ACT[[№]:[№]],ACT[Total amount/ Общая стоимость KRW (10+11+12+13+14+15+16)],"",0,1)</f>
        <v/>
      </c>
      <c r="W140" s="24" t="str" cm="1">
        <f t="array" ref="W140">_xlfn.XLOOKUP($A140,ACT[[№]:[№]],ACT[Total amount/ Общая стоимость (17*exchange rate/ обменный курс)
 USD],"",0,1)</f>
        <v/>
      </c>
      <c r="X140" s="9" t="e" cm="1">
        <f t="array" ref="X140">IF(#REF!="",_xlfn.XLOOKUP("МАКС",#REF!,#REF!,,0,1),#REF!)</f>
        <v>#REF!</v>
      </c>
      <c r="Y140" s="12" t="e">
        <f>VLOOKUP(Шаблон_Формулы[[#This Row],[24]],#REF!,2,0)</f>
        <v>#REF!</v>
      </c>
      <c r="Z140" s="26" t="str">
        <f>IFERROR(Шаблон_Формулы[[#This Row],[23]]*Шаблон_Формулы[[#This Row],[25]],"")</f>
        <v/>
      </c>
      <c r="AA140" s="13" t="e" cm="1">
        <f t="array" ref="AA140">#REF!</f>
        <v>#REF!</v>
      </c>
    </row>
    <row r="141" spans="1:27" s="8" customFormat="1" ht="12">
      <c r="A141" s="11">
        <v>137</v>
      </c>
      <c r="B141" s="8" t="str" cm="1">
        <f t="array" ref="B141">_xlfn.XLOOKUP($A141,ACT[[№]:[№]],ACT[Container No/
№ Контейнера],"",0,1)</f>
        <v/>
      </c>
      <c r="C141" s="8" t="str">
        <f t="shared" si="2"/>
        <v>UzAutoKorea</v>
      </c>
      <c r="D141" s="11" t="str" cm="1">
        <f t="array" ref="D141">_xlfn.XLOOKUP($A141,ACT[[№]:[№]],ACT[Container Type/ 
Тип контейнера],"",0,1)</f>
        <v/>
      </c>
      <c r="E141" s="21" t="str" cm="1">
        <f t="array" ref="E141">_xlfn.XLOOKUP($A141,ACT[[№]:[№]],ACT[Date of Dispatch/ 
Дата отгрузки],"",0,1)</f>
        <v/>
      </c>
      <c r="F141" s="22" t="str" cm="1">
        <f t="array" ref="F141">_xlfn.XLOOKUP($A141,ACT[[№]:[№]],ACT[Supplier/ Поставщик],"",0,1)</f>
        <v/>
      </c>
      <c r="G141" s="22" t="str" cm="1">
        <f t="array" ref="G141">_xlfn.XLOOKUP($A141,ACT[[№]:[№]],ACT[Supplier Invoice No/                          № Инвойса Поставщика],"",0,1)</f>
        <v/>
      </c>
      <c r="H141" s="23" t="str" cm="1">
        <f t="array" ref="H141">_xlfn.XLOOKUP($A141,ACT[[№]:[№]],ACT[CBM],"",0,1)</f>
        <v/>
      </c>
      <c r="I141" s="23" t="str" cm="1">
        <f t="array" ref="I141">_xlfn.XLOOKUP($A141,ACT[[№]:[№]],ACT[Gross weight, kg/ Вес брутто, кг],"",0,1)</f>
        <v/>
      </c>
      <c r="J141" s="23" t="str" cm="1">
        <f t="array" ref="J141">_xlfn.XLOOKUP($A141,ACT[[№]:[№]],ACT[Delivery terms / Условия поставки],"",0,1)</f>
        <v/>
      </c>
      <c r="K141" s="23" t="str" cm="1">
        <f t="array" ref="K141">_xlfn.XLOOKUP($A141,ACT[[№]:[№]],ACT[Container total CBM],"",0,1)</f>
        <v/>
      </c>
      <c r="L141" s="24" t="str" cm="1">
        <f t="array" ref="L141">_xlfn.XLOOKUP($A141,ACT[[№]:[№]],ACT[FTL inland freight cost per Invoice Appendix/ Стоимость внутренней наземной перевозки за инвойс Приложение                     KRW],"",0,1)</f>
        <v/>
      </c>
      <c r="M141" s="24" t="str" cm="1">
        <f t="array" ref="M141">_xlfn.XLOOKUP($A141,ACT[[№]:[№]],ACT[Consolidation Work, Loading, Unloading/ Работы по консолидации, Погрузка, Разгрузка (Rate/Тариф - 8000 per CBM)                   KRW],"",0,1)</f>
        <v/>
      </c>
      <c r="N141" s="24" t="str" cm="1">
        <f t="array" ref="N141">_xlfn.XLOOKUP($A141,ACT[[№]:[№]],ACT[Shoring, Banding, Sealing, Handling/ Крепление, Перевязка, Опечатование, Обработка
KRW],"",0,1)</f>
        <v/>
      </c>
      <c r="O141" s="24" t="str" cm="1">
        <f t="array" ref="O141">_xlfn.XLOOKUP($A141,ACT[[№]:[№]],ACT[Documents Work/ Сбор за подготовку документов
KRW],"",0,1)</f>
        <v/>
      </c>
      <c r="P141" s="24" t="str" cm="1">
        <f t="array" ref="P141">_xlfn.XLOOKUP($A141,ACT[[№]:[№]],ACT[THC/ Терминальная обработка
KRW],"",0,1)</f>
        <v/>
      </c>
      <c r="Q141" s="24" t="str" cm="1">
        <f t="array" ref="Q141">_xlfn.XLOOKUP($A141,ACT[[№]:[№]],ACT[Wharfage/ Портовая пошлина
KRW],"",0,1)</f>
        <v/>
      </c>
      <c r="R141" s="24" t="str" cm="1">
        <f t="array" ref="R141">_xlfn.XLOOKUP($A141,ACT[[№]:[№]],ACT[TRUCKING CHARGE],"",0,1)</f>
        <v/>
      </c>
      <c r="S141" s="24" t="str" cm="1">
        <f t="array" ref="S141">_xlfn.XLOOKUP($A141,ACT[[№]:[№]],ACT[FCL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1" s="24" t="str" cm="1">
        <f t="array" ref="T141">_xlfn.XLOOKUP($A141,ACT[[№]:[№]],ACT[Special Wooden Shoring / Специальное деревянное крепление],"",0,1)</f>
        <v/>
      </c>
      <c r="U141" s="9"/>
      <c r="V141" s="24" t="str" cm="1">
        <f t="array" ref="V141">_xlfn.XLOOKUP($A141,ACT[[№]:[№]],ACT[Total amount/ Общая стоимость KRW (10+11+12+13+14+15+16)],"",0,1)</f>
        <v/>
      </c>
      <c r="W141" s="24" t="str" cm="1">
        <f t="array" ref="W141">_xlfn.XLOOKUP($A141,ACT[[№]:[№]],ACT[Total amount/ Общая стоимость (17*exchange rate/ обменный курс)
 USD],"",0,1)</f>
        <v/>
      </c>
      <c r="X141" s="9" t="e" cm="1">
        <f t="array" ref="X141">IF(#REF!="",_xlfn.XLOOKUP("МАКС",#REF!,#REF!,,0,1),#REF!)</f>
        <v>#REF!</v>
      </c>
      <c r="Y141" s="12" t="e">
        <f>VLOOKUP(Шаблон_Формулы[[#This Row],[24]],#REF!,2,0)</f>
        <v>#REF!</v>
      </c>
      <c r="Z141" s="26" t="str">
        <f>IFERROR(Шаблон_Формулы[[#This Row],[23]]*Шаблон_Формулы[[#This Row],[25]],"")</f>
        <v/>
      </c>
      <c r="AA141" s="13" t="e" cm="1">
        <f t="array" ref="AA141">#REF!</f>
        <v>#REF!</v>
      </c>
    </row>
    <row r="142" spans="1:27" s="8" customFormat="1" ht="12">
      <c r="A142" s="11">
        <v>138</v>
      </c>
      <c r="B142" s="8" t="str" cm="1">
        <f t="array" ref="B142">_xlfn.XLOOKUP($A142,ACT[[№]:[№]],ACT[Container No/
№ Контейнера],"",0,1)</f>
        <v/>
      </c>
      <c r="C142" s="8" t="str">
        <f t="shared" si="2"/>
        <v>UzAutoKorea</v>
      </c>
      <c r="D142" s="11" t="str" cm="1">
        <f t="array" ref="D142">_xlfn.XLOOKUP($A142,ACT[[№]:[№]],ACT[Container Type/ 
Тип контейнера],"",0,1)</f>
        <v/>
      </c>
      <c r="E142" s="21" t="str" cm="1">
        <f t="array" ref="E142">_xlfn.XLOOKUP($A142,ACT[[№]:[№]],ACT[Date of Dispatch/ 
Дата отгрузки],"",0,1)</f>
        <v/>
      </c>
      <c r="F142" s="22" t="str" cm="1">
        <f t="array" ref="F142">_xlfn.XLOOKUP($A142,ACT[[№]:[№]],ACT[Supplier/ Поставщик],"",0,1)</f>
        <v/>
      </c>
      <c r="G142" s="22" t="str" cm="1">
        <f t="array" ref="G142">_xlfn.XLOOKUP($A142,ACT[[№]:[№]],ACT[Supplier Invoice No/                          № Инвойса Поставщика],"",0,1)</f>
        <v/>
      </c>
      <c r="H142" s="23" t="str" cm="1">
        <f t="array" ref="H142">_xlfn.XLOOKUP($A142,ACT[[№]:[№]],ACT[CBM],"",0,1)</f>
        <v/>
      </c>
      <c r="I142" s="23" t="str" cm="1">
        <f t="array" ref="I142">_xlfn.XLOOKUP($A142,ACT[[№]:[№]],ACT[Gross weight, kg/ Вес брутто, кг],"",0,1)</f>
        <v/>
      </c>
      <c r="J142" s="23" t="str" cm="1">
        <f t="array" ref="J142">_xlfn.XLOOKUP($A142,ACT[[№]:[№]],ACT[Delivery terms / Условия поставки],"",0,1)</f>
        <v/>
      </c>
      <c r="K142" s="23" t="str" cm="1">
        <f t="array" ref="K142">_xlfn.XLOOKUP($A142,ACT[[№]:[№]],ACT[Container total CBM],"",0,1)</f>
        <v/>
      </c>
      <c r="L142" s="24" t="str" cm="1">
        <f t="array" ref="L142">_xlfn.XLOOKUP($A142,ACT[[№]:[№]],ACT[FTL inland freight cost per Invoice Appendix/ Стоимость внутренней наземной перевозки за инвойс Приложение                     KRW],"",0,1)</f>
        <v/>
      </c>
      <c r="M142" s="24" t="str" cm="1">
        <f t="array" ref="M142">_xlfn.XLOOKUP($A142,ACT[[№]:[№]],ACT[Consolidation Work, Loading, Unloading/ Работы по консолидации, Погрузка, Разгрузка (Rate/Тариф - 8000 per CBM)                   KRW],"",0,1)</f>
        <v/>
      </c>
      <c r="N142" s="24" t="str" cm="1">
        <f t="array" ref="N142">_xlfn.XLOOKUP($A142,ACT[[№]:[№]],ACT[Shoring, Banding, Sealing, Handling/ Крепление, Перевязка, Опечатование, Обработка
KRW],"",0,1)</f>
        <v/>
      </c>
      <c r="O142" s="24" t="str" cm="1">
        <f t="array" ref="O142">_xlfn.XLOOKUP($A142,ACT[[№]:[№]],ACT[Documents Work/ Сбор за подготовку документов
KRW],"",0,1)</f>
        <v/>
      </c>
      <c r="P142" s="24" t="str" cm="1">
        <f t="array" ref="P142">_xlfn.XLOOKUP($A142,ACT[[№]:[№]],ACT[THC/ Терминальная обработка
KRW],"",0,1)</f>
        <v/>
      </c>
      <c r="Q142" s="24" t="str" cm="1">
        <f t="array" ref="Q142">_xlfn.XLOOKUP($A142,ACT[[№]:[№]],ACT[Wharfage/ Портовая пошлина
KRW],"",0,1)</f>
        <v/>
      </c>
      <c r="R142" s="24" t="str" cm="1">
        <f t="array" ref="R142">_xlfn.XLOOKUP($A142,ACT[[№]:[№]],ACT[TRUCKING CHARGE],"",0,1)</f>
        <v/>
      </c>
      <c r="S142" s="24" t="str" cm="1">
        <f t="array" ref="S142">_xlfn.XLOOKUP($A142,ACT[[№]:[№]],ACT[FCL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2" s="24" t="str" cm="1">
        <f t="array" ref="T142">_xlfn.XLOOKUP($A142,ACT[[№]:[№]],ACT[Special Wooden Shoring / Специальное деревянное крепление],"",0,1)</f>
        <v/>
      </c>
      <c r="U142" s="9"/>
      <c r="V142" s="24" t="str" cm="1">
        <f t="array" ref="V142">_xlfn.XLOOKUP($A142,ACT[[№]:[№]],ACT[Total amount/ Общая стоимость KRW (10+11+12+13+14+15+16)],"",0,1)</f>
        <v/>
      </c>
      <c r="W142" s="24" t="str" cm="1">
        <f t="array" ref="W142">_xlfn.XLOOKUP($A142,ACT[[№]:[№]],ACT[Total amount/ Общая стоимость (17*exchange rate/ обменный курс)
 USD],"",0,1)</f>
        <v/>
      </c>
      <c r="X142" s="9" t="e" cm="1">
        <f t="array" ref="X142">IF(#REF!="",_xlfn.XLOOKUP("МАКС",#REF!,#REF!,,0,1),#REF!)</f>
        <v>#REF!</v>
      </c>
      <c r="Y142" s="12" t="e">
        <f>VLOOKUP(Шаблон_Формулы[[#This Row],[24]],#REF!,2,0)</f>
        <v>#REF!</v>
      </c>
      <c r="Z142" s="26" t="str">
        <f>IFERROR(Шаблон_Формулы[[#This Row],[23]]*Шаблон_Формулы[[#This Row],[25]],"")</f>
        <v/>
      </c>
      <c r="AA142" s="13" t="e" cm="1">
        <f t="array" ref="AA142">#REF!</f>
        <v>#REF!</v>
      </c>
    </row>
    <row r="143" spans="1:27" s="8" customFormat="1" ht="12">
      <c r="A143" s="11">
        <v>139</v>
      </c>
      <c r="B143" s="8" t="str" cm="1">
        <f t="array" ref="B143">_xlfn.XLOOKUP($A143,ACT[[№]:[№]],ACT[Container No/
№ Контейнера],"",0,1)</f>
        <v/>
      </c>
      <c r="C143" s="8" t="str">
        <f t="shared" si="2"/>
        <v>UzAutoKorea</v>
      </c>
      <c r="D143" s="11" t="str" cm="1">
        <f t="array" ref="D143">_xlfn.XLOOKUP($A143,ACT[[№]:[№]],ACT[Container Type/ 
Тип контейнера],"",0,1)</f>
        <v/>
      </c>
      <c r="E143" s="21" t="str" cm="1">
        <f t="array" ref="E143">_xlfn.XLOOKUP($A143,ACT[[№]:[№]],ACT[Date of Dispatch/ 
Дата отгрузки],"",0,1)</f>
        <v/>
      </c>
      <c r="F143" s="22" t="str" cm="1">
        <f t="array" ref="F143">_xlfn.XLOOKUP($A143,ACT[[№]:[№]],ACT[Supplier/ Поставщик],"",0,1)</f>
        <v/>
      </c>
      <c r="G143" s="22" t="str" cm="1">
        <f t="array" ref="G143">_xlfn.XLOOKUP($A143,ACT[[№]:[№]],ACT[Supplier Invoice No/                          № Инвойса Поставщика],"",0,1)</f>
        <v/>
      </c>
      <c r="H143" s="23" t="str" cm="1">
        <f t="array" ref="H143">_xlfn.XLOOKUP($A143,ACT[[№]:[№]],ACT[CBM],"",0,1)</f>
        <v/>
      </c>
      <c r="I143" s="23" t="str" cm="1">
        <f t="array" ref="I143">_xlfn.XLOOKUP($A143,ACT[[№]:[№]],ACT[Gross weight, kg/ Вес брутто, кг],"",0,1)</f>
        <v/>
      </c>
      <c r="J143" s="23" t="str" cm="1">
        <f t="array" ref="J143">_xlfn.XLOOKUP($A143,ACT[[№]:[№]],ACT[Delivery terms / Условия поставки],"",0,1)</f>
        <v/>
      </c>
      <c r="K143" s="23" t="str" cm="1">
        <f t="array" ref="K143">_xlfn.XLOOKUP($A143,ACT[[№]:[№]],ACT[Container total CBM],"",0,1)</f>
        <v/>
      </c>
      <c r="L143" s="24" t="str" cm="1">
        <f t="array" ref="L143">_xlfn.XLOOKUP($A143,ACT[[№]:[№]],ACT[FTL inland freight cost per Invoice Appendix/ Стоимость внутренней наземной перевозки за инвойс Приложение                     KRW],"",0,1)</f>
        <v/>
      </c>
      <c r="M143" s="24" t="str" cm="1">
        <f t="array" ref="M143">_xlfn.XLOOKUP($A143,ACT[[№]:[№]],ACT[Consolidation Work, Loading, Unloading/ Работы по консолидации, Погрузка, Разгрузка (Rate/Тариф - 8000 per CBM)                   KRW],"",0,1)</f>
        <v/>
      </c>
      <c r="N143" s="24" t="str" cm="1">
        <f t="array" ref="N143">_xlfn.XLOOKUP($A143,ACT[[№]:[№]],ACT[Shoring, Banding, Sealing, Handling/ Крепление, Перевязка, Опечатование, Обработка
KRW],"",0,1)</f>
        <v/>
      </c>
      <c r="O143" s="24" t="str" cm="1">
        <f t="array" ref="O143">_xlfn.XLOOKUP($A143,ACT[[№]:[№]],ACT[Documents Work/ Сбор за подготовку документов
KRW],"",0,1)</f>
        <v/>
      </c>
      <c r="P143" s="24" t="str" cm="1">
        <f t="array" ref="P143">_xlfn.XLOOKUP($A143,ACT[[№]:[№]],ACT[THC/ Терминальная обработка
KRW],"",0,1)</f>
        <v/>
      </c>
      <c r="Q143" s="24" t="str" cm="1">
        <f t="array" ref="Q143">_xlfn.XLOOKUP($A143,ACT[[№]:[№]],ACT[Wharfage/ Портовая пошлина
KRW],"",0,1)</f>
        <v/>
      </c>
      <c r="R143" s="24" t="str" cm="1">
        <f t="array" ref="R143">_xlfn.XLOOKUP($A143,ACT[[№]:[№]],ACT[TRUCKING CHARGE],"",0,1)</f>
        <v/>
      </c>
      <c r="S143" s="24" t="str" cm="1">
        <f t="array" ref="S143">_xlfn.XLOOKUP($A143,ACT[[№]:[№]],ACT[FCL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3" s="24" t="str" cm="1">
        <f t="array" ref="T143">_xlfn.XLOOKUP($A143,ACT[[№]:[№]],ACT[Special Wooden Shoring / Специальное деревянное крепление],"",0,1)</f>
        <v/>
      </c>
      <c r="U143" s="9"/>
      <c r="V143" s="24" t="str" cm="1">
        <f t="array" ref="V143">_xlfn.XLOOKUP($A143,ACT[[№]:[№]],ACT[Total amount/ Общая стоимость KRW (10+11+12+13+14+15+16)],"",0,1)</f>
        <v/>
      </c>
      <c r="W143" s="24" t="str" cm="1">
        <f t="array" ref="W143">_xlfn.XLOOKUP($A143,ACT[[№]:[№]],ACT[Total amount/ Общая стоимость (17*exchange rate/ обменный курс)
 USD],"",0,1)</f>
        <v/>
      </c>
      <c r="X143" s="9" t="e" cm="1">
        <f t="array" ref="X143">IF(#REF!="",_xlfn.XLOOKUP("МАКС",#REF!,#REF!,,0,1),#REF!)</f>
        <v>#REF!</v>
      </c>
      <c r="Y143" s="12" t="e">
        <f>VLOOKUP(Шаблон_Формулы[[#This Row],[24]],#REF!,2,0)</f>
        <v>#REF!</v>
      </c>
      <c r="Z143" s="26" t="str">
        <f>IFERROR(Шаблон_Формулы[[#This Row],[23]]*Шаблон_Формулы[[#This Row],[25]],"")</f>
        <v/>
      </c>
      <c r="AA143" s="13" t="e" cm="1">
        <f t="array" ref="AA143">#REF!</f>
        <v>#REF!</v>
      </c>
    </row>
    <row r="144" spans="1:27" s="8" customFormat="1" ht="12">
      <c r="A144" s="11">
        <v>140</v>
      </c>
      <c r="B144" s="8" t="str" cm="1">
        <f t="array" ref="B144">_xlfn.XLOOKUP($A144,ACT[[№]:[№]],ACT[Container No/
№ Контейнера],"",0,1)</f>
        <v/>
      </c>
      <c r="C144" s="8" t="str">
        <f t="shared" si="2"/>
        <v>UzAutoKorea</v>
      </c>
      <c r="D144" s="11" t="str" cm="1">
        <f t="array" ref="D144">_xlfn.XLOOKUP($A144,ACT[[№]:[№]],ACT[Container Type/ 
Тип контейнера],"",0,1)</f>
        <v/>
      </c>
      <c r="E144" s="21" t="str" cm="1">
        <f t="array" ref="E144">_xlfn.XLOOKUP($A144,ACT[[№]:[№]],ACT[Date of Dispatch/ 
Дата отгрузки],"",0,1)</f>
        <v/>
      </c>
      <c r="F144" s="22" t="str" cm="1">
        <f t="array" ref="F144">_xlfn.XLOOKUP($A144,ACT[[№]:[№]],ACT[Supplier/ Поставщик],"",0,1)</f>
        <v/>
      </c>
      <c r="G144" s="22" t="str" cm="1">
        <f t="array" ref="G144">_xlfn.XLOOKUP($A144,ACT[[№]:[№]],ACT[Supplier Invoice No/                          № Инвойса Поставщика],"",0,1)</f>
        <v/>
      </c>
      <c r="H144" s="23" t="str" cm="1">
        <f t="array" ref="H144">_xlfn.XLOOKUP($A144,ACT[[№]:[№]],ACT[CBM],"",0,1)</f>
        <v/>
      </c>
      <c r="I144" s="23" t="str" cm="1">
        <f t="array" ref="I144">_xlfn.XLOOKUP($A144,ACT[[№]:[№]],ACT[Gross weight, kg/ Вес брутто, кг],"",0,1)</f>
        <v/>
      </c>
      <c r="J144" s="23" t="str" cm="1">
        <f t="array" ref="J144">_xlfn.XLOOKUP($A144,ACT[[№]:[№]],ACT[Delivery terms / Условия поставки],"",0,1)</f>
        <v/>
      </c>
      <c r="K144" s="23" t="str" cm="1">
        <f t="array" ref="K144">_xlfn.XLOOKUP($A144,ACT[[№]:[№]],ACT[Container total CBM],"",0,1)</f>
        <v/>
      </c>
      <c r="L144" s="24" t="str" cm="1">
        <f t="array" ref="L144">_xlfn.XLOOKUP($A144,ACT[[№]:[№]],ACT[FTL inland freight cost per Invoice Appendix/ Стоимость внутренней наземной перевозки за инвойс Приложение                     KRW],"",0,1)</f>
        <v/>
      </c>
      <c r="M144" s="24" t="str" cm="1">
        <f t="array" ref="M144">_xlfn.XLOOKUP($A144,ACT[[№]:[№]],ACT[Consolidation Work, Loading, Unloading/ Работы по консолидации, Погрузка, Разгрузка (Rate/Тариф - 8000 per CBM)                   KRW],"",0,1)</f>
        <v/>
      </c>
      <c r="N144" s="24" t="str" cm="1">
        <f t="array" ref="N144">_xlfn.XLOOKUP($A144,ACT[[№]:[№]],ACT[Shoring, Banding, Sealing, Handling/ Крепление, Перевязка, Опечатование, Обработка
KRW],"",0,1)</f>
        <v/>
      </c>
      <c r="O144" s="24" t="str" cm="1">
        <f t="array" ref="O144">_xlfn.XLOOKUP($A144,ACT[[№]:[№]],ACT[Documents Work/ Сбор за подготовку документов
KRW],"",0,1)</f>
        <v/>
      </c>
      <c r="P144" s="24" t="str" cm="1">
        <f t="array" ref="P144">_xlfn.XLOOKUP($A144,ACT[[№]:[№]],ACT[THC/ Терминальная обработка
KRW],"",0,1)</f>
        <v/>
      </c>
      <c r="Q144" s="24" t="str" cm="1">
        <f t="array" ref="Q144">_xlfn.XLOOKUP($A144,ACT[[№]:[№]],ACT[Wharfage/ Портовая пошлина
KRW],"",0,1)</f>
        <v/>
      </c>
      <c r="R144" s="24" t="str" cm="1">
        <f t="array" ref="R144">_xlfn.XLOOKUP($A144,ACT[[№]:[№]],ACT[TRUCKING CHARGE],"",0,1)</f>
        <v/>
      </c>
      <c r="S144" s="24" t="str" cm="1">
        <f t="array" ref="S144">_xlfn.XLOOKUP($A144,ACT[[№]:[№]],ACT[FCL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4" s="24" t="str" cm="1">
        <f t="array" ref="T144">_xlfn.XLOOKUP($A144,ACT[[№]:[№]],ACT[Special Wooden Shoring / Специальное деревянное крепление],"",0,1)</f>
        <v/>
      </c>
      <c r="U144" s="9"/>
      <c r="V144" s="24" t="str" cm="1">
        <f t="array" ref="V144">_xlfn.XLOOKUP($A144,ACT[[№]:[№]],ACT[Total amount/ Общая стоимость KRW (10+11+12+13+14+15+16)],"",0,1)</f>
        <v/>
      </c>
      <c r="W144" s="24" t="str" cm="1">
        <f t="array" ref="W144">_xlfn.XLOOKUP($A144,ACT[[№]:[№]],ACT[Total amount/ Общая стоимость (17*exchange rate/ обменный курс)
 USD],"",0,1)</f>
        <v/>
      </c>
      <c r="X144" s="9" t="e" cm="1">
        <f t="array" ref="X144">IF(#REF!="",_xlfn.XLOOKUP("МАКС",#REF!,#REF!,,0,1),#REF!)</f>
        <v>#REF!</v>
      </c>
      <c r="Y144" s="12" t="e">
        <f>VLOOKUP(Шаблон_Формулы[[#This Row],[24]],#REF!,2,0)</f>
        <v>#REF!</v>
      </c>
      <c r="Z144" s="26" t="str">
        <f>IFERROR(Шаблон_Формулы[[#This Row],[23]]*Шаблон_Формулы[[#This Row],[25]],"")</f>
        <v/>
      </c>
      <c r="AA144" s="13" t="e" cm="1">
        <f t="array" ref="AA144">#REF!</f>
        <v>#REF!</v>
      </c>
    </row>
    <row r="145" spans="1:27" s="8" customFormat="1" ht="12">
      <c r="A145" s="11">
        <v>141</v>
      </c>
      <c r="B145" s="8" t="str" cm="1">
        <f t="array" ref="B145">_xlfn.XLOOKUP($A145,ACT[[№]:[№]],ACT[Container No/
№ Контейнера],"",0,1)</f>
        <v/>
      </c>
      <c r="C145" s="8" t="str">
        <f t="shared" si="2"/>
        <v>UzAutoKorea</v>
      </c>
      <c r="D145" s="11" t="str" cm="1">
        <f t="array" ref="D145">_xlfn.XLOOKUP($A145,ACT[[№]:[№]],ACT[Container Type/ 
Тип контейнера],"",0,1)</f>
        <v/>
      </c>
      <c r="E145" s="21" t="str" cm="1">
        <f t="array" ref="E145">_xlfn.XLOOKUP($A145,ACT[[№]:[№]],ACT[Date of Dispatch/ 
Дата отгрузки],"",0,1)</f>
        <v/>
      </c>
      <c r="F145" s="22" t="str" cm="1">
        <f t="array" ref="F145">_xlfn.XLOOKUP($A145,ACT[[№]:[№]],ACT[Supplier/ Поставщик],"",0,1)</f>
        <v/>
      </c>
      <c r="G145" s="22" t="str" cm="1">
        <f t="array" ref="G145">_xlfn.XLOOKUP($A145,ACT[[№]:[№]],ACT[Supplier Invoice No/                          № Инвойса Поставщика],"",0,1)</f>
        <v/>
      </c>
      <c r="H145" s="23" t="str" cm="1">
        <f t="array" ref="H145">_xlfn.XLOOKUP($A145,ACT[[№]:[№]],ACT[CBM],"",0,1)</f>
        <v/>
      </c>
      <c r="I145" s="23" t="str" cm="1">
        <f t="array" ref="I145">_xlfn.XLOOKUP($A145,ACT[[№]:[№]],ACT[Gross weight, kg/ Вес брутто, кг],"",0,1)</f>
        <v/>
      </c>
      <c r="J145" s="23" t="str" cm="1">
        <f t="array" ref="J145">_xlfn.XLOOKUP($A145,ACT[[№]:[№]],ACT[Delivery terms / Условия поставки],"",0,1)</f>
        <v/>
      </c>
      <c r="K145" s="23" t="str" cm="1">
        <f t="array" ref="K145">_xlfn.XLOOKUP($A145,ACT[[№]:[№]],ACT[Container total CBM],"",0,1)</f>
        <v/>
      </c>
      <c r="L145" s="24" t="str" cm="1">
        <f t="array" ref="L145">_xlfn.XLOOKUP($A145,ACT[[№]:[№]],ACT[FTL inland freight cost per Invoice Appendix/ Стоимость внутренней наземной перевозки за инвойс Приложение                     KRW],"",0,1)</f>
        <v/>
      </c>
      <c r="M145" s="24" t="str" cm="1">
        <f t="array" ref="M145">_xlfn.XLOOKUP($A145,ACT[[№]:[№]],ACT[Consolidation Work, Loading, Unloading/ Работы по консолидации, Погрузка, Разгрузка (Rate/Тариф - 8000 per CBM)                   KRW],"",0,1)</f>
        <v/>
      </c>
      <c r="N145" s="24" t="str" cm="1">
        <f t="array" ref="N145">_xlfn.XLOOKUP($A145,ACT[[№]:[№]],ACT[Shoring, Banding, Sealing, Handling/ Крепление, Перевязка, Опечатование, Обработка
KRW],"",0,1)</f>
        <v/>
      </c>
      <c r="O145" s="24" t="str" cm="1">
        <f t="array" ref="O145">_xlfn.XLOOKUP($A145,ACT[[№]:[№]],ACT[Documents Work/ Сбор за подготовку документов
KRW],"",0,1)</f>
        <v/>
      </c>
      <c r="P145" s="24" t="str" cm="1">
        <f t="array" ref="P145">_xlfn.XLOOKUP($A145,ACT[[№]:[№]],ACT[THC/ Терминальная обработка
KRW],"",0,1)</f>
        <v/>
      </c>
      <c r="Q145" s="24" t="str" cm="1">
        <f t="array" ref="Q145">_xlfn.XLOOKUP($A145,ACT[[№]:[№]],ACT[Wharfage/ Портовая пошлина
KRW],"",0,1)</f>
        <v/>
      </c>
      <c r="R145" s="24" t="str" cm="1">
        <f t="array" ref="R145">_xlfn.XLOOKUP($A145,ACT[[№]:[№]],ACT[TRUCKING CHARGE],"",0,1)</f>
        <v/>
      </c>
      <c r="S145" s="24" t="str" cm="1">
        <f t="array" ref="S145">_xlfn.XLOOKUP($A145,ACT[[№]:[№]],ACT[FCL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5" s="24" t="str" cm="1">
        <f t="array" ref="T145">_xlfn.XLOOKUP($A145,ACT[[№]:[№]],ACT[Special Wooden Shoring / Специальное деревянное крепление],"",0,1)</f>
        <v/>
      </c>
      <c r="U145" s="9"/>
      <c r="V145" s="24" t="str" cm="1">
        <f t="array" ref="V145">_xlfn.XLOOKUP($A145,ACT[[№]:[№]],ACT[Total amount/ Общая стоимость KRW (10+11+12+13+14+15+16)],"",0,1)</f>
        <v/>
      </c>
      <c r="W145" s="24" t="str" cm="1">
        <f t="array" ref="W145">_xlfn.XLOOKUP($A145,ACT[[№]:[№]],ACT[Total amount/ Общая стоимость (17*exchange rate/ обменный курс)
 USD],"",0,1)</f>
        <v/>
      </c>
      <c r="X145" s="9" t="e" cm="1">
        <f t="array" ref="X145">IF(#REF!="",_xlfn.XLOOKUP("МАКС",#REF!,#REF!,,0,1),#REF!)</f>
        <v>#REF!</v>
      </c>
      <c r="Y145" s="12" t="e">
        <f>VLOOKUP(Шаблон_Формулы[[#This Row],[24]],#REF!,2,0)</f>
        <v>#REF!</v>
      </c>
      <c r="Z145" s="26" t="str">
        <f>IFERROR(Шаблон_Формулы[[#This Row],[23]]*Шаблон_Формулы[[#This Row],[25]],"")</f>
        <v/>
      </c>
      <c r="AA145" s="13" t="e" cm="1">
        <f t="array" ref="AA145">#REF!</f>
        <v>#REF!</v>
      </c>
    </row>
    <row r="146" spans="1:27" s="8" customFormat="1" ht="12">
      <c r="A146" s="11">
        <v>142</v>
      </c>
      <c r="B146" s="8" t="str" cm="1">
        <f t="array" ref="B146">_xlfn.XLOOKUP($A146,ACT[[№]:[№]],ACT[Container No/
№ Контейнера],"",0,1)</f>
        <v/>
      </c>
      <c r="C146" s="8" t="str">
        <f t="shared" si="2"/>
        <v>UzAutoKorea</v>
      </c>
      <c r="D146" s="11" t="str" cm="1">
        <f t="array" ref="D146">_xlfn.XLOOKUP($A146,ACT[[№]:[№]],ACT[Container Type/ 
Тип контейнера],"",0,1)</f>
        <v/>
      </c>
      <c r="E146" s="21" t="str" cm="1">
        <f t="array" ref="E146">_xlfn.XLOOKUP($A146,ACT[[№]:[№]],ACT[Date of Dispatch/ 
Дата отгрузки],"",0,1)</f>
        <v/>
      </c>
      <c r="F146" s="22" t="str" cm="1">
        <f t="array" ref="F146">_xlfn.XLOOKUP($A146,ACT[[№]:[№]],ACT[Supplier/ Поставщик],"",0,1)</f>
        <v/>
      </c>
      <c r="G146" s="22" t="str" cm="1">
        <f t="array" ref="G146">_xlfn.XLOOKUP($A146,ACT[[№]:[№]],ACT[Supplier Invoice No/                          № Инвойса Поставщика],"",0,1)</f>
        <v/>
      </c>
      <c r="H146" s="23" t="str" cm="1">
        <f t="array" ref="H146">_xlfn.XLOOKUP($A146,ACT[[№]:[№]],ACT[CBM],"",0,1)</f>
        <v/>
      </c>
      <c r="I146" s="23" t="str" cm="1">
        <f t="array" ref="I146">_xlfn.XLOOKUP($A146,ACT[[№]:[№]],ACT[Gross weight, kg/ Вес брутто, кг],"",0,1)</f>
        <v/>
      </c>
      <c r="J146" s="23" t="str" cm="1">
        <f t="array" ref="J146">_xlfn.XLOOKUP($A146,ACT[[№]:[№]],ACT[Delivery terms / Условия поставки],"",0,1)</f>
        <v/>
      </c>
      <c r="K146" s="23" t="str" cm="1">
        <f t="array" ref="K146">_xlfn.XLOOKUP($A146,ACT[[№]:[№]],ACT[Container total CBM],"",0,1)</f>
        <v/>
      </c>
      <c r="L146" s="24" t="str" cm="1">
        <f t="array" ref="L146">_xlfn.XLOOKUP($A146,ACT[[№]:[№]],ACT[FTL inland freight cost per Invoice Appendix/ Стоимость внутренней наземной перевозки за инвойс Приложение                     KRW],"",0,1)</f>
        <v/>
      </c>
      <c r="M146" s="24" t="str" cm="1">
        <f t="array" ref="M146">_xlfn.XLOOKUP($A146,ACT[[№]:[№]],ACT[Consolidation Work, Loading, Unloading/ Работы по консолидации, Погрузка, Разгрузка (Rate/Тариф - 8000 per CBM)                   KRW],"",0,1)</f>
        <v/>
      </c>
      <c r="N146" s="24" t="str" cm="1">
        <f t="array" ref="N146">_xlfn.XLOOKUP($A146,ACT[[№]:[№]],ACT[Shoring, Banding, Sealing, Handling/ Крепление, Перевязка, Опечатование, Обработка
KRW],"",0,1)</f>
        <v/>
      </c>
      <c r="O146" s="24" t="str" cm="1">
        <f t="array" ref="O146">_xlfn.XLOOKUP($A146,ACT[[№]:[№]],ACT[Documents Work/ Сбор за подготовку документов
KRW],"",0,1)</f>
        <v/>
      </c>
      <c r="P146" s="24" t="str" cm="1">
        <f t="array" ref="P146">_xlfn.XLOOKUP($A146,ACT[[№]:[№]],ACT[THC/ Терминальная обработка
KRW],"",0,1)</f>
        <v/>
      </c>
      <c r="Q146" s="24" t="str" cm="1">
        <f t="array" ref="Q146">_xlfn.XLOOKUP($A146,ACT[[№]:[№]],ACT[Wharfage/ Портовая пошлина
KRW],"",0,1)</f>
        <v/>
      </c>
      <c r="R146" s="24" t="str" cm="1">
        <f t="array" ref="R146">_xlfn.XLOOKUP($A146,ACT[[№]:[№]],ACT[TRUCKING CHARGE],"",0,1)</f>
        <v/>
      </c>
      <c r="S146" s="24" t="str" cm="1">
        <f t="array" ref="S146">_xlfn.XLOOKUP($A146,ACT[[№]:[№]],ACT[FCL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6" s="24" t="str" cm="1">
        <f t="array" ref="T146">_xlfn.XLOOKUP($A146,ACT[[№]:[№]],ACT[Special Wooden Shoring / Специальное деревянное крепление],"",0,1)</f>
        <v/>
      </c>
      <c r="U146" s="9"/>
      <c r="V146" s="24" t="str" cm="1">
        <f t="array" ref="V146">_xlfn.XLOOKUP($A146,ACT[[№]:[№]],ACT[Total amount/ Общая стоимость KRW (10+11+12+13+14+15+16)],"",0,1)</f>
        <v/>
      </c>
      <c r="W146" s="24" t="str" cm="1">
        <f t="array" ref="W146">_xlfn.XLOOKUP($A146,ACT[[№]:[№]],ACT[Total amount/ Общая стоимость (17*exchange rate/ обменный курс)
 USD],"",0,1)</f>
        <v/>
      </c>
      <c r="X146" s="9" t="e" cm="1">
        <f t="array" ref="X146">IF(#REF!="",_xlfn.XLOOKUP("МАКС",#REF!,#REF!,,0,1),#REF!)</f>
        <v>#REF!</v>
      </c>
      <c r="Y146" s="12" t="e">
        <f>VLOOKUP(Шаблон_Формулы[[#This Row],[24]],#REF!,2,0)</f>
        <v>#REF!</v>
      </c>
      <c r="Z146" s="26" t="str">
        <f>IFERROR(Шаблон_Формулы[[#This Row],[23]]*Шаблон_Формулы[[#This Row],[25]],"")</f>
        <v/>
      </c>
      <c r="AA146" s="13" t="e" cm="1">
        <f t="array" ref="AA146">#REF!</f>
        <v>#REF!</v>
      </c>
    </row>
    <row r="147" spans="1:27" s="8" customFormat="1" ht="12">
      <c r="A147" s="11">
        <v>143</v>
      </c>
      <c r="B147" s="8" t="str" cm="1">
        <f t="array" ref="B147">_xlfn.XLOOKUP($A147,ACT[[№]:[№]],ACT[Container No/
№ Контейнера],"",0,1)</f>
        <v/>
      </c>
      <c r="C147" s="8" t="str">
        <f t="shared" si="2"/>
        <v>UzAutoKorea</v>
      </c>
      <c r="D147" s="11" t="str" cm="1">
        <f t="array" ref="D147">_xlfn.XLOOKUP($A147,ACT[[№]:[№]],ACT[Container Type/ 
Тип контейнера],"",0,1)</f>
        <v/>
      </c>
      <c r="E147" s="21" t="str" cm="1">
        <f t="array" ref="E147">_xlfn.XLOOKUP($A147,ACT[[№]:[№]],ACT[Date of Dispatch/ 
Дата отгрузки],"",0,1)</f>
        <v/>
      </c>
      <c r="F147" s="22" t="str" cm="1">
        <f t="array" ref="F147">_xlfn.XLOOKUP($A147,ACT[[№]:[№]],ACT[Supplier/ Поставщик],"",0,1)</f>
        <v/>
      </c>
      <c r="G147" s="22" t="str" cm="1">
        <f t="array" ref="G147">_xlfn.XLOOKUP($A147,ACT[[№]:[№]],ACT[Supplier Invoice No/                          № Инвойса Поставщика],"",0,1)</f>
        <v/>
      </c>
      <c r="H147" s="23" t="str" cm="1">
        <f t="array" ref="H147">_xlfn.XLOOKUP($A147,ACT[[№]:[№]],ACT[CBM],"",0,1)</f>
        <v/>
      </c>
      <c r="I147" s="23" t="str" cm="1">
        <f t="array" ref="I147">_xlfn.XLOOKUP($A147,ACT[[№]:[№]],ACT[Gross weight, kg/ Вес брутто, кг],"",0,1)</f>
        <v/>
      </c>
      <c r="J147" s="23" t="str" cm="1">
        <f t="array" ref="J147">_xlfn.XLOOKUP($A147,ACT[[№]:[№]],ACT[Delivery terms / Условия поставки],"",0,1)</f>
        <v/>
      </c>
      <c r="K147" s="23" t="str" cm="1">
        <f t="array" ref="K147">_xlfn.XLOOKUP($A147,ACT[[№]:[№]],ACT[Container total CBM],"",0,1)</f>
        <v/>
      </c>
      <c r="L147" s="24" t="str" cm="1">
        <f t="array" ref="L147">_xlfn.XLOOKUP($A147,ACT[[№]:[№]],ACT[FTL inland freight cost per Invoice Appendix/ Стоимость внутренней наземной перевозки за инвойс Приложение                     KRW],"",0,1)</f>
        <v/>
      </c>
      <c r="M147" s="24" t="str" cm="1">
        <f t="array" ref="M147">_xlfn.XLOOKUP($A147,ACT[[№]:[№]],ACT[Consolidation Work, Loading, Unloading/ Работы по консолидации, Погрузка, Разгрузка (Rate/Тариф - 8000 per CBM)                   KRW],"",0,1)</f>
        <v/>
      </c>
      <c r="N147" s="24" t="str" cm="1">
        <f t="array" ref="N147">_xlfn.XLOOKUP($A147,ACT[[№]:[№]],ACT[Shoring, Banding, Sealing, Handling/ Крепление, Перевязка, Опечатование, Обработка
KRW],"",0,1)</f>
        <v/>
      </c>
      <c r="O147" s="24" t="str" cm="1">
        <f t="array" ref="O147">_xlfn.XLOOKUP($A147,ACT[[№]:[№]],ACT[Documents Work/ Сбор за подготовку документов
KRW],"",0,1)</f>
        <v/>
      </c>
      <c r="P147" s="24" t="str" cm="1">
        <f t="array" ref="P147">_xlfn.XLOOKUP($A147,ACT[[№]:[№]],ACT[THC/ Терминальная обработка
KRW],"",0,1)</f>
        <v/>
      </c>
      <c r="Q147" s="24" t="str" cm="1">
        <f t="array" ref="Q147">_xlfn.XLOOKUP($A147,ACT[[№]:[№]],ACT[Wharfage/ Портовая пошлина
KRW],"",0,1)</f>
        <v/>
      </c>
      <c r="R147" s="24" t="str" cm="1">
        <f t="array" ref="R147">_xlfn.XLOOKUP($A147,ACT[[№]:[№]],ACT[TRUCKING CHARGE],"",0,1)</f>
        <v/>
      </c>
      <c r="S147" s="24" t="str" cm="1">
        <f t="array" ref="S147">_xlfn.XLOOKUP($A147,ACT[[№]:[№]],ACT[FCL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7" s="24" t="str" cm="1">
        <f t="array" ref="T147">_xlfn.XLOOKUP($A147,ACT[[№]:[№]],ACT[Special Wooden Shoring / Специальное деревянное крепление],"",0,1)</f>
        <v/>
      </c>
      <c r="U147" s="9"/>
      <c r="V147" s="24" t="str" cm="1">
        <f t="array" ref="V147">_xlfn.XLOOKUP($A147,ACT[[№]:[№]],ACT[Total amount/ Общая стоимость KRW (10+11+12+13+14+15+16)],"",0,1)</f>
        <v/>
      </c>
      <c r="W147" s="24" t="str" cm="1">
        <f t="array" ref="W147">_xlfn.XLOOKUP($A147,ACT[[№]:[№]],ACT[Total amount/ Общая стоимость (17*exchange rate/ обменный курс)
 USD],"",0,1)</f>
        <v/>
      </c>
      <c r="X147" s="9" t="e" cm="1">
        <f t="array" ref="X147">IF(#REF!="",_xlfn.XLOOKUP("МАКС",#REF!,#REF!,,0,1),#REF!)</f>
        <v>#REF!</v>
      </c>
      <c r="Y147" s="12" t="e">
        <f>VLOOKUP(Шаблон_Формулы[[#This Row],[24]],#REF!,2,0)</f>
        <v>#REF!</v>
      </c>
      <c r="Z147" s="26" t="str">
        <f>IFERROR(Шаблон_Формулы[[#This Row],[23]]*Шаблон_Формулы[[#This Row],[25]],"")</f>
        <v/>
      </c>
      <c r="AA147" s="13" t="e" cm="1">
        <f t="array" ref="AA147">#REF!</f>
        <v>#REF!</v>
      </c>
    </row>
    <row r="148" spans="1:27" s="8" customFormat="1" ht="12">
      <c r="A148" s="11">
        <v>144</v>
      </c>
      <c r="B148" s="8" t="str" cm="1">
        <f t="array" ref="B148">_xlfn.XLOOKUP($A148,ACT[[№]:[№]],ACT[Container No/
№ Контейнера],"",0,1)</f>
        <v/>
      </c>
      <c r="C148" s="8" t="str">
        <f t="shared" si="2"/>
        <v>UzAutoKorea</v>
      </c>
      <c r="D148" s="11" t="str" cm="1">
        <f t="array" ref="D148">_xlfn.XLOOKUP($A148,ACT[[№]:[№]],ACT[Container Type/ 
Тип контейнера],"",0,1)</f>
        <v/>
      </c>
      <c r="E148" s="21" t="str" cm="1">
        <f t="array" ref="E148">_xlfn.XLOOKUP($A148,ACT[[№]:[№]],ACT[Date of Dispatch/ 
Дата отгрузки],"",0,1)</f>
        <v/>
      </c>
      <c r="F148" s="22" t="str" cm="1">
        <f t="array" ref="F148">_xlfn.XLOOKUP($A148,ACT[[№]:[№]],ACT[Supplier/ Поставщик],"",0,1)</f>
        <v/>
      </c>
      <c r="G148" s="22" t="str" cm="1">
        <f t="array" ref="G148">_xlfn.XLOOKUP($A148,ACT[[№]:[№]],ACT[Supplier Invoice No/                          № Инвойса Поставщика],"",0,1)</f>
        <v/>
      </c>
      <c r="H148" s="23" t="str" cm="1">
        <f t="array" ref="H148">_xlfn.XLOOKUP($A148,ACT[[№]:[№]],ACT[CBM],"",0,1)</f>
        <v/>
      </c>
      <c r="I148" s="23" t="str" cm="1">
        <f t="array" ref="I148">_xlfn.XLOOKUP($A148,ACT[[№]:[№]],ACT[Gross weight, kg/ Вес брутто, кг],"",0,1)</f>
        <v/>
      </c>
      <c r="J148" s="23" t="str" cm="1">
        <f t="array" ref="J148">_xlfn.XLOOKUP($A148,ACT[[№]:[№]],ACT[Delivery terms / Условия поставки],"",0,1)</f>
        <v/>
      </c>
      <c r="K148" s="23" t="str" cm="1">
        <f t="array" ref="K148">_xlfn.XLOOKUP($A148,ACT[[№]:[№]],ACT[Container total CBM],"",0,1)</f>
        <v/>
      </c>
      <c r="L148" s="24" t="str" cm="1">
        <f t="array" ref="L148">_xlfn.XLOOKUP($A148,ACT[[№]:[№]],ACT[FTL inland freight cost per Invoice Appendix/ Стоимость внутренней наземной перевозки за инвойс Приложение                     KRW],"",0,1)</f>
        <v/>
      </c>
      <c r="M148" s="24" t="str" cm="1">
        <f t="array" ref="M148">_xlfn.XLOOKUP($A148,ACT[[№]:[№]],ACT[Consolidation Work, Loading, Unloading/ Работы по консолидации, Погрузка, Разгрузка (Rate/Тариф - 8000 per CBM)                   KRW],"",0,1)</f>
        <v/>
      </c>
      <c r="N148" s="24" t="str" cm="1">
        <f t="array" ref="N148">_xlfn.XLOOKUP($A148,ACT[[№]:[№]],ACT[Shoring, Banding, Sealing, Handling/ Крепление, Перевязка, Опечатование, Обработка
KRW],"",0,1)</f>
        <v/>
      </c>
      <c r="O148" s="24" t="str" cm="1">
        <f t="array" ref="O148">_xlfn.XLOOKUP($A148,ACT[[№]:[№]],ACT[Documents Work/ Сбор за подготовку документов
KRW],"",0,1)</f>
        <v/>
      </c>
      <c r="P148" s="24" t="str" cm="1">
        <f t="array" ref="P148">_xlfn.XLOOKUP($A148,ACT[[№]:[№]],ACT[THC/ Терминальная обработка
KRW],"",0,1)</f>
        <v/>
      </c>
      <c r="Q148" s="24" t="str" cm="1">
        <f t="array" ref="Q148">_xlfn.XLOOKUP($A148,ACT[[№]:[№]],ACT[Wharfage/ Портовая пошлина
KRW],"",0,1)</f>
        <v/>
      </c>
      <c r="R148" s="24" t="str" cm="1">
        <f t="array" ref="R148">_xlfn.XLOOKUP($A148,ACT[[№]:[№]],ACT[TRUCKING CHARGE],"",0,1)</f>
        <v/>
      </c>
      <c r="S148" s="24" t="str" cm="1">
        <f t="array" ref="S148">_xlfn.XLOOKUP($A148,ACT[[№]:[№]],ACT[FCL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8" s="24" t="str" cm="1">
        <f t="array" ref="T148">_xlfn.XLOOKUP($A148,ACT[[№]:[№]],ACT[Special Wooden Shoring / Специальное деревянное крепление],"",0,1)</f>
        <v/>
      </c>
      <c r="U148" s="9"/>
      <c r="V148" s="24" t="str" cm="1">
        <f t="array" ref="V148">_xlfn.XLOOKUP($A148,ACT[[№]:[№]],ACT[Total amount/ Общая стоимость KRW (10+11+12+13+14+15+16)],"",0,1)</f>
        <v/>
      </c>
      <c r="W148" s="24" t="str" cm="1">
        <f t="array" ref="W148">_xlfn.XLOOKUP($A148,ACT[[№]:[№]],ACT[Total amount/ Общая стоимость (17*exchange rate/ обменный курс)
 USD],"",0,1)</f>
        <v/>
      </c>
      <c r="X148" s="9" t="e" cm="1">
        <f t="array" ref="X148">IF(#REF!="",_xlfn.XLOOKUP("МАКС",#REF!,#REF!,,0,1),#REF!)</f>
        <v>#REF!</v>
      </c>
      <c r="Y148" s="12" t="e">
        <f>VLOOKUP(Шаблон_Формулы[[#This Row],[24]],#REF!,2,0)</f>
        <v>#REF!</v>
      </c>
      <c r="Z148" s="26" t="str">
        <f>IFERROR(Шаблон_Формулы[[#This Row],[23]]*Шаблон_Формулы[[#This Row],[25]],"")</f>
        <v/>
      </c>
      <c r="AA148" s="13" t="e" cm="1">
        <f t="array" ref="AA148">#REF!</f>
        <v>#REF!</v>
      </c>
    </row>
    <row r="149" spans="1:27" s="8" customFormat="1" ht="12">
      <c r="A149" s="11">
        <v>145</v>
      </c>
      <c r="B149" s="8" t="str" cm="1">
        <f t="array" ref="B149">_xlfn.XLOOKUP($A149,ACT[[№]:[№]],ACT[Container No/
№ Контейнера],"",0,1)</f>
        <v/>
      </c>
      <c r="C149" s="8" t="str">
        <f t="shared" si="2"/>
        <v>UzAutoKorea</v>
      </c>
      <c r="D149" s="11" t="str" cm="1">
        <f t="array" ref="D149">_xlfn.XLOOKUP($A149,ACT[[№]:[№]],ACT[Container Type/ 
Тип контейнера],"",0,1)</f>
        <v/>
      </c>
      <c r="E149" s="21" t="str" cm="1">
        <f t="array" ref="E149">_xlfn.XLOOKUP($A149,ACT[[№]:[№]],ACT[Date of Dispatch/ 
Дата отгрузки],"",0,1)</f>
        <v/>
      </c>
      <c r="F149" s="22" t="str" cm="1">
        <f t="array" ref="F149">_xlfn.XLOOKUP($A149,ACT[[№]:[№]],ACT[Supplier/ Поставщик],"",0,1)</f>
        <v/>
      </c>
      <c r="G149" s="22" t="str" cm="1">
        <f t="array" ref="G149">_xlfn.XLOOKUP($A149,ACT[[№]:[№]],ACT[Supplier Invoice No/                          № Инвойса Поставщика],"",0,1)</f>
        <v/>
      </c>
      <c r="H149" s="23" t="str" cm="1">
        <f t="array" ref="H149">_xlfn.XLOOKUP($A149,ACT[[№]:[№]],ACT[CBM],"",0,1)</f>
        <v/>
      </c>
      <c r="I149" s="23" t="str" cm="1">
        <f t="array" ref="I149">_xlfn.XLOOKUP($A149,ACT[[№]:[№]],ACT[Gross weight, kg/ Вес брутто, кг],"",0,1)</f>
        <v/>
      </c>
      <c r="J149" s="23" t="str" cm="1">
        <f t="array" ref="J149">_xlfn.XLOOKUP($A149,ACT[[№]:[№]],ACT[Delivery terms / Условия поставки],"",0,1)</f>
        <v/>
      </c>
      <c r="K149" s="23" t="str" cm="1">
        <f t="array" ref="K149">_xlfn.XLOOKUP($A149,ACT[[№]:[№]],ACT[Container total CBM],"",0,1)</f>
        <v/>
      </c>
      <c r="L149" s="24" t="str" cm="1">
        <f t="array" ref="L149">_xlfn.XLOOKUP($A149,ACT[[№]:[№]],ACT[FTL inland freight cost per Invoice Appendix/ Стоимость внутренней наземной перевозки за инвойс Приложение                     KRW],"",0,1)</f>
        <v/>
      </c>
      <c r="M149" s="24" t="str" cm="1">
        <f t="array" ref="M149">_xlfn.XLOOKUP($A149,ACT[[№]:[№]],ACT[Consolidation Work, Loading, Unloading/ Работы по консолидации, Погрузка, Разгрузка (Rate/Тариф - 8000 per CBM)                   KRW],"",0,1)</f>
        <v/>
      </c>
      <c r="N149" s="24" t="str" cm="1">
        <f t="array" ref="N149">_xlfn.XLOOKUP($A149,ACT[[№]:[№]],ACT[Shoring, Banding, Sealing, Handling/ Крепление, Перевязка, Опечатование, Обработка
KRW],"",0,1)</f>
        <v/>
      </c>
      <c r="O149" s="24" t="str" cm="1">
        <f t="array" ref="O149">_xlfn.XLOOKUP($A149,ACT[[№]:[№]],ACT[Documents Work/ Сбор за подготовку документов
KRW],"",0,1)</f>
        <v/>
      </c>
      <c r="P149" s="24" t="str" cm="1">
        <f t="array" ref="P149">_xlfn.XLOOKUP($A149,ACT[[№]:[№]],ACT[THC/ Терминальная обработка
KRW],"",0,1)</f>
        <v/>
      </c>
      <c r="Q149" s="24" t="str" cm="1">
        <f t="array" ref="Q149">_xlfn.XLOOKUP($A149,ACT[[№]:[№]],ACT[Wharfage/ Портовая пошлина
KRW],"",0,1)</f>
        <v/>
      </c>
      <c r="R149" s="24" t="str" cm="1">
        <f t="array" ref="R149">_xlfn.XLOOKUP($A149,ACT[[№]:[№]],ACT[TRUCKING CHARGE],"",0,1)</f>
        <v/>
      </c>
      <c r="S149" s="24" t="str" cm="1">
        <f t="array" ref="S149">_xlfn.XLOOKUP($A149,ACT[[№]:[№]],ACT[FCL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9" s="24" t="str" cm="1">
        <f t="array" ref="T149">_xlfn.XLOOKUP($A149,ACT[[№]:[№]],ACT[Special Wooden Shoring / Специальное деревянное крепление],"",0,1)</f>
        <v/>
      </c>
      <c r="U149" s="9"/>
      <c r="V149" s="24" t="str" cm="1">
        <f t="array" ref="V149">_xlfn.XLOOKUP($A149,ACT[[№]:[№]],ACT[Total amount/ Общая стоимость KRW (10+11+12+13+14+15+16)],"",0,1)</f>
        <v/>
      </c>
      <c r="W149" s="24" t="str" cm="1">
        <f t="array" ref="W149">_xlfn.XLOOKUP($A149,ACT[[№]:[№]],ACT[Total amount/ Общая стоимость (17*exchange rate/ обменный курс)
 USD],"",0,1)</f>
        <v/>
      </c>
      <c r="X149" s="9" t="e" cm="1">
        <f t="array" ref="X149">IF(#REF!="",_xlfn.XLOOKUP("МАКС",#REF!,#REF!,,0,1),#REF!)</f>
        <v>#REF!</v>
      </c>
      <c r="Y149" s="12" t="e">
        <f>VLOOKUP(Шаблон_Формулы[[#This Row],[24]],#REF!,2,0)</f>
        <v>#REF!</v>
      </c>
      <c r="Z149" s="26" t="str">
        <f>IFERROR(Шаблон_Формулы[[#This Row],[23]]*Шаблон_Формулы[[#This Row],[25]],"")</f>
        <v/>
      </c>
      <c r="AA149" s="13" t="e" cm="1">
        <f t="array" ref="AA149">#REF!</f>
        <v>#REF!</v>
      </c>
    </row>
    <row r="150" spans="1:27" s="8" customFormat="1" ht="12">
      <c r="A150" s="11">
        <v>146</v>
      </c>
      <c r="B150" s="8" t="str" cm="1">
        <f t="array" ref="B150">_xlfn.XLOOKUP($A150,ACT[[№]:[№]],ACT[Container No/
№ Контейнера],"",0,1)</f>
        <v/>
      </c>
      <c r="C150" s="8" t="str">
        <f t="shared" si="2"/>
        <v>UzAutoKorea</v>
      </c>
      <c r="D150" s="11" t="str" cm="1">
        <f t="array" ref="D150">_xlfn.XLOOKUP($A150,ACT[[№]:[№]],ACT[Container Type/ 
Тип контейнера],"",0,1)</f>
        <v/>
      </c>
      <c r="E150" s="21" t="str" cm="1">
        <f t="array" ref="E150">_xlfn.XLOOKUP($A150,ACT[[№]:[№]],ACT[Date of Dispatch/ 
Дата отгрузки],"",0,1)</f>
        <v/>
      </c>
      <c r="F150" s="22" t="str" cm="1">
        <f t="array" ref="F150">_xlfn.XLOOKUP($A150,ACT[[№]:[№]],ACT[Supplier/ Поставщик],"",0,1)</f>
        <v/>
      </c>
      <c r="G150" s="22" t="str" cm="1">
        <f t="array" ref="G150">_xlfn.XLOOKUP($A150,ACT[[№]:[№]],ACT[Supplier Invoice No/                          № Инвойса Поставщика],"",0,1)</f>
        <v/>
      </c>
      <c r="H150" s="23" t="str" cm="1">
        <f t="array" ref="H150">_xlfn.XLOOKUP($A150,ACT[[№]:[№]],ACT[CBM],"",0,1)</f>
        <v/>
      </c>
      <c r="I150" s="23" t="str" cm="1">
        <f t="array" ref="I150">_xlfn.XLOOKUP($A150,ACT[[№]:[№]],ACT[Gross weight, kg/ Вес брутто, кг],"",0,1)</f>
        <v/>
      </c>
      <c r="J150" s="23" t="str" cm="1">
        <f t="array" ref="J150">_xlfn.XLOOKUP($A150,ACT[[№]:[№]],ACT[Delivery terms / Условия поставки],"",0,1)</f>
        <v/>
      </c>
      <c r="K150" s="23" t="str" cm="1">
        <f t="array" ref="K150">_xlfn.XLOOKUP($A150,ACT[[№]:[№]],ACT[Container total CBM],"",0,1)</f>
        <v/>
      </c>
      <c r="L150" s="24" t="str" cm="1">
        <f t="array" ref="L150">_xlfn.XLOOKUP($A150,ACT[[№]:[№]],ACT[FTL inland freight cost per Invoice Appendix/ Стоимость внутренней наземной перевозки за инвойс Приложение                     KRW],"",0,1)</f>
        <v/>
      </c>
      <c r="M150" s="24" t="str" cm="1">
        <f t="array" ref="M150">_xlfn.XLOOKUP($A150,ACT[[№]:[№]],ACT[Consolidation Work, Loading, Unloading/ Работы по консолидации, Погрузка, Разгрузка (Rate/Тариф - 8000 per CBM)                   KRW],"",0,1)</f>
        <v/>
      </c>
      <c r="N150" s="24" t="str" cm="1">
        <f t="array" ref="N150">_xlfn.XLOOKUP($A150,ACT[[№]:[№]],ACT[Shoring, Banding, Sealing, Handling/ Крепление, Перевязка, Опечатование, Обработка
KRW],"",0,1)</f>
        <v/>
      </c>
      <c r="O150" s="24" t="str" cm="1">
        <f t="array" ref="O150">_xlfn.XLOOKUP($A150,ACT[[№]:[№]],ACT[Documents Work/ Сбор за подготовку документов
KRW],"",0,1)</f>
        <v/>
      </c>
      <c r="P150" s="24" t="str" cm="1">
        <f t="array" ref="P150">_xlfn.XLOOKUP($A150,ACT[[№]:[№]],ACT[THC/ Терминальная обработка
KRW],"",0,1)</f>
        <v/>
      </c>
      <c r="Q150" s="24" t="str" cm="1">
        <f t="array" ref="Q150">_xlfn.XLOOKUP($A150,ACT[[№]:[№]],ACT[Wharfage/ Портовая пошлина
KRW],"",0,1)</f>
        <v/>
      </c>
      <c r="R150" s="24" t="str" cm="1">
        <f t="array" ref="R150">_xlfn.XLOOKUP($A150,ACT[[№]:[№]],ACT[TRUCKING CHARGE],"",0,1)</f>
        <v/>
      </c>
      <c r="S150" s="24" t="str" cm="1">
        <f t="array" ref="S150">_xlfn.XLOOKUP($A150,ACT[[№]:[№]],ACT[FCL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0" s="24" t="str" cm="1">
        <f t="array" ref="T150">_xlfn.XLOOKUP($A150,ACT[[№]:[№]],ACT[Special Wooden Shoring / Специальное деревянное крепление],"",0,1)</f>
        <v/>
      </c>
      <c r="U150" s="9"/>
      <c r="V150" s="24" t="str" cm="1">
        <f t="array" ref="V150">_xlfn.XLOOKUP($A150,ACT[[№]:[№]],ACT[Total amount/ Общая стоимость KRW (10+11+12+13+14+15+16)],"",0,1)</f>
        <v/>
      </c>
      <c r="W150" s="24" t="str" cm="1">
        <f t="array" ref="W150">_xlfn.XLOOKUP($A150,ACT[[№]:[№]],ACT[Total amount/ Общая стоимость (17*exchange rate/ обменный курс)
 USD],"",0,1)</f>
        <v/>
      </c>
      <c r="X150" s="9" t="e" cm="1">
        <f t="array" ref="X150">IF(#REF!="",_xlfn.XLOOKUP("МАКС",#REF!,#REF!,,0,1),#REF!)</f>
        <v>#REF!</v>
      </c>
      <c r="Y150" s="12" t="e">
        <f>VLOOKUP(Шаблон_Формулы[[#This Row],[24]],#REF!,2,0)</f>
        <v>#REF!</v>
      </c>
      <c r="Z150" s="26" t="str">
        <f>IFERROR(Шаблон_Формулы[[#This Row],[23]]*Шаблон_Формулы[[#This Row],[25]],"")</f>
        <v/>
      </c>
      <c r="AA150" s="13" t="e" cm="1">
        <f t="array" ref="AA150">#REF!</f>
        <v>#REF!</v>
      </c>
    </row>
    <row r="151" spans="1:27" s="8" customFormat="1" ht="12">
      <c r="A151" s="11">
        <v>147</v>
      </c>
      <c r="B151" s="8" t="str" cm="1">
        <f t="array" ref="B151">_xlfn.XLOOKUP($A151,ACT[[№]:[№]],ACT[Container No/
№ Контейнера],"",0,1)</f>
        <v/>
      </c>
      <c r="C151" s="8" t="str">
        <f t="shared" si="2"/>
        <v>UzAutoKorea</v>
      </c>
      <c r="D151" s="11" t="str" cm="1">
        <f t="array" ref="D151">_xlfn.XLOOKUP($A151,ACT[[№]:[№]],ACT[Container Type/ 
Тип контейнера],"",0,1)</f>
        <v/>
      </c>
      <c r="E151" s="21" t="str" cm="1">
        <f t="array" ref="E151">_xlfn.XLOOKUP($A151,ACT[[№]:[№]],ACT[Date of Dispatch/ 
Дата отгрузки],"",0,1)</f>
        <v/>
      </c>
      <c r="F151" s="22" t="str" cm="1">
        <f t="array" ref="F151">_xlfn.XLOOKUP($A151,ACT[[№]:[№]],ACT[Supplier/ Поставщик],"",0,1)</f>
        <v/>
      </c>
      <c r="G151" s="22" t="str" cm="1">
        <f t="array" ref="G151">_xlfn.XLOOKUP($A151,ACT[[№]:[№]],ACT[Supplier Invoice No/                          № Инвойса Поставщика],"",0,1)</f>
        <v/>
      </c>
      <c r="H151" s="23" t="str" cm="1">
        <f t="array" ref="H151">_xlfn.XLOOKUP($A151,ACT[[№]:[№]],ACT[CBM],"",0,1)</f>
        <v/>
      </c>
      <c r="I151" s="23" t="str" cm="1">
        <f t="array" ref="I151">_xlfn.XLOOKUP($A151,ACT[[№]:[№]],ACT[Gross weight, kg/ Вес брутто, кг],"",0,1)</f>
        <v/>
      </c>
      <c r="J151" s="23" t="str" cm="1">
        <f t="array" ref="J151">_xlfn.XLOOKUP($A151,ACT[[№]:[№]],ACT[Delivery terms / Условия поставки],"",0,1)</f>
        <v/>
      </c>
      <c r="K151" s="23" t="str" cm="1">
        <f t="array" ref="K151">_xlfn.XLOOKUP($A151,ACT[[№]:[№]],ACT[Container total CBM],"",0,1)</f>
        <v/>
      </c>
      <c r="L151" s="24" t="str" cm="1">
        <f t="array" ref="L151">_xlfn.XLOOKUP($A151,ACT[[№]:[№]],ACT[FTL inland freight cost per Invoice Appendix/ Стоимость внутренней наземной перевозки за инвойс Приложение                     KRW],"",0,1)</f>
        <v/>
      </c>
      <c r="M151" s="24" t="str" cm="1">
        <f t="array" ref="M151">_xlfn.XLOOKUP($A151,ACT[[№]:[№]],ACT[Consolidation Work, Loading, Unloading/ Работы по консолидации, Погрузка, Разгрузка (Rate/Тариф - 8000 per CBM)                   KRW],"",0,1)</f>
        <v/>
      </c>
      <c r="N151" s="24" t="str" cm="1">
        <f t="array" ref="N151">_xlfn.XLOOKUP($A151,ACT[[№]:[№]],ACT[Shoring, Banding, Sealing, Handling/ Крепление, Перевязка, Опечатование, Обработка
KRW],"",0,1)</f>
        <v/>
      </c>
      <c r="O151" s="24" t="str" cm="1">
        <f t="array" ref="O151">_xlfn.XLOOKUP($A151,ACT[[№]:[№]],ACT[Documents Work/ Сбор за подготовку документов
KRW],"",0,1)</f>
        <v/>
      </c>
      <c r="P151" s="24" t="str" cm="1">
        <f t="array" ref="P151">_xlfn.XLOOKUP($A151,ACT[[№]:[№]],ACT[THC/ Терминальная обработка
KRW],"",0,1)</f>
        <v/>
      </c>
      <c r="Q151" s="24" t="str" cm="1">
        <f t="array" ref="Q151">_xlfn.XLOOKUP($A151,ACT[[№]:[№]],ACT[Wharfage/ Портовая пошлина
KRW],"",0,1)</f>
        <v/>
      </c>
      <c r="R151" s="24" t="str" cm="1">
        <f t="array" ref="R151">_xlfn.XLOOKUP($A151,ACT[[№]:[№]],ACT[TRUCKING CHARGE],"",0,1)</f>
        <v/>
      </c>
      <c r="S151" s="24" t="str" cm="1">
        <f t="array" ref="S151">_xlfn.XLOOKUP($A151,ACT[[№]:[№]],ACT[FCL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1" s="24" t="str" cm="1">
        <f t="array" ref="T151">_xlfn.XLOOKUP($A151,ACT[[№]:[№]],ACT[Special Wooden Shoring / Специальное деревянное крепление],"",0,1)</f>
        <v/>
      </c>
      <c r="U151" s="9"/>
      <c r="V151" s="24" t="str" cm="1">
        <f t="array" ref="V151">_xlfn.XLOOKUP($A151,ACT[[№]:[№]],ACT[Total amount/ Общая стоимость KRW (10+11+12+13+14+15+16)],"",0,1)</f>
        <v/>
      </c>
      <c r="W151" s="24" t="str" cm="1">
        <f t="array" ref="W151">_xlfn.XLOOKUP($A151,ACT[[№]:[№]],ACT[Total amount/ Общая стоимость (17*exchange rate/ обменный курс)
 USD],"",0,1)</f>
        <v/>
      </c>
      <c r="X151" s="9" t="e" cm="1">
        <f t="array" ref="X151">IF(#REF!="",_xlfn.XLOOKUP("МАКС",#REF!,#REF!,,0,1),#REF!)</f>
        <v>#REF!</v>
      </c>
      <c r="Y151" s="12" t="e">
        <f>VLOOKUP(Шаблон_Формулы[[#This Row],[24]],#REF!,2,0)</f>
        <v>#REF!</v>
      </c>
      <c r="Z151" s="26" t="str">
        <f>IFERROR(Шаблон_Формулы[[#This Row],[23]]*Шаблон_Формулы[[#This Row],[25]],"")</f>
        <v/>
      </c>
      <c r="AA151" s="13" t="e" cm="1">
        <f t="array" ref="AA151">#REF!</f>
        <v>#REF!</v>
      </c>
    </row>
    <row r="152" spans="1:27" s="8" customFormat="1" ht="12">
      <c r="A152" s="11">
        <v>148</v>
      </c>
      <c r="B152" s="8" t="str" cm="1">
        <f t="array" ref="B152">_xlfn.XLOOKUP($A152,ACT[[№]:[№]],ACT[Container No/
№ Контейнера],"",0,1)</f>
        <v/>
      </c>
      <c r="C152" s="8" t="str">
        <f t="shared" si="2"/>
        <v>UzAutoKorea</v>
      </c>
      <c r="D152" s="11" t="str" cm="1">
        <f t="array" ref="D152">_xlfn.XLOOKUP($A152,ACT[[№]:[№]],ACT[Container Type/ 
Тип контейнера],"",0,1)</f>
        <v/>
      </c>
      <c r="E152" s="21" t="str" cm="1">
        <f t="array" ref="E152">_xlfn.XLOOKUP($A152,ACT[[№]:[№]],ACT[Date of Dispatch/ 
Дата отгрузки],"",0,1)</f>
        <v/>
      </c>
      <c r="F152" s="22" t="str" cm="1">
        <f t="array" ref="F152">_xlfn.XLOOKUP($A152,ACT[[№]:[№]],ACT[Supplier/ Поставщик],"",0,1)</f>
        <v/>
      </c>
      <c r="G152" s="22" t="str" cm="1">
        <f t="array" ref="G152">_xlfn.XLOOKUP($A152,ACT[[№]:[№]],ACT[Supplier Invoice No/                          № Инвойса Поставщика],"",0,1)</f>
        <v/>
      </c>
      <c r="H152" s="23" t="str" cm="1">
        <f t="array" ref="H152">_xlfn.XLOOKUP($A152,ACT[[№]:[№]],ACT[CBM],"",0,1)</f>
        <v/>
      </c>
      <c r="I152" s="23" t="str" cm="1">
        <f t="array" ref="I152">_xlfn.XLOOKUP($A152,ACT[[№]:[№]],ACT[Gross weight, kg/ Вес брутто, кг],"",0,1)</f>
        <v/>
      </c>
      <c r="J152" s="23" t="str" cm="1">
        <f t="array" ref="J152">_xlfn.XLOOKUP($A152,ACT[[№]:[№]],ACT[Delivery terms / Условия поставки],"",0,1)</f>
        <v/>
      </c>
      <c r="K152" s="23" t="str" cm="1">
        <f t="array" ref="K152">_xlfn.XLOOKUP($A152,ACT[[№]:[№]],ACT[Container total CBM],"",0,1)</f>
        <v/>
      </c>
      <c r="L152" s="24" t="str" cm="1">
        <f t="array" ref="L152">_xlfn.XLOOKUP($A152,ACT[[№]:[№]],ACT[FTL inland freight cost per Invoice Appendix/ Стоимость внутренней наземной перевозки за инвойс Приложение                     KRW],"",0,1)</f>
        <v/>
      </c>
      <c r="M152" s="24" t="str" cm="1">
        <f t="array" ref="M152">_xlfn.XLOOKUP($A152,ACT[[№]:[№]],ACT[Consolidation Work, Loading, Unloading/ Работы по консолидации, Погрузка, Разгрузка (Rate/Тариф - 8000 per CBM)                   KRW],"",0,1)</f>
        <v/>
      </c>
      <c r="N152" s="24" t="str" cm="1">
        <f t="array" ref="N152">_xlfn.XLOOKUP($A152,ACT[[№]:[№]],ACT[Shoring, Banding, Sealing, Handling/ Крепление, Перевязка, Опечатование, Обработка
KRW],"",0,1)</f>
        <v/>
      </c>
      <c r="O152" s="24" t="str" cm="1">
        <f t="array" ref="O152">_xlfn.XLOOKUP($A152,ACT[[№]:[№]],ACT[Documents Work/ Сбор за подготовку документов
KRW],"",0,1)</f>
        <v/>
      </c>
      <c r="P152" s="24" t="str" cm="1">
        <f t="array" ref="P152">_xlfn.XLOOKUP($A152,ACT[[№]:[№]],ACT[THC/ Терминальная обработка
KRW],"",0,1)</f>
        <v/>
      </c>
      <c r="Q152" s="24" t="str" cm="1">
        <f t="array" ref="Q152">_xlfn.XLOOKUP($A152,ACT[[№]:[№]],ACT[Wharfage/ Портовая пошлина
KRW],"",0,1)</f>
        <v/>
      </c>
      <c r="R152" s="24" t="str" cm="1">
        <f t="array" ref="R152">_xlfn.XLOOKUP($A152,ACT[[№]:[№]],ACT[TRUCKING CHARGE],"",0,1)</f>
        <v/>
      </c>
      <c r="S152" s="24" t="str" cm="1">
        <f t="array" ref="S152">_xlfn.XLOOKUP($A152,ACT[[№]:[№]],ACT[FCL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2" s="24" t="str" cm="1">
        <f t="array" ref="T152">_xlfn.XLOOKUP($A152,ACT[[№]:[№]],ACT[Special Wooden Shoring / Специальное деревянное крепление],"",0,1)</f>
        <v/>
      </c>
      <c r="U152" s="9"/>
      <c r="V152" s="24" t="str" cm="1">
        <f t="array" ref="V152">_xlfn.XLOOKUP($A152,ACT[[№]:[№]],ACT[Total amount/ Общая стоимость KRW (10+11+12+13+14+15+16)],"",0,1)</f>
        <v/>
      </c>
      <c r="W152" s="24" t="str" cm="1">
        <f t="array" ref="W152">_xlfn.XLOOKUP($A152,ACT[[№]:[№]],ACT[Total amount/ Общая стоимость (17*exchange rate/ обменный курс)
 USD],"",0,1)</f>
        <v/>
      </c>
      <c r="X152" s="9" t="e" cm="1">
        <f t="array" ref="X152">IF(#REF!="",_xlfn.XLOOKUP("МАКС",#REF!,#REF!,,0,1),#REF!)</f>
        <v>#REF!</v>
      </c>
      <c r="Y152" s="12" t="e">
        <f>VLOOKUP(Шаблон_Формулы[[#This Row],[24]],#REF!,2,0)</f>
        <v>#REF!</v>
      </c>
      <c r="Z152" s="26" t="str">
        <f>IFERROR(Шаблон_Формулы[[#This Row],[23]]*Шаблон_Формулы[[#This Row],[25]],"")</f>
        <v/>
      </c>
      <c r="AA152" s="13" t="e" cm="1">
        <f t="array" ref="AA152">#REF!</f>
        <v>#REF!</v>
      </c>
    </row>
    <row r="153" spans="1:27" s="8" customFormat="1" ht="12">
      <c r="A153" s="11">
        <v>149</v>
      </c>
      <c r="B153" s="8" t="str" cm="1">
        <f t="array" ref="B153">_xlfn.XLOOKUP($A153,ACT[[№]:[№]],ACT[Container No/
№ Контейнера],"",0,1)</f>
        <v/>
      </c>
      <c r="C153" s="8" t="str">
        <f t="shared" si="2"/>
        <v>UzAutoKorea</v>
      </c>
      <c r="D153" s="11" t="str" cm="1">
        <f t="array" ref="D153">_xlfn.XLOOKUP($A153,ACT[[№]:[№]],ACT[Container Type/ 
Тип контейнера],"",0,1)</f>
        <v/>
      </c>
      <c r="E153" s="21" t="str" cm="1">
        <f t="array" ref="E153">_xlfn.XLOOKUP($A153,ACT[[№]:[№]],ACT[Date of Dispatch/ 
Дата отгрузки],"",0,1)</f>
        <v/>
      </c>
      <c r="F153" s="22" t="str" cm="1">
        <f t="array" ref="F153">_xlfn.XLOOKUP($A153,ACT[[№]:[№]],ACT[Supplier/ Поставщик],"",0,1)</f>
        <v/>
      </c>
      <c r="G153" s="22" t="str" cm="1">
        <f t="array" ref="G153">_xlfn.XLOOKUP($A153,ACT[[№]:[№]],ACT[Supplier Invoice No/                          № Инвойса Поставщика],"",0,1)</f>
        <v/>
      </c>
      <c r="H153" s="23" t="str" cm="1">
        <f t="array" ref="H153">_xlfn.XLOOKUP($A153,ACT[[№]:[№]],ACT[CBM],"",0,1)</f>
        <v/>
      </c>
      <c r="I153" s="23" t="str" cm="1">
        <f t="array" ref="I153">_xlfn.XLOOKUP($A153,ACT[[№]:[№]],ACT[Gross weight, kg/ Вес брутто, кг],"",0,1)</f>
        <v/>
      </c>
      <c r="J153" s="23" t="str" cm="1">
        <f t="array" ref="J153">_xlfn.XLOOKUP($A153,ACT[[№]:[№]],ACT[Delivery terms / Условия поставки],"",0,1)</f>
        <v/>
      </c>
      <c r="K153" s="23" t="str" cm="1">
        <f t="array" ref="K153">_xlfn.XLOOKUP($A153,ACT[[№]:[№]],ACT[Container total CBM],"",0,1)</f>
        <v/>
      </c>
      <c r="L153" s="24" t="str" cm="1">
        <f t="array" ref="L153">_xlfn.XLOOKUP($A153,ACT[[№]:[№]],ACT[FTL inland freight cost per Invoice Appendix/ Стоимость внутренней наземной перевозки за инвойс Приложение                     KRW],"",0,1)</f>
        <v/>
      </c>
      <c r="M153" s="24" t="str" cm="1">
        <f t="array" ref="M153">_xlfn.XLOOKUP($A153,ACT[[№]:[№]],ACT[Consolidation Work, Loading, Unloading/ Работы по консолидации, Погрузка, Разгрузка (Rate/Тариф - 8000 per CBM)                   KRW],"",0,1)</f>
        <v/>
      </c>
      <c r="N153" s="24" t="str" cm="1">
        <f t="array" ref="N153">_xlfn.XLOOKUP($A153,ACT[[№]:[№]],ACT[Shoring, Banding, Sealing, Handling/ Крепление, Перевязка, Опечатование, Обработка
KRW],"",0,1)</f>
        <v/>
      </c>
      <c r="O153" s="24" t="str" cm="1">
        <f t="array" ref="O153">_xlfn.XLOOKUP($A153,ACT[[№]:[№]],ACT[Documents Work/ Сбор за подготовку документов
KRW],"",0,1)</f>
        <v/>
      </c>
      <c r="P153" s="24" t="str" cm="1">
        <f t="array" ref="P153">_xlfn.XLOOKUP($A153,ACT[[№]:[№]],ACT[THC/ Терминальная обработка
KRW],"",0,1)</f>
        <v/>
      </c>
      <c r="Q153" s="24" t="str" cm="1">
        <f t="array" ref="Q153">_xlfn.XLOOKUP($A153,ACT[[№]:[№]],ACT[Wharfage/ Портовая пошлина
KRW],"",0,1)</f>
        <v/>
      </c>
      <c r="R153" s="24" t="str" cm="1">
        <f t="array" ref="R153">_xlfn.XLOOKUP($A153,ACT[[№]:[№]],ACT[TRUCKING CHARGE],"",0,1)</f>
        <v/>
      </c>
      <c r="S153" s="24" t="str" cm="1">
        <f t="array" ref="S153">_xlfn.XLOOKUP($A153,ACT[[№]:[№]],ACT[FCL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3" s="24" t="str" cm="1">
        <f t="array" ref="T153">_xlfn.XLOOKUP($A153,ACT[[№]:[№]],ACT[Special Wooden Shoring / Специальное деревянное крепление],"",0,1)</f>
        <v/>
      </c>
      <c r="U153" s="9"/>
      <c r="V153" s="24" t="str" cm="1">
        <f t="array" ref="V153">_xlfn.XLOOKUP($A153,ACT[[№]:[№]],ACT[Total amount/ Общая стоимость KRW (10+11+12+13+14+15+16)],"",0,1)</f>
        <v/>
      </c>
      <c r="W153" s="24" t="str" cm="1">
        <f t="array" ref="W153">_xlfn.XLOOKUP($A153,ACT[[№]:[№]],ACT[Total amount/ Общая стоимость (17*exchange rate/ обменный курс)
 USD],"",0,1)</f>
        <v/>
      </c>
      <c r="X153" s="9" t="e" cm="1">
        <f t="array" ref="X153">IF(#REF!="",_xlfn.XLOOKUP("МАКС",#REF!,#REF!,,0,1),#REF!)</f>
        <v>#REF!</v>
      </c>
      <c r="Y153" s="12" t="e">
        <f>VLOOKUP(Шаблон_Формулы[[#This Row],[24]],#REF!,2,0)</f>
        <v>#REF!</v>
      </c>
      <c r="Z153" s="26" t="str">
        <f>IFERROR(Шаблон_Формулы[[#This Row],[23]]*Шаблон_Формулы[[#This Row],[25]],"")</f>
        <v/>
      </c>
      <c r="AA153" s="13" t="e" cm="1">
        <f t="array" ref="AA153">#REF!</f>
        <v>#REF!</v>
      </c>
    </row>
    <row r="154" spans="1:27" s="8" customFormat="1" ht="12">
      <c r="A154" s="11">
        <v>150</v>
      </c>
      <c r="B154" s="8" t="str" cm="1">
        <f t="array" ref="B154">_xlfn.XLOOKUP($A154,ACT[[№]:[№]],ACT[Container No/
№ Контейнера],"",0,1)</f>
        <v/>
      </c>
      <c r="C154" s="8" t="str">
        <f t="shared" si="2"/>
        <v>UzAutoKorea</v>
      </c>
      <c r="D154" s="11" t="str" cm="1">
        <f t="array" ref="D154">_xlfn.XLOOKUP($A154,ACT[[№]:[№]],ACT[Container Type/ 
Тип контейнера],"",0,1)</f>
        <v/>
      </c>
      <c r="E154" s="21" t="str" cm="1">
        <f t="array" ref="E154">_xlfn.XLOOKUP($A154,ACT[[№]:[№]],ACT[Date of Dispatch/ 
Дата отгрузки],"",0,1)</f>
        <v/>
      </c>
      <c r="F154" s="22" t="str" cm="1">
        <f t="array" ref="F154">_xlfn.XLOOKUP($A154,ACT[[№]:[№]],ACT[Supplier/ Поставщик],"",0,1)</f>
        <v/>
      </c>
      <c r="G154" s="22" t="str" cm="1">
        <f t="array" ref="G154">_xlfn.XLOOKUP($A154,ACT[[№]:[№]],ACT[Supplier Invoice No/                          № Инвойса Поставщика],"",0,1)</f>
        <v/>
      </c>
      <c r="H154" s="23" t="str" cm="1">
        <f t="array" ref="H154">_xlfn.XLOOKUP($A154,ACT[[№]:[№]],ACT[CBM],"",0,1)</f>
        <v/>
      </c>
      <c r="I154" s="23" t="str" cm="1">
        <f t="array" ref="I154">_xlfn.XLOOKUP($A154,ACT[[№]:[№]],ACT[Gross weight, kg/ Вес брутто, кг],"",0,1)</f>
        <v/>
      </c>
      <c r="J154" s="23" t="str" cm="1">
        <f t="array" ref="J154">_xlfn.XLOOKUP($A154,ACT[[№]:[№]],ACT[Delivery terms / Условия поставки],"",0,1)</f>
        <v/>
      </c>
      <c r="K154" s="23" t="str" cm="1">
        <f t="array" ref="K154">_xlfn.XLOOKUP($A154,ACT[[№]:[№]],ACT[Container total CBM],"",0,1)</f>
        <v/>
      </c>
      <c r="L154" s="24" t="str" cm="1">
        <f t="array" ref="L154">_xlfn.XLOOKUP($A154,ACT[[№]:[№]],ACT[FTL inland freight cost per Invoice Appendix/ Стоимость внутренней наземной перевозки за инвойс Приложение                     KRW],"",0,1)</f>
        <v/>
      </c>
      <c r="M154" s="24" t="str" cm="1">
        <f t="array" ref="M154">_xlfn.XLOOKUP($A154,ACT[[№]:[№]],ACT[Consolidation Work, Loading, Unloading/ Работы по консолидации, Погрузка, Разгрузка (Rate/Тариф - 8000 per CBM)                   KRW],"",0,1)</f>
        <v/>
      </c>
      <c r="N154" s="24" t="str" cm="1">
        <f t="array" ref="N154">_xlfn.XLOOKUP($A154,ACT[[№]:[№]],ACT[Shoring, Banding, Sealing, Handling/ Крепление, Перевязка, Опечатование, Обработка
KRW],"",0,1)</f>
        <v/>
      </c>
      <c r="O154" s="24" t="str" cm="1">
        <f t="array" ref="O154">_xlfn.XLOOKUP($A154,ACT[[№]:[№]],ACT[Documents Work/ Сбор за подготовку документов
KRW],"",0,1)</f>
        <v/>
      </c>
      <c r="P154" s="24" t="str" cm="1">
        <f t="array" ref="P154">_xlfn.XLOOKUP($A154,ACT[[№]:[№]],ACT[THC/ Терминальная обработка
KRW],"",0,1)</f>
        <v/>
      </c>
      <c r="Q154" s="24" t="str" cm="1">
        <f t="array" ref="Q154">_xlfn.XLOOKUP($A154,ACT[[№]:[№]],ACT[Wharfage/ Портовая пошлина
KRW],"",0,1)</f>
        <v/>
      </c>
      <c r="R154" s="24" t="str" cm="1">
        <f t="array" ref="R154">_xlfn.XLOOKUP($A154,ACT[[№]:[№]],ACT[TRUCKING CHARGE],"",0,1)</f>
        <v/>
      </c>
      <c r="S154" s="24" t="str" cm="1">
        <f t="array" ref="S154">_xlfn.XLOOKUP($A154,ACT[[№]:[№]],ACT[FCL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4" s="24" t="str" cm="1">
        <f t="array" ref="T154">_xlfn.XLOOKUP($A154,ACT[[№]:[№]],ACT[Special Wooden Shoring / Специальное деревянное крепление],"",0,1)</f>
        <v/>
      </c>
      <c r="U154" s="9"/>
      <c r="V154" s="24" t="str" cm="1">
        <f t="array" ref="V154">_xlfn.XLOOKUP($A154,ACT[[№]:[№]],ACT[Total amount/ Общая стоимость KRW (10+11+12+13+14+15+16)],"",0,1)</f>
        <v/>
      </c>
      <c r="W154" s="24" t="str" cm="1">
        <f t="array" ref="W154">_xlfn.XLOOKUP($A154,ACT[[№]:[№]],ACT[Total amount/ Общая стоимость (17*exchange rate/ обменный курс)
 USD],"",0,1)</f>
        <v/>
      </c>
      <c r="X154" s="9" t="e" cm="1">
        <f t="array" ref="X154">IF(#REF!="",_xlfn.XLOOKUP("МАКС",#REF!,#REF!,,0,1),#REF!)</f>
        <v>#REF!</v>
      </c>
      <c r="Y154" s="12" t="e">
        <f>VLOOKUP(Шаблон_Формулы[[#This Row],[24]],#REF!,2,0)</f>
        <v>#REF!</v>
      </c>
      <c r="Z154" s="26" t="str">
        <f>IFERROR(Шаблон_Формулы[[#This Row],[23]]*Шаблон_Формулы[[#This Row],[25]],"")</f>
        <v/>
      </c>
      <c r="AA154" s="13" t="e" cm="1">
        <f t="array" ref="AA154">#REF!</f>
        <v>#REF!</v>
      </c>
    </row>
  </sheetData>
  <mergeCells count="3">
    <mergeCell ref="A1:C1"/>
    <mergeCell ref="D1:H1"/>
    <mergeCell ref="I1:AA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6"/>
  <dimension ref="A2:B9"/>
  <sheetViews>
    <sheetView workbookViewId="0">
      <selection activeCell="E17" sqref="E17"/>
    </sheetView>
  </sheetViews>
  <sheetFormatPr defaultRowHeight="14.4"/>
  <sheetData>
    <row r="2" spans="1:2">
      <c r="A2" s="3" t="s">
        <v>5</v>
      </c>
      <c r="B2" s="3" t="s">
        <v>7</v>
      </c>
    </row>
    <row r="3" spans="1:2">
      <c r="A3" s="3" t="s">
        <v>6</v>
      </c>
      <c r="B3" s="3" t="s">
        <v>8</v>
      </c>
    </row>
    <row r="4" spans="1:2">
      <c r="A4" s="3" t="s">
        <v>9</v>
      </c>
      <c r="B4" s="3" t="s">
        <v>10</v>
      </c>
    </row>
    <row r="5" spans="1:2">
      <c r="A5" s="3" t="s">
        <v>11</v>
      </c>
      <c r="B5" s="3" t="s">
        <v>12</v>
      </c>
    </row>
    <row r="6" spans="1:2">
      <c r="A6" s="3" t="s">
        <v>13</v>
      </c>
      <c r="B6" s="3" t="s">
        <v>14</v>
      </c>
    </row>
    <row r="7" spans="1:2">
      <c r="A7" s="3" t="s">
        <v>15</v>
      </c>
      <c r="B7" s="3" t="s">
        <v>16</v>
      </c>
    </row>
    <row r="8" spans="1:2">
      <c r="A8" s="3" t="s">
        <v>17</v>
      </c>
      <c r="B8" s="3" t="s">
        <v>18</v>
      </c>
    </row>
    <row r="9" spans="1:2">
      <c r="A9" s="3" t="s">
        <v>19</v>
      </c>
      <c r="B9" s="3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EE1D42-1A93-422A-B5D7-E973A2F16D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2</vt:i4>
      </vt:variant>
    </vt:vector>
  </HeadingPairs>
  <TitlesOfParts>
    <vt:vector size="8" baseType="lpstr">
      <vt:lpstr>Лист1</vt:lpstr>
      <vt:lpstr>FTL Rates</vt:lpstr>
      <vt:lpstr>Add.fees</vt:lpstr>
      <vt:lpstr>ACT</vt:lpstr>
      <vt:lpstr>Шаблон_Формулы</vt:lpstr>
      <vt:lpstr>Лист2</vt:lpstr>
      <vt:lpstr>'FTL Rates'!Заголовки_для_печати</vt:lpstr>
      <vt:lpstr>'FTL Rates'!Область_печати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Ziyovuddin Radjabmukhamedov</cp:lastModifiedBy>
  <cp:lastPrinted>2023-05-04T05:33:20Z</cp:lastPrinted>
  <dcterms:created xsi:type="dcterms:W3CDTF">2023-02-15T11:48:29Z</dcterms:created>
  <dcterms:modified xsi:type="dcterms:W3CDTF">2023-12-01T13:42:59Z</dcterms:modified>
</cp:coreProperties>
</file>