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noyatov\Desktop\"/>
    </mc:Choice>
  </mc:AlternateContent>
  <xr:revisionPtr revIDLastSave="0" documentId="13_ncr:1_{4F4A408B-5F77-4FFB-A7F1-D2D47AB9D387}" xr6:coauthVersionLast="47" xr6:coauthVersionMax="47" xr10:uidLastSave="{00000000-0000-0000-0000-000000000000}"/>
  <bookViews>
    <workbookView xWindow="-28920" yWindow="-3900" windowWidth="29040" windowHeight="15840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'Centrum'!$A$1:$V$3</definedName>
    <definedName name="ExternalData_1" localSheetId="3" hidden="1">Курс!$A$5:$D$13</definedName>
    <definedName name="ExternalData_1" localSheetId="0" hidden="1">Лист1!$A$2:$Z$6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5" l="1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T4" i="5" l="1"/>
  <c r="B2" i="3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<sst xmlns="http://schemas.openxmlformats.org/spreadsheetml/2006/main" count="370" uniqueCount="135">
  <si>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</si>
  <si>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</si>
  <si>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</si>
  <si>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</si>
  <si>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</si>
  <si>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</si>
  <si>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</si>
  <si>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</si>
  <si>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</si>
  <si>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</si>
  <si>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</si>
  <si>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</si>
  <si>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</si>
  <si>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</si>
  <si>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</si>
  <si>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</si>
  <si>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</si>
  <si>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</si>
  <si>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</si>
  <si>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</si>
  <si>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</si>
  <si>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</si>
  <si>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</si>
  <si>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</si>
  <si>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</si>
  <si>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</si>
  <si>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</si>
  <si>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</si>
  <si>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</si>
  <si>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</si>
  <si>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</si>
  <si>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</si>
  <si>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</si>
  <si>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</si>
  <si>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</si>
  <si>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</si>
  <si>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</si>
  <si>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</si>
  <si>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</si>
  <si>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</si>
  <si>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</si>
  <si>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</si>
  <si>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</si>
  <si>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</si>
  <si>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</si>
  <si>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</si>
  <si>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</si>
  <si>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</si>
  <si>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</si>
  <si>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</si>
  <si>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</si>
  <si>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</si>
  <si>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</si>
  <si>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</si>
  <si>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</si>
  <si>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</si>
  <si>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</si>
  <si>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</si>
  <si>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</si>
  <si>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</si>
  <si>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</si>
  <si>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</si>
  <si>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</si>
  <si>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</si>
  <si>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</si>
  <si>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</si>
  <si>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</si>
  <si>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</si>
  <si>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</si>
  <si>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</si>
  <si>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</si>
  <si>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</si>
  <si>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</si>
  <si>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</si>
  <si>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</si>
  <si>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</si>
  <si>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</si>
  <si>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</si>
  <si>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</si>
  <si>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</si>
  <si>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</si>
  <si>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</si>
  <si>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</si>
  <si>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</si>
  <si>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</si>
  <si>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</si>
  <si>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</si>
  <si>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</si>
  <si>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</si>
  <si>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</si>
  <si>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</si>
  <si>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</si>
  <si>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</si>
  <si>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</si>
  <si>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</si>
  <si>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</si>
  <si>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</si>
  <si>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</si>
  <si>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</si>
  <si>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</si>
  <si>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</si>
  <si>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</si>
  <si>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</si>
  <si>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</si>
  <si>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</si>
  <si>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</si>
  <si>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</si>
  <si>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</si>
  <si>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</si>
  <si>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</si>
  <si>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</si>
  <si>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</si>
  <si>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</si>
  <si>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</si>
  <si>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GM KOREA COMPANY</t>
  </si>
  <si>
    <t>.</t>
  </si>
  <si>
    <t>UZL-UZA-01 от 01.08.2022г</t>
  </si>
  <si>
    <t>CNT-CKCN108-ZCH022.xls</t>
  </si>
  <si>
    <t>CN</t>
  </si>
  <si>
    <t>MSKU8505885</t>
  </si>
  <si>
    <t>Goodyear  Dalian  Tire  Co.  Ltd.</t>
  </si>
  <si>
    <t>CH2310121-3</t>
  </si>
  <si>
    <t>DALIAN-Tashkent D-D FCA</t>
  </si>
  <si>
    <t>TCR</t>
  </si>
  <si>
    <t>-</t>
  </si>
  <si>
    <t>0</t>
  </si>
  <si>
    <t>CNT-CKCN108-ZCH022</t>
  </si>
  <si>
    <t>KR</t>
  </si>
  <si>
    <t>CBHU8661689</t>
  </si>
  <si>
    <t>TJAUZ37600A01</t>
  </si>
  <si>
    <t>Incheon via TCR-Tashkent P-D FOB</t>
  </si>
  <si>
    <t>CRLKS23100137</t>
  </si>
  <si>
    <t>LYFRPTLFA230458</t>
  </si>
  <si>
    <t>CENTRUM AVIATION FZCO
Доп-4</t>
  </si>
  <si>
    <t>CENTRUM AVIATION FZCO
Доп-10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</si>
</sst>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6" tableType="queryTable" totalsRowShown="0" headerRowDxfId="91" dataDxfId="90" tableBorderDxfId="89">
  <autoFilter ref="A2:Z6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3" tableType="queryTable" totalsRowShown="0" headerRowDxfId="62" dataDxfId="61">
  <autoFilter ref="A1:V3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13" tableType="queryTable" totalsRowShown="0" headerRowDxfId="33">
  <autoFilter ref="A5:D13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9"/>
  <sheetViews>
    <sheetView tabSelected="1" topLeftCell="M1" workbookViewId="0">
      <selection activeCell="AA6" sqref="AA6"/>
    </sheetView>
  </sheetViews>
  <sheetFormatPr defaultRowHeight="15" x14ac:dyDescent="0.25"/>
  <cols>
    <col min="1" max="1" width="6.7109375" bestFit="1" customWidth="1"/>
    <col min="2" max="2" width="16.140625" customWidth="1"/>
    <col min="3" max="3" width="7.28515625" bestFit="1" customWidth="1"/>
    <col min="4" max="4" width="15.28515625" bestFit="1" customWidth="1"/>
    <col min="5" max="5" width="13.42578125" customWidth="1"/>
    <col min="6" max="6" width="19" customWidth="1"/>
    <col min="7" max="7" width="19.28515625" bestFit="1" customWidth="1"/>
    <col min="8" max="8" width="6.85546875" bestFit="1" customWidth="1"/>
    <col min="9" max="9" width="17.42578125" bestFit="1" customWidth="1"/>
    <col min="10" max="10" width="17" bestFit="1" customWidth="1"/>
    <col min="11" max="11" width="13.42578125" bestFit="1" customWidth="1"/>
    <col min="12" max="12" width="20.42578125" bestFit="1" customWidth="1"/>
    <col min="13" max="13" width="17.5703125" bestFit="1" customWidth="1"/>
    <col min="14" max="14" width="17.85546875" bestFit="1" customWidth="1"/>
    <col min="15" max="15" width="17.7109375" bestFit="1" customWidth="1"/>
    <col min="16" max="16" width="20.140625" bestFit="1" customWidth="1"/>
    <col min="17" max="17" width="16.42578125" bestFit="1" customWidth="1"/>
    <col min="18" max="18" width="15" bestFit="1" customWidth="1"/>
    <col min="19" max="19" width="17.42578125" bestFit="1" customWidth="1"/>
    <col min="20" max="20" width="18.42578125" bestFit="1" customWidth="1"/>
    <col min="21" max="21" width="17.28515625" bestFit="1" customWidth="1"/>
    <col min="22" max="22" width="15.140625" bestFit="1" customWidth="1"/>
    <col min="23" max="23" width="21.42578125" bestFit="1" customWidth="1"/>
    <col min="24" max="24" width="10.85546875" bestFit="1" customWidth="1"/>
    <col min="25" max="25" width="23.5703125" customWidth="1"/>
    <col min="26" max="26" width="17" bestFit="1" customWidth="1"/>
  </cols>
  <sheetData>
    <row r="1" spans="1:26" ht="61.5" x14ac:dyDescent="0.25">
      <c r="A1" s="53">
        <v>488</v>
      </c>
      <c r="B1" s="53"/>
      <c r="C1" s="53"/>
      <c r="D1" s="54" t="str">
        <f>Z5</f>
        <v>CNT-CKCN108-ZCH022</v>
      </c>
      <c r="E1" s="54"/>
      <c r="F1" s="54"/>
      <c r="G1" s="54"/>
      <c r="H1" s="55">
        <v>45264</v>
      </c>
      <c r="I1" s="55"/>
      <c r="J1" s="56" t="s">
        <v>116</v>
      </c>
      <c r="K1" s="57"/>
      <c r="L1" s="57"/>
      <c r="M1" s="58"/>
      <c r="N1" s="50" t="s">
        <v>0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</row>
    <row r="2" spans="1:26" x14ac:dyDescent="0.25">
      <c r="A2" s="27" t="s">
        <v>77</v>
      </c>
      <c r="B2" s="27" t="s">
        <v>78</v>
      </c>
      <c r="C2" s="27" t="s">
        <v>79</v>
      </c>
      <c r="D2" s="27" t="s">
        <v>80</v>
      </c>
      <c r="E2" s="27" t="s">
        <v>81</v>
      </c>
      <c r="F2" s="27" t="s">
        <v>82</v>
      </c>
      <c r="G2" s="27" t="s">
        <v>83</v>
      </c>
      <c r="H2" s="27" t="s">
        <v>84</v>
      </c>
      <c r="I2" s="27" t="s">
        <v>85</v>
      </c>
      <c r="J2" s="27" t="s">
        <v>86</v>
      </c>
      <c r="K2" s="27" t="s">
        <v>87</v>
      </c>
      <c r="L2" s="27" t="s">
        <v>88</v>
      </c>
      <c r="M2" s="27" t="s">
        <v>89</v>
      </c>
      <c r="N2" s="27" t="s">
        <v>90</v>
      </c>
      <c r="O2" s="27" t="s">
        <v>91</v>
      </c>
      <c r="P2" s="27" t="s">
        <v>92</v>
      </c>
      <c r="Q2" s="27" t="s">
        <v>93</v>
      </c>
      <c r="R2" s="27" t="s">
        <v>94</v>
      </c>
      <c r="S2" s="27" t="s">
        <v>95</v>
      </c>
      <c r="T2" s="27" t="s">
        <v>96</v>
      </c>
      <c r="U2" s="27" t="s">
        <v>97</v>
      </c>
      <c r="V2" s="27" t="s">
        <v>98</v>
      </c>
      <c r="W2" s="27" t="s">
        <v>99</v>
      </c>
      <c r="X2" s="27" t="s">
        <v>100</v>
      </c>
      <c r="Y2" s="27" t="s">
        <v>101</v>
      </c>
      <c r="Z2" s="27" t="s">
        <v>102</v>
      </c>
    </row>
    <row r="3" spans="1:26" s="36" customFormat="1" ht="60.75" x14ac:dyDescent="0.25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25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v>20050</v>
      </c>
      <c r="U4" s="40"/>
      <c r="V4" s="39"/>
      <c r="W4" s="39"/>
      <c r="X4" s="41"/>
      <c r="Y4" s="39">
        <v>246616804.5</v>
      </c>
      <c r="Z4" s="44"/>
    </row>
    <row r="5" spans="1:26" ht="36.75" x14ac:dyDescent="0.25">
      <c r="A5" s="44">
        <v>1</v>
      </c>
      <c r="B5" s="41" t="s">
        <v>133</v>
      </c>
      <c r="C5" s="41" t="s">
        <v>118</v>
      </c>
      <c r="D5" s="41" t="s">
        <v>119</v>
      </c>
      <c r="E5" s="41" t="s">
        <v>120</v>
      </c>
      <c r="F5" s="41" t="s">
        <v>121</v>
      </c>
      <c r="G5" s="38">
        <v>54200.2</v>
      </c>
      <c r="H5" s="45" t="s">
        <v>40</v>
      </c>
      <c r="I5" s="37">
        <v>53.48</v>
      </c>
      <c r="J5" s="39">
        <v>8085</v>
      </c>
      <c r="K5" s="46" t="s">
        <v>123</v>
      </c>
      <c r="L5" s="41" t="s">
        <v>122</v>
      </c>
      <c r="M5" s="41" t="s">
        <v>124</v>
      </c>
      <c r="N5" s="41" t="s">
        <v>124</v>
      </c>
      <c r="O5" s="40">
        <v>45223</v>
      </c>
      <c r="P5" s="40">
        <v>45257</v>
      </c>
      <c r="Q5" s="45" t="s">
        <v>45</v>
      </c>
      <c r="R5" s="39">
        <v>10950</v>
      </c>
      <c r="S5" s="39">
        <v>0</v>
      </c>
      <c r="T5" s="39">
        <v>10950</v>
      </c>
      <c r="U5" s="40">
        <v>45264</v>
      </c>
      <c r="V5" s="39">
        <v>12300.09</v>
      </c>
      <c r="W5" s="39">
        <v>134685985.5</v>
      </c>
      <c r="X5" s="41"/>
      <c r="Y5" s="39">
        <v>134685985.5</v>
      </c>
      <c r="Z5" s="44" t="s">
        <v>126</v>
      </c>
    </row>
    <row r="6" spans="1:26" s="4" customFormat="1" ht="36.75" x14ac:dyDescent="0.25">
      <c r="A6" s="44">
        <v>2</v>
      </c>
      <c r="B6" s="41" t="s">
        <v>134</v>
      </c>
      <c r="C6" s="41" t="s">
        <v>127</v>
      </c>
      <c r="D6" s="41" t="s">
        <v>128</v>
      </c>
      <c r="E6" s="41" t="s">
        <v>114</v>
      </c>
      <c r="F6" s="41" t="s">
        <v>129</v>
      </c>
      <c r="G6" s="38">
        <v>48096.959999999999</v>
      </c>
      <c r="H6" s="45" t="s">
        <v>40</v>
      </c>
      <c r="I6" s="37">
        <v>67.25</v>
      </c>
      <c r="J6" s="39">
        <v>11335</v>
      </c>
      <c r="K6" s="46" t="s">
        <v>123</v>
      </c>
      <c r="L6" s="41" t="s">
        <v>130</v>
      </c>
      <c r="M6" s="41" t="s">
        <v>131</v>
      </c>
      <c r="N6" s="41" t="s">
        <v>132</v>
      </c>
      <c r="O6" s="40">
        <v>45229</v>
      </c>
      <c r="P6" s="40">
        <v>45256</v>
      </c>
      <c r="Q6" s="45" t="s">
        <v>45</v>
      </c>
      <c r="R6" s="39">
        <v>9100</v>
      </c>
      <c r="S6" s="39">
        <v>0</v>
      </c>
      <c r="T6" s="39">
        <v>9100</v>
      </c>
      <c r="U6" s="40">
        <v>45264</v>
      </c>
      <c r="V6" s="39">
        <v>12300.09</v>
      </c>
      <c r="W6" s="39">
        <v>111930819</v>
      </c>
      <c r="X6" s="41"/>
      <c r="Y6" s="39">
        <v>111930819</v>
      </c>
      <c r="Z6" s="44" t="s">
        <v>126</v>
      </c>
    </row>
    <row r="7" spans="1:26" s="4" customFormat="1" x14ac:dyDescent="0.25"/>
    <row r="8" spans="1:26" s="4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s="4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4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s="4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s="4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4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4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4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4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4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4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4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4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4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4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4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4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4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4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4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4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s="4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s="4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s="4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s="4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s="4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s="4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4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4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s="4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s="4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s="4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4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4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4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4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4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4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4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4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4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4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4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4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4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4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4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4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4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4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4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4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4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4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4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4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4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4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s="4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110" spans="1:26" s="4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4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4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4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4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s="4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s="4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s="4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s="4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s="4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5546875" defaultRowHeight="15" x14ac:dyDescent="0.25"/>
  <cols>
    <col min="1" max="1" width="21.7109375" style="28" customWidth="1"/>
    <col min="2" max="2" width="23.7109375" style="28" customWidth="1"/>
    <col min="3" max="16384" width="8.85546875" style="28"/>
  </cols>
  <sheetData>
    <row r="1" spans="1:2" ht="24" customHeight="1" x14ac:dyDescent="0.25">
      <c r="A1" s="29" t="s">
        <v>46</v>
      </c>
      <c r="B1" s="30" t="str" cm="1">
        <f t="array" aca="1" ref="B1" ca="1">CELL("имяфайла")</f>
        <v>C:\Users\a.inoyatov\Desktop\[CNT-CKCN108-ZCH022 GM.xlsx]Лист1</v>
      </c>
    </row>
    <row r="2" spans="1:2" ht="24" customHeight="1" x14ac:dyDescent="0.25">
      <c r="A2" s="29" t="s">
        <v>74</v>
      </c>
      <c r="B2" s="31" t="str">
        <f ca="1">LEFT(B1,SEARCH("[",B1,1)-1)&amp;B3</f>
        <v>C:\Users\a.inoyatov\Desktop\CNT-CKCN108-ZCH022.xls</v>
      </c>
    </row>
    <row r="3" spans="1:2" ht="24" customHeight="1" x14ac:dyDescent="0.25">
      <c r="A3" s="29" t="s">
        <v>73</v>
      </c>
      <c r="B3" s="32" t="s">
        <v>117</v>
      </c>
    </row>
    <row r="4" spans="1:2" ht="31.9" customHeight="1" x14ac:dyDescent="0.25">
      <c r="A4" s="42" t="s">
        <v>103</v>
      </c>
      <c r="B4" s="43" t="str">
        <f ca="1">LEFT(B1,SEARCH("[",B1,1)-1)&amp;"Справочник курсов.xlsx"</f>
        <v>C:\Users\a.inoyatov\Desktop\Справочник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3"/>
  <sheetViews>
    <sheetView topLeftCell="F1" workbookViewId="0">
      <selection activeCell="K11" sqref="K11"/>
    </sheetView>
  </sheetViews>
  <sheetFormatPr defaultColWidth="8.85546875" defaultRowHeight="12.75" x14ac:dyDescent="0.2"/>
  <cols>
    <col min="1" max="1" width="20.570312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28515625" style="9" bestFit="1" customWidth="1"/>
    <col min="11" max="11" width="21.7109375" style="9" bestFit="1" customWidth="1"/>
    <col min="12" max="12" width="21" style="9" bestFit="1" customWidth="1"/>
    <col min="13" max="13" width="31.28515625" style="9" bestFit="1" customWidth="1"/>
    <col min="14" max="14" width="27.28515625" style="9" bestFit="1" customWidth="1"/>
    <col min="15" max="15" width="22.140625" style="9" bestFit="1" customWidth="1"/>
    <col min="16" max="16" width="35.85546875" style="9" bestFit="1" customWidth="1"/>
    <col min="17" max="17" width="35.42578125" style="9" bestFit="1" customWidth="1"/>
    <col min="18" max="18" width="27.85546875" style="9" bestFit="1" customWidth="1"/>
    <col min="19" max="19" width="27.28515625" style="9" bestFit="1" customWidth="1"/>
    <col min="20" max="20" width="25" style="9" bestFit="1" customWidth="1"/>
    <col min="21" max="21" width="24.42578125" style="9" bestFit="1" customWidth="1"/>
    <col min="22" max="22" width="22.7109375" style="9" bestFit="1" customWidth="1"/>
    <col min="23" max="23" width="18.7109375" style="9" bestFit="1" customWidth="1"/>
    <col min="24" max="24" width="9.7109375" style="9" bestFit="1" customWidth="1"/>
    <col min="25" max="25" width="15.140625" style="9" bestFit="1" customWidth="1"/>
    <col min="26" max="26" width="27.42578125" style="9" bestFit="1" customWidth="1"/>
    <col min="27" max="27" width="80.85546875" style="9" bestFit="1" customWidth="1"/>
    <col min="28" max="48" width="19.28515625" style="9" customWidth="1"/>
    <col min="49" max="16384" width="8.85546875" style="9"/>
  </cols>
  <sheetData>
    <row r="1" spans="1:22" s="18" customFormat="1" ht="40.15" customHeight="1" x14ac:dyDescent="0.2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75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</row>
    <row r="2" spans="1:22" ht="15" x14ac:dyDescent="0.25">
      <c r="A2" s="10" t="s">
        <v>44</v>
      </c>
      <c r="B2" s="10" t="s">
        <v>118</v>
      </c>
      <c r="C2" s="10"/>
      <c r="D2" s="10" t="s">
        <v>119</v>
      </c>
      <c r="E2" s="10" t="s">
        <v>120</v>
      </c>
      <c r="F2" s="10" t="s">
        <v>121</v>
      </c>
      <c r="G2" s="7" t="s">
        <v>122</v>
      </c>
      <c r="H2" s="10"/>
      <c r="I2" s="10" t="s">
        <v>123</v>
      </c>
      <c r="J2" s="10" t="s">
        <v>124</v>
      </c>
      <c r="K2" s="10" t="s">
        <v>124</v>
      </c>
      <c r="L2" s="47">
        <v>45223</v>
      </c>
      <c r="M2" s="47">
        <v>45257</v>
      </c>
      <c r="N2" s="19">
        <v>53.48</v>
      </c>
      <c r="O2" s="19">
        <v>8085</v>
      </c>
      <c r="P2" s="19">
        <v>10950</v>
      </c>
      <c r="Q2" s="19" t="s">
        <v>125</v>
      </c>
      <c r="R2" s="19">
        <v>10950</v>
      </c>
      <c r="S2" s="10" t="s">
        <v>45</v>
      </c>
      <c r="T2" s="19">
        <v>54200.2</v>
      </c>
      <c r="U2" s="10" t="s">
        <v>126</v>
      </c>
      <c r="V2" s="9">
        <v>1</v>
      </c>
    </row>
    <row r="3" spans="1:22" ht="15" x14ac:dyDescent="0.25">
      <c r="A3" s="10" t="s">
        <v>44</v>
      </c>
      <c r="B3" s="10" t="s">
        <v>127</v>
      </c>
      <c r="C3" s="10"/>
      <c r="D3" s="10" t="s">
        <v>128</v>
      </c>
      <c r="E3" s="10" t="s">
        <v>114</v>
      </c>
      <c r="F3" s="10" t="s">
        <v>129</v>
      </c>
      <c r="G3" s="7" t="s">
        <v>130</v>
      </c>
      <c r="H3" s="10"/>
      <c r="I3" s="10" t="s">
        <v>123</v>
      </c>
      <c r="J3" s="10" t="s">
        <v>131</v>
      </c>
      <c r="K3" s="10" t="s">
        <v>132</v>
      </c>
      <c r="L3" s="47">
        <v>45229</v>
      </c>
      <c r="M3" s="47">
        <v>45256</v>
      </c>
      <c r="N3" s="19">
        <v>67.25</v>
      </c>
      <c r="O3" s="19">
        <v>11335</v>
      </c>
      <c r="P3" s="19">
        <v>9100</v>
      </c>
      <c r="Q3" s="19" t="s">
        <v>125</v>
      </c>
      <c r="R3" s="19">
        <v>9100</v>
      </c>
      <c r="S3" s="10" t="s">
        <v>45</v>
      </c>
      <c r="T3" s="19">
        <v>48096.959999999999</v>
      </c>
      <c r="U3" s="10" t="s">
        <v>126</v>
      </c>
      <c r="V3" s="9">
        <v>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13"/>
  <sheetViews>
    <sheetView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7.42578125" style="4" bestFit="1" customWidth="1"/>
    <col min="4" max="4" width="24.7109375" style="4" bestFit="1" customWidth="1"/>
    <col min="5" max="5" width="14.28515625" customWidth="1"/>
    <col min="6" max="6" width="24" bestFit="1" customWidth="1"/>
    <col min="7" max="7" width="13.42578125" customWidth="1"/>
  </cols>
  <sheetData>
    <row r="1" spans="1:5" s="23" customFormat="1" ht="55.5" x14ac:dyDescent="0.25">
      <c r="A1" s="23" t="s">
        <v>104</v>
      </c>
      <c r="B1" s="23" t="s">
        <v>68</v>
      </c>
      <c r="C1" s="23" t="s">
        <v>69</v>
      </c>
      <c r="D1" s="23" t="s">
        <v>113</v>
      </c>
      <c r="E1" s="23" t="s">
        <v>8</v>
      </c>
    </row>
    <row r="2" spans="1:5" ht="15.75" x14ac:dyDescent="0.25">
      <c r="A2" s="22">
        <f>MIN(Centrum[Date of arrival to Sary-Agach/ Дата прибытия на Сары-Агач])</f>
        <v>45256</v>
      </c>
      <c r="B2" s="22">
        <f>MAX(Centrum[Date of arrival to Sary-Agach/ Дата прибытия на Сары-Агач])</f>
        <v>45257</v>
      </c>
      <c r="C2" s="22">
        <f ca="1">IF(WORKDAY(A2,15)&gt;=TODAY(),TODAY(),WORKDAY(A2,15))</f>
        <v>45265</v>
      </c>
      <c r="D2" s="48">
        <v>45264</v>
      </c>
      <c r="E2" s="13" t="s">
        <v>40</v>
      </c>
    </row>
    <row r="4" spans="1:5" ht="36" customHeight="1" x14ac:dyDescent="0.25">
      <c r="A4" s="33" t="str">
        <f>IF(B13="","Обновите курсы валюты в Справочнике","")</f>
        <v/>
      </c>
    </row>
    <row r="5" spans="1:5" s="25" customFormat="1" x14ac:dyDescent="0.25">
      <c r="A5" s="25" t="s">
        <v>70</v>
      </c>
      <c r="B5" s="25" t="s">
        <v>71</v>
      </c>
      <c r="C5" s="25" t="s">
        <v>111</v>
      </c>
      <c r="D5" s="23" t="s">
        <v>72</v>
      </c>
    </row>
    <row r="6" spans="1:5" x14ac:dyDescent="0.25">
      <c r="A6" s="24" t="s">
        <v>105</v>
      </c>
      <c r="B6" s="8">
        <v>45257</v>
      </c>
      <c r="C6" s="49">
        <v>12296.16</v>
      </c>
    </row>
    <row r="7" spans="1:5" x14ac:dyDescent="0.25">
      <c r="A7" s="24" t="s">
        <v>76</v>
      </c>
      <c r="B7" s="8">
        <v>45258</v>
      </c>
      <c r="C7" s="49">
        <v>12310.04</v>
      </c>
    </row>
    <row r="8" spans="1:5" x14ac:dyDescent="0.25">
      <c r="A8" s="24" t="s">
        <v>106</v>
      </c>
      <c r="B8" s="8">
        <v>45259</v>
      </c>
      <c r="C8" s="49">
        <v>12315</v>
      </c>
      <c r="D8" s="4" t="s">
        <v>112</v>
      </c>
    </row>
    <row r="9" spans="1:5" x14ac:dyDescent="0.25">
      <c r="A9" s="24" t="s">
        <v>107</v>
      </c>
      <c r="B9" s="8">
        <v>45260</v>
      </c>
      <c r="C9" s="49">
        <v>12297.88</v>
      </c>
    </row>
    <row r="10" spans="1:5" x14ac:dyDescent="0.25">
      <c r="A10" s="24" t="s">
        <v>108</v>
      </c>
      <c r="B10" s="8">
        <v>45261</v>
      </c>
      <c r="C10" s="49">
        <v>12280.01</v>
      </c>
    </row>
    <row r="11" spans="1:5" x14ac:dyDescent="0.25">
      <c r="A11" s="24" t="s">
        <v>109</v>
      </c>
      <c r="B11" s="8">
        <v>45262</v>
      </c>
      <c r="C11" s="49">
        <v>12280.01</v>
      </c>
    </row>
    <row r="12" spans="1:5" x14ac:dyDescent="0.25">
      <c r="A12" s="24" t="s">
        <v>110</v>
      </c>
      <c r="B12" s="8">
        <v>45263</v>
      </c>
      <c r="C12" s="49">
        <v>12280.01</v>
      </c>
    </row>
    <row r="13" spans="1:5" x14ac:dyDescent="0.25">
      <c r="A13" s="24" t="s">
        <v>105</v>
      </c>
      <c r="B13" s="8">
        <v>45264</v>
      </c>
      <c r="C13" s="49">
        <v>12300.09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5" x14ac:dyDescent="0.25"/>
  <cols>
    <col min="1" max="1" width="9.140625" customWidth="1"/>
    <col min="2" max="5" width="10.85546875" customWidth="1"/>
    <col min="6" max="6" width="16.28515625" customWidth="1"/>
    <col min="7" max="11" width="10.85546875" customWidth="1"/>
    <col min="12" max="12" width="16.5703125" customWidth="1"/>
    <col min="13" max="18" width="10.85546875" customWidth="1"/>
    <col min="19" max="19" width="16.28515625" customWidth="1"/>
    <col min="20" max="20" width="18.7109375" customWidth="1"/>
    <col min="21" max="22" width="10.85546875" customWidth="1"/>
    <col min="23" max="23" width="15.28515625" customWidth="1"/>
    <col min="24" max="24" width="10.85546875" customWidth="1"/>
    <col min="25" max="25" width="22.140625" customWidth="1"/>
    <col min="26" max="26" width="19" style="13" customWidth="1"/>
  </cols>
  <sheetData>
    <row r="1" spans="1:26" ht="61.5" x14ac:dyDescent="0.25">
      <c r="A1" s="59">
        <v>488</v>
      </c>
      <c r="B1" s="59"/>
      <c r="C1" s="59"/>
      <c r="D1" s="60"/>
      <c r="E1" s="60"/>
      <c r="F1" s="60"/>
      <c r="G1" s="60"/>
      <c r="H1" s="61" t="s">
        <v>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3"/>
    </row>
    <row r="2" spans="1:26" x14ac:dyDescent="0.25">
      <c r="A2" s="20" t="s">
        <v>77</v>
      </c>
      <c r="B2" s="20" t="s">
        <v>78</v>
      </c>
      <c r="C2" s="20" t="s">
        <v>79</v>
      </c>
      <c r="D2" s="20" t="s">
        <v>80</v>
      </c>
      <c r="E2" s="20" t="s">
        <v>81</v>
      </c>
      <c r="F2" s="20" t="s">
        <v>82</v>
      </c>
      <c r="G2" s="20" t="s">
        <v>83</v>
      </c>
      <c r="H2" s="20" t="s">
        <v>84</v>
      </c>
      <c r="I2" s="20" t="s">
        <v>85</v>
      </c>
      <c r="J2" s="20" t="s">
        <v>86</v>
      </c>
      <c r="K2" s="20" t="s">
        <v>87</v>
      </c>
      <c r="L2" s="20" t="s">
        <v>88</v>
      </c>
      <c r="M2" s="20" t="s">
        <v>89</v>
      </c>
      <c r="N2" s="20" t="s">
        <v>90</v>
      </c>
      <c r="O2" s="20" t="s">
        <v>91</v>
      </c>
      <c r="P2" s="20" t="s">
        <v>92</v>
      </c>
      <c r="Q2" s="20" t="s">
        <v>93</v>
      </c>
      <c r="R2" s="20" t="s">
        <v>94</v>
      </c>
      <c r="S2" s="20" t="s">
        <v>95</v>
      </c>
      <c r="T2" s="20" t="s">
        <v>96</v>
      </c>
      <c r="U2" s="20" t="s">
        <v>97</v>
      </c>
      <c r="V2" s="20" t="s">
        <v>98</v>
      </c>
      <c r="W2" s="20" t="s">
        <v>99</v>
      </c>
      <c r="X2" s="20" t="s">
        <v>100</v>
      </c>
      <c r="Y2" s="20" t="s">
        <v>101</v>
      </c>
      <c r="Z2" s="20" t="s">
        <v>102</v>
      </c>
    </row>
    <row r="3" spans="1:26" ht="120" x14ac:dyDescent="0.25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25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20050</v>
      </c>
      <c r="U4" s="3"/>
      <c r="V4" s="26"/>
      <c r="W4" s="26"/>
      <c r="X4" s="5"/>
      <c r="Y4" s="6">
        <f>SUM(Y5:Y1048576)</f>
        <v>246616804.5</v>
      </c>
      <c r="Z4" s="3" t="s">
        <v>115</v>
      </c>
    </row>
    <row r="5" spans="1:26" s="11" customFormat="1" x14ac:dyDescent="0.25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CN</v>
      </c>
      <c r="D5" s="11" t="str">
        <f>_xlfn.XLOOKUP($A5,Centrum[Индекс],Centrum[Container num./ 
№ контейнера],"",0,1)</f>
        <v>MSKU8505885</v>
      </c>
      <c r="E5" s="11" t="str">
        <f>_xlfn.XLOOKUP($A5,Centrum[Индекс],Centrum[Supplier/
Поставщик],"",0,1)</f>
        <v>Goodyear  Dalian  Tire  Co.  Ltd.</v>
      </c>
      <c r="F5" s="11" t="str">
        <f>_xlfn.XLOOKUP($A5,Centrum[Индекс],Centrum[Shippers invoice no/ 
Номер инвойса поставщика],"",1)</f>
        <v>CH2310121-3</v>
      </c>
      <c r="G5" s="15">
        <f>_xlfn.XLOOKUP($A5,Centrum[Индекс],Centrum[Invoice value / Стоимость груза в к-ре по инвойсу],"",0,1)</f>
        <v>54200.2</v>
      </c>
      <c r="H5" s="14" t="s">
        <v>40</v>
      </c>
      <c r="I5" s="11">
        <f>_xlfn.XLOOKUP($A5,Centrum[Индекс],Centrum[CBM on the shipper/ 
CBM по поставщику],"",0,1)</f>
        <v>53.48</v>
      </c>
      <c r="J5" s="16">
        <f>_xlfn.XLOOKUP($A5,Centrum[Индекс],Centrum[Gross weight of cont// 
Гросс.вес по конт.],"",0,1)</f>
        <v>8085</v>
      </c>
      <c r="K5" s="17" t="str">
        <f>_xlfn.XLOOKUP($A5,Centrum[Индекс],Centrum[Route/ Маршрут (TSR/TCR)],"",0,1)</f>
        <v>TCR</v>
      </c>
      <c r="L5" s="11" t="str">
        <f>_xlfn.XLOOKUP($A5,Centrum[Индекс],Centrum[Условия поставки],"",0,1)</f>
        <v>DALIAN-Tashkent D-D FCA</v>
      </c>
      <c r="M5" s="11" t="str">
        <f>_xlfn.XLOOKUP($A5,Centrum[Индекс],Centrum[№ HBL date / 
№/ дата коносамента],"",0,1)</f>
        <v>-</v>
      </c>
      <c r="N5" s="11" t="str">
        <f>_xlfn.XLOOKUP($A5,Centrum[Индекс],Centrum[№ MBL / 
№/ коносамента],"",0,1)</f>
        <v>-</v>
      </c>
      <c r="O5" s="8">
        <f>(_xlfn.XLOOKUP($A5,Centrum[Индекс],Centrum[Date on board / Дата погрузки на судно],"",0,1))*1</f>
        <v>45223</v>
      </c>
      <c r="P5" s="8">
        <f>(_xlfn.XLOOKUP($A5,Centrum[Индекс],Centrum[Date of arrival to Sary-Agach/ Дата прибытия на Сары-Агач],"",0,1))*1</f>
        <v>45257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10950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10950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5" s="16">
        <f>_xlfn.XLOOKUP(Шаблон_Формулы[[#This Row],[21]],Курс_USD[Дата],Курс_USD[Курс],,0,1)</f>
        <v>12300.09</v>
      </c>
      <c r="W5" s="16">
        <f>Шаблон_Формулы!$T5*Шаблон_Формулы!$V5</f>
        <v>134685985.5</v>
      </c>
      <c r="Y5" s="16">
        <f>Шаблон_Формулы!$W5+Шаблон_Формулы!$X5</f>
        <v>134685985.5</v>
      </c>
      <c r="Z5" s="14" t="str">
        <f>_xlfn.XLOOKUP($A5,Centrum[Индекс],Centrum[Transport co invoice no/ 
Номер инвойса ТК],"",0,1)</f>
        <v>CNT-CKCN108-ZCH022</v>
      </c>
    </row>
    <row r="6" spans="1:26" s="11" customFormat="1" x14ac:dyDescent="0.25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KR</v>
      </c>
      <c r="D6" s="11" t="str">
        <f>_xlfn.XLOOKUP($A6,Centrum[Индекс],Centrum[Container num./ 
№ контейнера],"",0,1)</f>
        <v>CBHU8661689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TJAUZ37600A01</v>
      </c>
      <c r="G6" s="15">
        <f>_xlfn.XLOOKUP($A6,Centrum[Индекс],Centrum[Invoice value / Стоимость груза в к-ре по инвойсу],"",0,1)</f>
        <v>48096.959999999999</v>
      </c>
      <c r="H6" s="14" t="s">
        <v>40</v>
      </c>
      <c r="I6" s="11">
        <f>_xlfn.XLOOKUP($A6,Centrum[Индекс],Centrum[CBM on the shipper/ 
CBM по поставщику],"",0,1)</f>
        <v>67.25</v>
      </c>
      <c r="J6" s="16">
        <f>_xlfn.XLOOKUP($A6,Centrum[Индекс],Centrum[Gross weight of cont// 
Гросс.вес по конт.],"",0,1)</f>
        <v>11335</v>
      </c>
      <c r="K6" s="17" t="str">
        <f>_xlfn.XLOOKUP($A6,Centrum[Индекс],Centrum[Route/ Маршрут (TSR/TCR)],"",0,1)</f>
        <v>TCR</v>
      </c>
      <c r="L6" s="11" t="str">
        <f>_xlfn.XLOOKUP($A6,Centrum[Индекс],Centrum[Условия поставки],"",0,1)</f>
        <v>Incheon via TCR-Tashkent P-D FOB</v>
      </c>
      <c r="M6" s="11" t="str">
        <f>_xlfn.XLOOKUP($A6,Centrum[Индекс],Centrum[№ HBL date / 
№/ дата коносамента],"",0,1)</f>
        <v>CRLKS23100137</v>
      </c>
      <c r="N6" s="11" t="str">
        <f>_xlfn.XLOOKUP($A6,Centrum[Индекс],Centrum[№ MBL / 
№/ коносамента],"",0,1)</f>
        <v>LYFRPTLFA230458</v>
      </c>
      <c r="O6" s="8">
        <f>(_xlfn.XLOOKUP($A6,Centrum[Индекс],Centrum[Date on board / Дата погрузки на судно],"",0,1))*1</f>
        <v>45229</v>
      </c>
      <c r="P6" s="8">
        <f>(_xlfn.XLOOKUP($A6,Centrum[Индекс],Centrum[Date of arrival to Sary-Agach/ Дата прибытия на Сары-Агач],"",0,1))*1</f>
        <v>45256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9100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9100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6" s="16">
        <f>_xlfn.XLOOKUP(Шаблон_Формулы[[#This Row],[21]],Курс_USD[Дата],Курс_USD[Курс],,0,1)</f>
        <v>12300.09</v>
      </c>
      <c r="W6" s="16">
        <f>Шаблон_Формулы!$T6*Шаблон_Формулы!$V6</f>
        <v>111930819</v>
      </c>
      <c r="Y6" s="16">
        <f>Шаблон_Формулы!$W6+Шаблон_Формулы!$X6</f>
        <v>111930819</v>
      </c>
      <c r="Z6" s="14" t="str">
        <f>_xlfn.XLOOKUP($A6,Centrum[Индекс],Centrum[Transport co invoice no/ 
Номер инвойса ТК],"",0,1)</f>
        <v>CNT-CKCN108-ZCH022</v>
      </c>
    </row>
    <row r="7" spans="1:26" s="11" customFormat="1" x14ac:dyDescent="0.25">
      <c r="A7" s="14">
        <v>3</v>
      </c>
      <c r="B7" s="11" t="str">
        <f>_xlfn.XLOOKUP($A7,Centrum[Индекс],Centrum[Carrier/ Перевозчик],"",0,1)</f>
        <v/>
      </c>
      <c r="C7" s="11" t="str">
        <f>_xlfn.XLOOKUP($A7,Centrum[Индекс],Centrum[Country /  Страна],"",0,1)</f>
        <v/>
      </c>
      <c r="D7" s="11" t="str">
        <f>_xlfn.XLOOKUP($A7,Centrum[Индекс],Centrum[Container num./ 
№ контейнера],"",0,1)</f>
        <v/>
      </c>
      <c r="E7" s="11" t="str">
        <f>_xlfn.XLOOKUP($A7,Centrum[Индекс],Centrum[Supplier/
Поставщик],"",0,1)</f>
        <v/>
      </c>
      <c r="F7" s="11" t="str">
        <f>_xlfn.XLOOKUP($A7,Centrum[Индекс],Centrum[Shippers invoice no/ 
Номер инвойса поставщика],"",1)</f>
        <v/>
      </c>
      <c r="G7" s="15" t="str">
        <f>_xlfn.XLOOKUP($A7,Centrum[Индекс],Centrum[Invoice value / Стоимость груза в к-ре по инвойсу],"",0,1)</f>
        <v/>
      </c>
      <c r="H7" s="14" t="s">
        <v>40</v>
      </c>
      <c r="I7" s="11" t="str">
        <f>_xlfn.XLOOKUP($A7,Centrum[Индекс],Centrum[CBM on the shipper/ 
CBM по поставщику],"",0,1)</f>
        <v/>
      </c>
      <c r="J7" s="16" t="str">
        <f>_xlfn.XLOOKUP($A7,Centrum[Индекс],Centrum[Gross weight of cont// 
Гросс.вес по конт.],"",0,1)</f>
        <v/>
      </c>
      <c r="K7" s="17" t="str">
        <f>_xlfn.XLOOKUP($A7,Centrum[Индекс],Centrum[Route/ Маршрут (TSR/TCR)],"",0,1)</f>
        <v/>
      </c>
      <c r="L7" s="11" t="str">
        <f>_xlfn.XLOOKUP($A7,Centrum[Индекс],Centrum[Условия поставки],"",0,1)</f>
        <v/>
      </c>
      <c r="M7" s="11" t="str">
        <f>_xlfn.XLOOKUP($A7,Centrum[Индекс],Centrum[№ HBL date / 
№/ дата коносамента],"",0,1)</f>
        <v/>
      </c>
      <c r="N7" s="11" t="str">
        <f>_xlfn.XLOOKUP($A7,Centrum[Индекс],Centrum[№ MBL / 
№/ коносамента],"",0,1)</f>
        <v/>
      </c>
      <c r="O7" s="8" t="e">
        <f>(_xlfn.XLOOKUP($A7,Centrum[Индекс],Centrum[Date on board / Дата погрузки на судно],"",0,1))*1</f>
        <v>#VALUE!</v>
      </c>
      <c r="P7" s="8" t="e">
        <f>(_xlfn.XLOOKUP($A7,Centrum[Индекс],Centrum[Date of arrival to Sary-Agach/ Дата прибытия на Сары-Агач],"",0,1))*1</f>
        <v>#VALUE!</v>
      </c>
      <c r="Q7" s="14" t="str">
        <f>_xlfn.XLOOKUP($A7,Centrum[Индекс],Centrum[Container type/ 
Тип контейнера],"",0,1)</f>
        <v/>
      </c>
      <c r="R7" s="16">
        <f>_xlfn.XLOOKUP($A7,Centrum[Индекс],Centrum[Transportation cost per supplier/ 
Cтоимость перевозки по поставщикам],0,0,1)</f>
        <v>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7" s="16">
        <f>_xlfn.XLOOKUP(Шаблон_Формулы[[#This Row],[21]],Курс_USD[Дата],Курс_USD[Курс],,0,1)</f>
        <v>12300.09</v>
      </c>
      <c r="W7" s="16">
        <f>Шаблон_Формулы!$T7*Шаблон_Формулы!$V7</f>
        <v>0</v>
      </c>
      <c r="Y7" s="16">
        <f>Шаблон_Формулы!$W7+Шаблон_Формулы!$X7</f>
        <v>0</v>
      </c>
      <c r="Z7" s="14" t="str">
        <f>_xlfn.XLOOKUP($A7,Centrum[Индекс],Centrum[Transport co invoice no/ 
Номер инвойса ТК],"",0,1)</f>
        <v/>
      </c>
    </row>
    <row r="8" spans="1:26" s="11" customFormat="1" x14ac:dyDescent="0.25">
      <c r="A8" s="14">
        <v>4</v>
      </c>
      <c r="B8" s="11" t="str">
        <f>_xlfn.XLOOKUP($A8,Centrum[Индекс],Centrum[Carrier/ Перевозчик],"",0,1)</f>
        <v/>
      </c>
      <c r="C8" s="11" t="str">
        <f>_xlfn.XLOOKUP($A8,Centrum[Индекс],Centrum[Country /  Страна],"",0,1)</f>
        <v/>
      </c>
      <c r="D8" s="11" t="str">
        <f>_xlfn.XLOOKUP($A8,Centrum[Индекс],Centrum[Container num./ 
№ контейнера],"",0,1)</f>
        <v/>
      </c>
      <c r="E8" s="11" t="str">
        <f>_xlfn.XLOOKUP($A8,Centrum[Индекс],Centrum[Supplier/
Поставщик],"",0,1)</f>
        <v/>
      </c>
      <c r="F8" s="11" t="str">
        <f>_xlfn.XLOOKUP($A8,Centrum[Индекс],Centrum[Shippers invoice no/ 
Номер инвойса поставщика],"",1)</f>
        <v/>
      </c>
      <c r="G8" s="15" t="str">
        <f>_xlfn.XLOOKUP($A8,Centrum[Индекс],Centrum[Invoice value / Стоимость груза в к-ре по инвойсу],"",0,1)</f>
        <v/>
      </c>
      <c r="H8" s="14" t="s">
        <v>40</v>
      </c>
      <c r="I8" s="11" t="str">
        <f>_xlfn.XLOOKUP($A8,Centrum[Индекс],Centrum[CBM on the shipper/ 
CBM по поставщику],"",0,1)</f>
        <v/>
      </c>
      <c r="J8" s="16" t="str">
        <f>_xlfn.XLOOKUP($A8,Centrum[Индекс],Centrum[Gross weight of cont// 
Гросс.вес по конт.],"",0,1)</f>
        <v/>
      </c>
      <c r="K8" s="17" t="str">
        <f>_xlfn.XLOOKUP($A8,Centrum[Индекс],Centrum[Route/ Маршрут (TSR/TCR)],"",0,1)</f>
        <v/>
      </c>
      <c r="L8" s="11" t="str">
        <f>_xlfn.XLOOKUP($A8,Centrum[Индекс],Centrum[Условия поставки],"",0,1)</f>
        <v/>
      </c>
      <c r="M8" s="11" t="str">
        <f>_xlfn.XLOOKUP($A8,Centrum[Индекс],Centrum[№ HBL date / 
№/ дата коносамента],"",0,1)</f>
        <v/>
      </c>
      <c r="N8" s="11" t="str">
        <f>_xlfn.XLOOKUP($A8,Centrum[Индекс],Centrum[№ MBL / 
№/ коносамента],"",0,1)</f>
        <v/>
      </c>
      <c r="O8" s="8" t="e">
        <f>(_xlfn.XLOOKUP($A8,Centrum[Индекс],Centrum[Date on board / Дата погрузки на судно],"",0,1))*1</f>
        <v>#VALUE!</v>
      </c>
      <c r="P8" s="8" t="e">
        <f>(_xlfn.XLOOKUP($A8,Centrum[Индекс],Centrum[Date of arrival to Sary-Agach/ Дата прибытия на Сары-Агач],"",0,1))*1</f>
        <v>#VALUE!</v>
      </c>
      <c r="Q8" s="14" t="str">
        <f>_xlfn.XLOOKUP($A8,Centrum[Индекс],Centrum[Container type/ 
Тип контейнера],"",0,1)</f>
        <v/>
      </c>
      <c r="R8" s="16">
        <f>_xlfn.XLOOKUP($A8,Centrum[Индекс],Centrum[Transportation cost per supplier/ 
Cтоимость перевозки по поставщикам],0,0,1)</f>
        <v>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8" s="16">
        <f>_xlfn.XLOOKUP(Шаблон_Формулы[[#This Row],[21]],Курс_USD[Дата],Курс_USD[Курс],,0,1)</f>
        <v>12300.09</v>
      </c>
      <c r="W8" s="16">
        <f>Шаблон_Формулы!$T8*Шаблон_Формулы!$V8</f>
        <v>0</v>
      </c>
      <c r="Y8" s="16">
        <f>Шаблон_Формулы!$W8+Шаблон_Формулы!$X8</f>
        <v>0</v>
      </c>
      <c r="Z8" s="14" t="str">
        <f>_xlfn.XLOOKUP($A8,Centrum[Индекс],Centrum[Transport co invoice no/ 
Номер инвойса ТК],"",0,1)</f>
        <v/>
      </c>
    </row>
    <row r="9" spans="1:26" s="11" customFormat="1" x14ac:dyDescent="0.25">
      <c r="A9" s="14">
        <v>5</v>
      </c>
      <c r="B9" s="11" t="str">
        <f>_xlfn.XLOOKUP($A9,Centrum[Индекс],Centrum[Carrier/ Перевозчик],"",0,1)</f>
        <v/>
      </c>
      <c r="C9" s="11" t="str">
        <f>_xlfn.XLOOKUP($A9,Centrum[Индекс],Centrum[Country /  Страна],"",0,1)</f>
        <v/>
      </c>
      <c r="D9" s="11" t="str">
        <f>_xlfn.XLOOKUP($A9,Centrum[Индекс],Centrum[Container num./ 
№ контейнера],"",0,1)</f>
        <v/>
      </c>
      <c r="E9" s="11" t="str">
        <f>_xlfn.XLOOKUP($A9,Centrum[Индекс],Centrum[Supplier/
Поставщик],"",0,1)</f>
        <v/>
      </c>
      <c r="F9" s="11" t="str">
        <f>_xlfn.XLOOKUP($A9,Centrum[Индекс],Centrum[Shippers invoice no/ 
Номер инвойса поставщика],"",1)</f>
        <v/>
      </c>
      <c r="G9" s="15" t="str">
        <f>_xlfn.XLOOKUP($A9,Centrum[Индекс],Centrum[Invoice value / Стоимость груза в к-ре по инвойсу],"",0,1)</f>
        <v/>
      </c>
      <c r="H9" s="14" t="s">
        <v>40</v>
      </c>
      <c r="I9" s="11" t="str">
        <f>_xlfn.XLOOKUP($A9,Centrum[Индекс],Centrum[CBM on the shipper/ 
CBM по поставщику],"",0,1)</f>
        <v/>
      </c>
      <c r="J9" s="16" t="str">
        <f>_xlfn.XLOOKUP($A9,Centrum[Индекс],Centrum[Gross weight of cont// 
Гросс.вес по конт.],"",0,1)</f>
        <v/>
      </c>
      <c r="K9" s="17" t="str">
        <f>_xlfn.XLOOKUP($A9,Centrum[Индекс],Centrum[Route/ Маршрут (TSR/TCR)],"",0,1)</f>
        <v/>
      </c>
      <c r="L9" s="11" t="str">
        <f>_xlfn.XLOOKUP($A9,Centrum[Индекс],Centrum[Условия поставки],"",0,1)</f>
        <v/>
      </c>
      <c r="M9" s="11" t="str">
        <f>_xlfn.XLOOKUP($A9,Centrum[Индекс],Centrum[№ HBL date / 
№/ дата коносамента],"",0,1)</f>
        <v/>
      </c>
      <c r="N9" s="11" t="str">
        <f>_xlfn.XLOOKUP($A9,Centrum[Индекс],Centrum[№ MBL / 
№/ коносамента],"",0,1)</f>
        <v/>
      </c>
      <c r="O9" s="8" t="e">
        <f>(_xlfn.XLOOKUP($A9,Centrum[Индекс],Centrum[Date on board / Дата погрузки на судно],"",0,1))*1</f>
        <v>#VALUE!</v>
      </c>
      <c r="P9" s="8" t="e">
        <f>(_xlfn.XLOOKUP($A9,Centrum[Индекс],Centrum[Date of arrival to Sary-Agach/ Дата прибытия на Сары-Агач],"",0,1))*1</f>
        <v>#VALUE!</v>
      </c>
      <c r="Q9" s="14" t="str">
        <f>_xlfn.XLOOKUP($A9,Centrum[Индекс],Centrum[Container type/ 
Тип контейнера],"",0,1)</f>
        <v/>
      </c>
      <c r="R9" s="16">
        <f>_xlfn.XLOOKUP($A9,Centrum[Индекс],Centrum[Transportation cost per supplier/ 
Cтоимость перевозки по поставщикам],0,0,1)</f>
        <v>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9" s="16">
        <f>_xlfn.XLOOKUP(Шаблон_Формулы[[#This Row],[21]],Курс_USD[Дата],Курс_USD[Курс],,0,1)</f>
        <v>12300.09</v>
      </c>
      <c r="W9" s="16">
        <f>Шаблон_Формулы!$T9*Шаблон_Формулы!$V9</f>
        <v>0</v>
      </c>
      <c r="Y9" s="16">
        <f>Шаблон_Формулы!$W9+Шаблон_Формулы!$X9</f>
        <v>0</v>
      </c>
      <c r="Z9" s="14" t="str">
        <f>_xlfn.XLOOKUP($A9,Centrum[Индекс],Centrum[Transport co invoice no/ 
Номер инвойса ТК],"",0,1)</f>
        <v/>
      </c>
    </row>
    <row r="10" spans="1:26" s="11" customFormat="1" x14ac:dyDescent="0.25">
      <c r="A10" s="14">
        <v>6</v>
      </c>
      <c r="B10" s="11" t="str">
        <f>_xlfn.XLOOKUP($A10,Centrum[Индекс],Centrum[Carrier/ Перевозчик],"",0,1)</f>
        <v/>
      </c>
      <c r="C10" s="11" t="str">
        <f>_xlfn.XLOOKUP($A10,Centrum[Индекс],Centrum[Country /  Страна],"",0,1)</f>
        <v/>
      </c>
      <c r="D10" s="11" t="str">
        <f>_xlfn.XLOOKUP($A10,Centrum[Индекс],Centrum[Container num./ 
№ контейнера],"",0,1)</f>
        <v/>
      </c>
      <c r="E10" s="11" t="str">
        <f>_xlfn.XLOOKUP($A10,Centrum[Индекс],Centrum[Supplier/
Поставщик],"",0,1)</f>
        <v/>
      </c>
      <c r="F10" s="11" t="str">
        <f>_xlfn.XLOOKUP($A10,Centrum[Индекс],Centrum[Shippers invoice no/ 
Номер инвойса поставщика],"",1)</f>
        <v/>
      </c>
      <c r="G10" s="15" t="str">
        <f>_xlfn.XLOOKUP($A10,Centrum[Индекс],Centrum[Invoice value / Стоимость груза в к-ре по инвойсу],"",0,1)</f>
        <v/>
      </c>
      <c r="H10" s="14" t="s">
        <v>40</v>
      </c>
      <c r="I10" s="11" t="str">
        <f>_xlfn.XLOOKUP($A10,Centrum[Индекс],Centrum[CBM on the shipper/ 
CBM по поставщику],"",0,1)</f>
        <v/>
      </c>
      <c r="J10" s="16" t="str">
        <f>_xlfn.XLOOKUP($A10,Centrum[Индекс],Centrum[Gross weight of cont// 
Гросс.вес по конт.],"",0,1)</f>
        <v/>
      </c>
      <c r="K10" s="17" t="str">
        <f>_xlfn.XLOOKUP($A10,Centrum[Индекс],Centrum[Route/ Маршрут (TSR/TCR)],"",0,1)</f>
        <v/>
      </c>
      <c r="L10" s="11" t="str">
        <f>_xlfn.XLOOKUP($A10,Centrum[Индекс],Centrum[Условия поставки],"",0,1)</f>
        <v/>
      </c>
      <c r="M10" s="11" t="str">
        <f>_xlfn.XLOOKUP($A10,Centrum[Индекс],Centrum[№ HBL date / 
№/ дата коносамента],"",0,1)</f>
        <v/>
      </c>
      <c r="N10" s="11" t="str">
        <f>_xlfn.XLOOKUP($A10,Centrum[Индекс],Centrum[№ MBL / 
№/ коносамента],"",0,1)</f>
        <v/>
      </c>
      <c r="O10" s="8" t="e">
        <f>(_xlfn.XLOOKUP($A10,Centrum[Индекс],Centrum[Date on board / Дата погрузки на судно],"",0,1))*1</f>
        <v>#VALUE!</v>
      </c>
      <c r="P10" s="8" t="e">
        <f>(_xlfn.XLOOKUP($A10,Centrum[Индекс],Centrum[Date of arrival to Sary-Agach/ Дата прибытия на Сары-Агач],"",0,1))*1</f>
        <v>#VALUE!</v>
      </c>
      <c r="Q10" s="14" t="str">
        <f>_xlfn.XLOOKUP($A10,Centrum[Индекс],Centrum[Container type/ 
Тип контейнера],"",0,1)</f>
        <v/>
      </c>
      <c r="R10" s="16">
        <f>_xlfn.XLOOKUP($A10,Centrum[Индекс],Centrum[Transportation cost per supplier/ 
Cтоимость перевозки по поставщикам],0,0,1)</f>
        <v>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0" s="16">
        <f>_xlfn.XLOOKUP(Шаблон_Формулы[[#This Row],[21]],Курс_USD[Дата],Курс_USD[Курс],,0,1)</f>
        <v>12300.09</v>
      </c>
      <c r="W10" s="16">
        <f>Шаблон_Формулы!$T10*Шаблон_Формулы!$V10</f>
        <v>0</v>
      </c>
      <c r="Y10" s="16">
        <f>Шаблон_Формулы!$W10+Шаблон_Формулы!$X10</f>
        <v>0</v>
      </c>
      <c r="Z10" s="14" t="str">
        <f>_xlfn.XLOOKUP($A10,Centrum[Индекс],Centrum[Transport co invoice no/ 
Номер инвойса ТК],"",0,1)</f>
        <v/>
      </c>
    </row>
    <row r="11" spans="1:26" s="11" customFormat="1" x14ac:dyDescent="0.25">
      <c r="A11" s="14">
        <v>7</v>
      </c>
      <c r="B11" s="11" t="str">
        <f>_xlfn.XLOOKUP($A11,Centrum[Индекс],Centrum[Carrier/ Перевозчик],"",0,1)</f>
        <v/>
      </c>
      <c r="C11" s="11" t="str">
        <f>_xlfn.XLOOKUP($A11,Centrum[Индекс],Centrum[Country /  Страна],"",0,1)</f>
        <v/>
      </c>
      <c r="D11" s="11" t="str">
        <f>_xlfn.XLOOKUP($A11,Centrum[Индекс],Centrum[Container num./ 
№ контейнера],"",0,1)</f>
        <v/>
      </c>
      <c r="E11" s="11" t="str">
        <f>_xlfn.XLOOKUP($A11,Centrum[Индекс],Centrum[Supplier/
Поставщик],"",0,1)</f>
        <v/>
      </c>
      <c r="F11" s="11" t="str">
        <f>_xlfn.XLOOKUP($A11,Centrum[Индекс],Centrum[Shippers invoice no/ 
Номер инвойса поставщика],"",1)</f>
        <v/>
      </c>
      <c r="G11" s="15" t="str">
        <f>_xlfn.XLOOKUP($A11,Centrum[Индекс],Centrum[Invoice value / Стоимость груза в к-ре по инвойсу],"",0,1)</f>
        <v/>
      </c>
      <c r="H11" s="14" t="s">
        <v>40</v>
      </c>
      <c r="I11" s="11" t="str">
        <f>_xlfn.XLOOKUP($A11,Centrum[Индекс],Centrum[CBM on the shipper/ 
CBM по поставщику],"",0,1)</f>
        <v/>
      </c>
      <c r="J11" s="16" t="str">
        <f>_xlfn.XLOOKUP($A11,Centrum[Индекс],Centrum[Gross weight of cont// 
Гросс.вес по конт.],"",0,1)</f>
        <v/>
      </c>
      <c r="K11" s="17" t="str">
        <f>_xlfn.XLOOKUP($A11,Centrum[Индекс],Centrum[Route/ Маршрут (TSR/TCR)],"",0,1)</f>
        <v/>
      </c>
      <c r="L11" s="11" t="str">
        <f>_xlfn.XLOOKUP($A11,Centrum[Индекс],Centrum[Условия поставки],"",0,1)</f>
        <v/>
      </c>
      <c r="M11" s="11" t="str">
        <f>_xlfn.XLOOKUP($A11,Centrum[Индекс],Centrum[№ HBL date / 
№/ дата коносамента],"",0,1)</f>
        <v/>
      </c>
      <c r="N11" s="11" t="str">
        <f>_xlfn.XLOOKUP($A11,Centrum[Индекс],Centrum[№ MBL / 
№/ коносамента],"",0,1)</f>
        <v/>
      </c>
      <c r="O11" s="8" t="e">
        <f>(_xlfn.XLOOKUP($A11,Centrum[Индекс],Centrum[Date on board / Дата погрузки на судно],"",0,1))*1</f>
        <v>#VALUE!</v>
      </c>
      <c r="P11" s="8" t="e">
        <f>(_xlfn.XLOOKUP($A11,Centrum[Индекс],Centrum[Date of arrival to Sary-Agach/ Дата прибытия на Сары-Агач],"",0,1))*1</f>
        <v>#VALUE!</v>
      </c>
      <c r="Q11" s="14" t="str">
        <f>_xlfn.XLOOKUP($A11,Centrum[Индекс],Centrum[Container type/ 
Тип контейнера],"",0,1)</f>
        <v/>
      </c>
      <c r="R11" s="16">
        <f>_xlfn.XLOOKUP($A11,Centrum[Индекс],Centrum[Transportation cost per supplier/ 
Cтоимость перевозки по поставщикам],0,0,1)</f>
        <v>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1" s="16">
        <f>_xlfn.XLOOKUP(Шаблон_Формулы[[#This Row],[21]],Курс_USD[Дата],Курс_USD[Курс],,0,1)</f>
        <v>12300.09</v>
      </c>
      <c r="W11" s="16">
        <f>Шаблон_Формулы!$T11*Шаблон_Формулы!$V11</f>
        <v>0</v>
      </c>
      <c r="Y11" s="16">
        <f>Шаблон_Формулы!$W11+Шаблон_Формулы!$X11</f>
        <v>0</v>
      </c>
      <c r="Z11" s="14" t="str">
        <f>_xlfn.XLOOKUP($A11,Centrum[Индекс],Centrum[Transport co invoice no/ 
Номер инвойса ТК],"",0,1)</f>
        <v/>
      </c>
    </row>
    <row r="12" spans="1:26" s="11" customFormat="1" x14ac:dyDescent="0.25">
      <c r="A12" s="14">
        <v>8</v>
      </c>
      <c r="B12" s="11" t="str">
        <f>_xlfn.XLOOKUP($A12,Centrum[Индекс],Centrum[Carrier/ Перевозчик],"",0,1)</f>
        <v/>
      </c>
      <c r="C12" s="11" t="str">
        <f>_xlfn.XLOOKUP($A12,Centrum[Индекс],Centrum[Country /  Страна],"",0,1)</f>
        <v/>
      </c>
      <c r="D12" s="11" t="str">
        <f>_xlfn.XLOOKUP($A12,Centrum[Индекс],Centrum[Container num./ 
№ контейнера],"",0,1)</f>
        <v/>
      </c>
      <c r="E12" s="11" t="str">
        <f>_xlfn.XLOOKUP($A12,Centrum[Индекс],Centrum[Supplier/
Поставщик],"",0,1)</f>
        <v/>
      </c>
      <c r="F12" s="11" t="str">
        <f>_xlfn.XLOOKUP($A12,Centrum[Индекс],Centrum[Shippers invoice no/ 
Номер инвойса поставщика],"",1)</f>
        <v/>
      </c>
      <c r="G12" s="15" t="str">
        <f>_xlfn.XLOOKUP($A12,Centrum[Индекс],Centrum[Invoice value / Стоимость груза в к-ре по инвойсу],"",0,1)</f>
        <v/>
      </c>
      <c r="H12" s="14" t="s">
        <v>40</v>
      </c>
      <c r="I12" s="11" t="str">
        <f>_xlfn.XLOOKUP($A12,Centrum[Индекс],Centrum[CBM on the shipper/ 
CBM по поставщику],"",0,1)</f>
        <v/>
      </c>
      <c r="J12" s="16" t="str">
        <f>_xlfn.XLOOKUP($A12,Centrum[Индекс],Centrum[Gross weight of cont// 
Гросс.вес по конт.],"",0,1)</f>
        <v/>
      </c>
      <c r="K12" s="17" t="str">
        <f>_xlfn.XLOOKUP($A12,Centrum[Индекс],Centrum[Route/ Маршрут (TSR/TCR)],"",0,1)</f>
        <v/>
      </c>
      <c r="L12" s="11" t="str">
        <f>_xlfn.XLOOKUP($A12,Centrum[Индекс],Centrum[Условия поставки],"",0,1)</f>
        <v/>
      </c>
      <c r="M12" s="11" t="str">
        <f>_xlfn.XLOOKUP($A12,Centrum[Индекс],Centrum[№ HBL date / 
№/ дата коносамента],"",0,1)</f>
        <v/>
      </c>
      <c r="N12" s="11" t="str">
        <f>_xlfn.XLOOKUP($A12,Centrum[Индекс],Centrum[№ MBL / 
№/ коносамента],"",0,1)</f>
        <v/>
      </c>
      <c r="O12" s="8" t="e">
        <f>(_xlfn.XLOOKUP($A12,Centrum[Индекс],Centrum[Date on board / Дата погрузки на судно],"",0,1))*1</f>
        <v>#VALUE!</v>
      </c>
      <c r="P12" s="8" t="e">
        <f>(_xlfn.XLOOKUP($A12,Centrum[Индекс],Centrum[Date of arrival to Sary-Agach/ Дата прибытия на Сары-Агач],"",0,1))*1</f>
        <v>#VALUE!</v>
      </c>
      <c r="Q12" s="14" t="str">
        <f>_xlfn.XLOOKUP($A12,Centrum[Индекс],Centrum[Container type/ 
Тип контейнера],"",0,1)</f>
        <v/>
      </c>
      <c r="R12" s="16">
        <f>_xlfn.XLOOKUP($A12,Centrum[Индекс],Centrum[Transportation cost per supplier/ 
Cтоимость перевозки по поставщикам],0,0,1)</f>
        <v>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2" s="16">
        <f>_xlfn.XLOOKUP(Шаблон_Формулы[[#This Row],[21]],Курс_USD[Дата],Курс_USD[Курс],,0,1)</f>
        <v>12300.09</v>
      </c>
      <c r="W12" s="16">
        <f>Шаблон_Формулы!$T12*Шаблон_Формулы!$V12</f>
        <v>0</v>
      </c>
      <c r="Y12" s="16">
        <f>Шаблон_Формулы!$W12+Шаблон_Формулы!$X12</f>
        <v>0</v>
      </c>
      <c r="Z12" s="14" t="str">
        <f>_xlfn.XLOOKUP($A12,Centrum[Индекс],Centrum[Transport co invoice no/ 
Номер инвойса ТК],"",0,1)</f>
        <v/>
      </c>
    </row>
    <row r="13" spans="1:26" s="11" customFormat="1" x14ac:dyDescent="0.25">
      <c r="A13" s="14">
        <v>9</v>
      </c>
      <c r="B13" s="11" t="str">
        <f>_xlfn.XLOOKUP($A13,Centrum[Индекс],Centrum[Carrier/ Перевозчик],"",0,1)</f>
        <v/>
      </c>
      <c r="C13" s="11" t="str">
        <f>_xlfn.XLOOKUP($A13,Centrum[Индекс],Centrum[Country /  Страна],"",0,1)</f>
        <v/>
      </c>
      <c r="D13" s="11" t="str">
        <f>_xlfn.XLOOKUP($A13,Centrum[Индекс],Centrum[Container num./ 
№ контейнера],"",0,1)</f>
        <v/>
      </c>
      <c r="E13" s="11" t="str">
        <f>_xlfn.XLOOKUP($A13,Centrum[Индекс],Centrum[Supplier/
Поставщик],"",0,1)</f>
        <v/>
      </c>
      <c r="F13" s="11" t="str">
        <f>_xlfn.XLOOKUP($A13,Centrum[Индекс],Centrum[Shippers invoice no/ 
Номер инвойса поставщика],"",1)</f>
        <v/>
      </c>
      <c r="G13" s="15" t="str">
        <f>_xlfn.XLOOKUP($A13,Centrum[Индекс],Centrum[Invoice value / Стоимость груза в к-ре по инвойсу],"",0,1)</f>
        <v/>
      </c>
      <c r="H13" s="14" t="s">
        <v>40</v>
      </c>
      <c r="I13" s="11" t="str">
        <f>_xlfn.XLOOKUP($A13,Centrum[Индекс],Centrum[CBM on the shipper/ 
CBM по поставщику],"",0,1)</f>
        <v/>
      </c>
      <c r="J13" s="16" t="str">
        <f>_xlfn.XLOOKUP($A13,Centrum[Индекс],Centrum[Gross weight of cont// 
Гросс.вес по конт.],"",0,1)</f>
        <v/>
      </c>
      <c r="K13" s="17" t="str">
        <f>_xlfn.XLOOKUP($A13,Centrum[Индекс],Centrum[Route/ Маршрут (TSR/TCR)],"",0,1)</f>
        <v/>
      </c>
      <c r="L13" s="11" t="str">
        <f>_xlfn.XLOOKUP($A13,Centrum[Индекс],Centrum[Условия поставки],"",0,1)</f>
        <v/>
      </c>
      <c r="M13" s="11" t="str">
        <f>_xlfn.XLOOKUP($A13,Centrum[Индекс],Centrum[№ HBL date / 
№/ дата коносамента],"",0,1)</f>
        <v/>
      </c>
      <c r="N13" s="11" t="str">
        <f>_xlfn.XLOOKUP($A13,Centrum[Индекс],Centrum[№ MBL / 
№/ коносамента],"",0,1)</f>
        <v/>
      </c>
      <c r="O13" s="8" t="e">
        <f>(_xlfn.XLOOKUP($A13,Centrum[Индекс],Centrum[Date on board / Дата погрузки на судно],"",0,1))*1</f>
        <v>#VALUE!</v>
      </c>
      <c r="P13" s="8" t="e">
        <f>(_xlfn.XLOOKUP($A13,Centrum[Индекс],Centrum[Date of arrival to Sary-Agach/ Дата прибытия на Сары-Агач],"",0,1))*1</f>
        <v>#VALUE!</v>
      </c>
      <c r="Q13" s="14" t="str">
        <f>_xlfn.XLOOKUP($A13,Centrum[Индекс],Centrum[Container type/ 
Тип контейнера],"",0,1)</f>
        <v/>
      </c>
      <c r="R13" s="16">
        <f>_xlfn.XLOOKUP($A13,Centrum[Индекс],Centrum[Transportation cost per supplier/ 
Cтоимость перевозки по поставщикам],0,0,1)</f>
        <v>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3" s="16">
        <f>_xlfn.XLOOKUP(Шаблон_Формулы[[#This Row],[21]],Курс_USD[Дата],Курс_USD[Курс],,0,1)</f>
        <v>12300.09</v>
      </c>
      <c r="W13" s="16">
        <f>Шаблон_Формулы!$T13*Шаблон_Формулы!$V13</f>
        <v>0</v>
      </c>
      <c r="Y13" s="16">
        <f>Шаблон_Формулы!$W13+Шаблон_Формулы!$X13</f>
        <v>0</v>
      </c>
      <c r="Z13" s="14" t="str">
        <f>_xlfn.XLOOKUP($A13,Centrum[Индекс],Centrum[Transport co invoice no/ 
Номер инвойса ТК],"",0,1)</f>
        <v/>
      </c>
    </row>
    <row r="14" spans="1:26" s="11" customFormat="1" x14ac:dyDescent="0.25">
      <c r="A14" s="14">
        <v>10</v>
      </c>
      <c r="B14" s="11" t="str">
        <f>_xlfn.XLOOKUP($A14,Centrum[Индекс],Centrum[Carrier/ Перевозчик],"",0,1)</f>
        <v/>
      </c>
      <c r="C14" s="11" t="str">
        <f>_xlfn.XLOOKUP($A14,Centrum[Индекс],Centrum[Country /  Страна],"",0,1)</f>
        <v/>
      </c>
      <c r="D14" s="11" t="str">
        <f>_xlfn.XLOOKUP($A14,Centrum[Индекс],Centrum[Container num./ 
№ контейнера],"",0,1)</f>
        <v/>
      </c>
      <c r="E14" s="11" t="str">
        <f>_xlfn.XLOOKUP($A14,Centrum[Индекс],Centrum[Supplier/
Поставщик],"",0,1)</f>
        <v/>
      </c>
      <c r="F14" s="11" t="str">
        <f>_xlfn.XLOOKUP($A14,Centrum[Индекс],Centrum[Shippers invoice no/ 
Номер инвойса поставщика],"",1)</f>
        <v/>
      </c>
      <c r="G14" s="15" t="str">
        <f>_xlfn.XLOOKUP($A14,Centrum[Индекс],Centrum[Invoice value / Стоимость груза в к-ре по инвойсу],"",0,1)</f>
        <v/>
      </c>
      <c r="H14" s="14" t="s">
        <v>40</v>
      </c>
      <c r="I14" s="11" t="str">
        <f>_xlfn.XLOOKUP($A14,Centrum[Индекс],Centrum[CBM on the shipper/ 
CBM по поставщику],"",0,1)</f>
        <v/>
      </c>
      <c r="J14" s="16" t="str">
        <f>_xlfn.XLOOKUP($A14,Centrum[Индекс],Centrum[Gross weight of cont// 
Гросс.вес по конт.],"",0,1)</f>
        <v/>
      </c>
      <c r="K14" s="17" t="str">
        <f>_xlfn.XLOOKUP($A14,Centrum[Индекс],Centrum[Route/ Маршрут (TSR/TCR)],"",0,1)</f>
        <v/>
      </c>
      <c r="L14" s="11" t="str">
        <f>_xlfn.XLOOKUP($A14,Centrum[Индекс],Centrum[Условия поставки],"",0,1)</f>
        <v/>
      </c>
      <c r="M14" s="11" t="str">
        <f>_xlfn.XLOOKUP($A14,Centrum[Индекс],Centrum[№ HBL date / 
№/ дата коносамента],"",0,1)</f>
        <v/>
      </c>
      <c r="N14" s="11" t="str">
        <f>_xlfn.XLOOKUP($A14,Centrum[Индекс],Centrum[№ MBL / 
№/ коносамента],"",0,1)</f>
        <v/>
      </c>
      <c r="O14" s="8" t="e">
        <f>(_xlfn.XLOOKUP($A14,Centrum[Индекс],Centrum[Date on board / Дата погрузки на судно],"",0,1))*1</f>
        <v>#VALUE!</v>
      </c>
      <c r="P14" s="8" t="e">
        <f>(_xlfn.XLOOKUP($A14,Centrum[Индекс],Centrum[Date of arrival to Sary-Agach/ Дата прибытия на Сары-Агач],"",0,1))*1</f>
        <v>#VALUE!</v>
      </c>
      <c r="Q14" s="14" t="str">
        <f>_xlfn.XLOOKUP($A14,Centrum[Индекс],Centrum[Container type/ 
Тип контейнера],"",0,1)</f>
        <v/>
      </c>
      <c r="R14" s="16">
        <f>_xlfn.XLOOKUP($A14,Centrum[Индекс],Centrum[Transportation cost per supplier/ 
Cтоимость перевозки по поставщикам],0,0,1)</f>
        <v>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4" s="16">
        <f>_xlfn.XLOOKUP(Шаблон_Формулы[[#This Row],[21]],Курс_USD[Дата],Курс_USD[Курс],,0,1)</f>
        <v>12300.09</v>
      </c>
      <c r="W14" s="16">
        <f>Шаблон_Формулы!$T14*Шаблон_Формулы!$V14</f>
        <v>0</v>
      </c>
      <c r="Y14" s="16">
        <f>Шаблон_Формулы!$W14+Шаблон_Формулы!$X14</f>
        <v>0</v>
      </c>
      <c r="Z14" s="14" t="str">
        <f>_xlfn.XLOOKUP($A14,Centrum[Индекс],Centrum[Transport co invoice no/ 
Номер инвойса ТК],"",0,1)</f>
        <v/>
      </c>
    </row>
    <row r="15" spans="1:26" s="11" customFormat="1" x14ac:dyDescent="0.25">
      <c r="A15" s="14">
        <v>11</v>
      </c>
      <c r="B15" s="11" t="str">
        <f>_xlfn.XLOOKUP($A15,Centrum[Индекс],Centrum[Carrier/ Перевозчик],"",0,1)</f>
        <v/>
      </c>
      <c r="C15" s="11" t="str">
        <f>_xlfn.XLOOKUP($A15,Centrum[Индекс],Centrum[Country /  Страна],"",0,1)</f>
        <v/>
      </c>
      <c r="D15" s="11" t="str">
        <f>_xlfn.XLOOKUP($A15,Centrum[Индекс],Centrum[Container num./ 
№ контейнера],"",0,1)</f>
        <v/>
      </c>
      <c r="E15" s="11" t="str">
        <f>_xlfn.XLOOKUP($A15,Centrum[Индекс],Centrum[Supplier/
Поставщик],"",0,1)</f>
        <v/>
      </c>
      <c r="F15" s="11" t="str">
        <f>_xlfn.XLOOKUP($A15,Centrum[Индекс],Centrum[Shippers invoice no/ 
Номер инвойса поставщика],"",1)</f>
        <v/>
      </c>
      <c r="G15" s="15" t="str">
        <f>_xlfn.XLOOKUP($A15,Centrum[Индекс],Centrum[Invoice value / Стоимость груза в к-ре по инвойсу],"",0,1)</f>
        <v/>
      </c>
      <c r="H15" s="14" t="s">
        <v>40</v>
      </c>
      <c r="I15" s="11" t="str">
        <f>_xlfn.XLOOKUP($A15,Centrum[Индекс],Centrum[CBM on the shipper/ 
CBM по поставщику],"",0,1)</f>
        <v/>
      </c>
      <c r="J15" s="16" t="str">
        <f>_xlfn.XLOOKUP($A15,Centrum[Индекс],Centrum[Gross weight of cont// 
Гросс.вес по конт.],"",0,1)</f>
        <v/>
      </c>
      <c r="K15" s="17" t="str">
        <f>_xlfn.XLOOKUP($A15,Centrum[Индекс],Centrum[Route/ Маршрут (TSR/TCR)],"",0,1)</f>
        <v/>
      </c>
      <c r="L15" s="11" t="str">
        <f>_xlfn.XLOOKUP($A15,Centrum[Индекс],Centrum[Условия поставки],"",0,1)</f>
        <v/>
      </c>
      <c r="M15" s="11" t="str">
        <f>_xlfn.XLOOKUP($A15,Centrum[Индекс],Centrum[№ HBL date / 
№/ дата коносамента],"",0,1)</f>
        <v/>
      </c>
      <c r="N15" s="11" t="str">
        <f>_xlfn.XLOOKUP($A15,Centrum[Индекс],Centrum[№ MBL / 
№/ коносамента],"",0,1)</f>
        <v/>
      </c>
      <c r="O15" s="8" t="e">
        <f>(_xlfn.XLOOKUP($A15,Centrum[Индекс],Centrum[Date on board / Дата погрузки на судно],"",0,1))*1</f>
        <v>#VALUE!</v>
      </c>
      <c r="P15" s="8" t="e">
        <f>(_xlfn.XLOOKUP($A15,Centrum[Индекс],Centrum[Date of arrival to Sary-Agach/ Дата прибытия на Сары-Агач],"",0,1))*1</f>
        <v>#VALUE!</v>
      </c>
      <c r="Q15" s="14" t="str">
        <f>_xlfn.XLOOKUP($A15,Centrum[Индекс],Centrum[Container type/ 
Тип контейнера],"",0,1)</f>
        <v/>
      </c>
      <c r="R15" s="16">
        <f>_xlfn.XLOOKUP($A15,Centrum[Индекс],Centrum[Transportation cost per supplier/ 
Cтоимость перевозки по поставщикам],0,0,1)</f>
        <v>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5" s="16">
        <f>_xlfn.XLOOKUP(Шаблон_Формулы[[#This Row],[21]],Курс_USD[Дата],Курс_USD[Курс],,0,1)</f>
        <v>12300.09</v>
      </c>
      <c r="W15" s="16">
        <f>Шаблон_Формулы!$T15*Шаблон_Формулы!$V15</f>
        <v>0</v>
      </c>
      <c r="Y15" s="16">
        <f>Шаблон_Формулы!$W15+Шаблон_Формулы!$X15</f>
        <v>0</v>
      </c>
      <c r="Z15" s="14" t="str">
        <f>_xlfn.XLOOKUP($A15,Centrum[Индекс],Centrum[Transport co invoice no/ 
Номер инвойса ТК],"",0,1)</f>
        <v/>
      </c>
    </row>
    <row r="16" spans="1:26" s="11" customFormat="1" x14ac:dyDescent="0.25">
      <c r="A16" s="14">
        <v>12</v>
      </c>
      <c r="B16" s="11" t="str">
        <f>_xlfn.XLOOKUP($A16,Centrum[Индекс],Centrum[Carrier/ Перевозчик],"",0,1)</f>
        <v/>
      </c>
      <c r="C16" s="11" t="str">
        <f>_xlfn.XLOOKUP($A16,Centrum[Индекс],Centrum[Country /  Страна],"",0,1)</f>
        <v/>
      </c>
      <c r="D16" s="11" t="str">
        <f>_xlfn.XLOOKUP($A16,Centrum[Индекс],Centrum[Container num./ 
№ контейнера],"",0,1)</f>
        <v/>
      </c>
      <c r="E16" s="11" t="str">
        <f>_xlfn.XLOOKUP($A16,Centrum[Индекс],Centrum[Supplier/
Поставщик],"",0,1)</f>
        <v/>
      </c>
      <c r="F16" s="11" t="str">
        <f>_xlfn.XLOOKUP($A16,Centrum[Индекс],Centrum[Shippers invoice no/ 
Номер инвойса поставщика],"",1)</f>
        <v/>
      </c>
      <c r="G16" s="15" t="str">
        <f>_xlfn.XLOOKUP($A16,Centrum[Индекс],Centrum[Invoice value / Стоимость груза в к-ре по инвойсу],"",0,1)</f>
        <v/>
      </c>
      <c r="H16" s="14" t="s">
        <v>40</v>
      </c>
      <c r="I16" s="11" t="str">
        <f>_xlfn.XLOOKUP($A16,Centrum[Индекс],Centrum[CBM on the shipper/ 
CBM по поставщику],"",0,1)</f>
        <v/>
      </c>
      <c r="J16" s="16" t="str">
        <f>_xlfn.XLOOKUP($A16,Centrum[Индекс],Centrum[Gross weight of cont// 
Гросс.вес по конт.],"",0,1)</f>
        <v/>
      </c>
      <c r="K16" s="17" t="str">
        <f>_xlfn.XLOOKUP($A16,Centrum[Индекс],Centrum[Route/ Маршрут (TSR/TCR)],"",0,1)</f>
        <v/>
      </c>
      <c r="L16" s="11" t="str">
        <f>_xlfn.XLOOKUP($A16,Centrum[Индекс],Centrum[Условия поставки],"",0,1)</f>
        <v/>
      </c>
      <c r="M16" s="11" t="str">
        <f>_xlfn.XLOOKUP($A16,Centrum[Индекс],Centrum[№ HBL date / 
№/ дата коносамента],"",0,1)</f>
        <v/>
      </c>
      <c r="N16" s="11" t="str">
        <f>_xlfn.XLOOKUP($A16,Centrum[Индекс],Centrum[№ MBL / 
№/ коносамента],"",0,1)</f>
        <v/>
      </c>
      <c r="O16" s="8" t="e">
        <f>(_xlfn.XLOOKUP($A16,Centrum[Индекс],Centrum[Date on board / Дата погрузки на судно],"",0,1))*1</f>
        <v>#VALUE!</v>
      </c>
      <c r="P16" s="8" t="e">
        <f>(_xlfn.XLOOKUP($A16,Centrum[Индекс],Centrum[Date of arrival to Sary-Agach/ Дата прибытия на Сары-Агач],"",0,1))*1</f>
        <v>#VALUE!</v>
      </c>
      <c r="Q16" s="14" t="str">
        <f>_xlfn.XLOOKUP($A16,Centrum[Индекс],Centrum[Container type/ 
Тип контейнера],"",0,1)</f>
        <v/>
      </c>
      <c r="R16" s="16">
        <f>_xlfn.XLOOKUP($A16,Centrum[Индекс],Centrum[Transportation cost per supplier/ 
Cтоимость перевозки по поставщикам],0,0,1)</f>
        <v>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6" s="16">
        <f>_xlfn.XLOOKUP(Шаблон_Формулы[[#This Row],[21]],Курс_USD[Дата],Курс_USD[Курс],,0,1)</f>
        <v>12300.09</v>
      </c>
      <c r="W16" s="16">
        <f>Шаблон_Формулы!$T16*Шаблон_Формулы!$V16</f>
        <v>0</v>
      </c>
      <c r="Y16" s="16">
        <f>Шаблон_Формулы!$W16+Шаблон_Формулы!$X16</f>
        <v>0</v>
      </c>
      <c r="Z16" s="14" t="str">
        <f>_xlfn.XLOOKUP($A16,Centrum[Индекс],Centrum[Transport co invoice no/ 
Номер инвойса ТК],"",0,1)</f>
        <v/>
      </c>
    </row>
    <row r="17" spans="1:26" s="11" customFormat="1" x14ac:dyDescent="0.25">
      <c r="A17" s="14">
        <v>13</v>
      </c>
      <c r="B17" s="11" t="str">
        <f>_xlfn.XLOOKUP($A17,Centrum[Индекс],Centrum[Carrier/ Перевозчик],"",0,1)</f>
        <v/>
      </c>
      <c r="C17" s="11" t="str">
        <f>_xlfn.XLOOKUP($A17,Centrum[Индекс],Centrum[Country /  Страна],"",0,1)</f>
        <v/>
      </c>
      <c r="D17" s="11" t="str">
        <f>_xlfn.XLOOKUP($A17,Centrum[Индекс],Centrum[Container num./ 
№ контейнера],"",0,1)</f>
        <v/>
      </c>
      <c r="E17" s="11" t="str">
        <f>_xlfn.XLOOKUP($A17,Centrum[Индекс],Centrum[Supplier/
Поставщик],"",0,1)</f>
        <v/>
      </c>
      <c r="F17" s="11" t="str">
        <f>_xlfn.XLOOKUP($A17,Centrum[Индекс],Centrum[Shippers invoice no/ 
Номер инвойса поставщика],"",1)</f>
        <v/>
      </c>
      <c r="G17" s="15" t="str">
        <f>_xlfn.XLOOKUP($A17,Centrum[Индекс],Centrum[Invoice value / Стоимость груза в к-ре по инвойсу],"",0,1)</f>
        <v/>
      </c>
      <c r="H17" s="14" t="s">
        <v>40</v>
      </c>
      <c r="I17" s="11" t="str">
        <f>_xlfn.XLOOKUP($A17,Centrum[Индекс],Centrum[CBM on the shipper/ 
CBM по поставщику],"",0,1)</f>
        <v/>
      </c>
      <c r="J17" s="16" t="str">
        <f>_xlfn.XLOOKUP($A17,Centrum[Индекс],Centrum[Gross weight of cont// 
Гросс.вес по конт.],"",0,1)</f>
        <v/>
      </c>
      <c r="K17" s="17" t="str">
        <f>_xlfn.XLOOKUP($A17,Centrum[Индекс],Centrum[Route/ Маршрут (TSR/TCR)],"",0,1)</f>
        <v/>
      </c>
      <c r="L17" s="11" t="str">
        <f>_xlfn.XLOOKUP($A17,Centrum[Индекс],Centrum[Условия поставки],"",0,1)</f>
        <v/>
      </c>
      <c r="M17" s="11" t="str">
        <f>_xlfn.XLOOKUP($A17,Centrum[Индекс],Centrum[№ HBL date / 
№/ дата коносамента],"",0,1)</f>
        <v/>
      </c>
      <c r="N17" s="11" t="str">
        <f>_xlfn.XLOOKUP($A17,Centrum[Индекс],Centrum[№ MBL / 
№/ коносамента],"",0,1)</f>
        <v/>
      </c>
      <c r="O17" s="8" t="e">
        <f>(_xlfn.XLOOKUP($A17,Centrum[Индекс],Centrum[Date on board / Дата погрузки на судно],"",0,1))*1</f>
        <v>#VALUE!</v>
      </c>
      <c r="P17" s="8" t="e">
        <f>(_xlfn.XLOOKUP($A17,Centrum[Индекс],Centrum[Date of arrival to Sary-Agach/ Дата прибытия на Сары-Агач],"",0,1))*1</f>
        <v>#VALUE!</v>
      </c>
      <c r="Q17" s="14" t="str">
        <f>_xlfn.XLOOKUP($A17,Centrum[Индекс],Centrum[Container type/ 
Тип контейнера],"",0,1)</f>
        <v/>
      </c>
      <c r="R17" s="16">
        <f>_xlfn.XLOOKUP($A17,Centrum[Индекс],Centrum[Transportation cost per supplier/ 
Cтоимость перевозки по поставщикам],0,0,1)</f>
        <v>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7" s="16">
        <f>_xlfn.XLOOKUP(Шаблон_Формулы[[#This Row],[21]],Курс_USD[Дата],Курс_USD[Курс],,0,1)</f>
        <v>12300.09</v>
      </c>
      <c r="W17" s="16">
        <f>Шаблон_Формулы!$T17*Шаблон_Формулы!$V17</f>
        <v>0</v>
      </c>
      <c r="Y17" s="16">
        <f>Шаблон_Формулы!$W17+Шаблон_Формулы!$X17</f>
        <v>0</v>
      </c>
      <c r="Z17" s="14" t="str">
        <f>_xlfn.XLOOKUP($A17,Centrum[Индекс],Centrum[Transport co invoice no/ 
Номер инвойса ТК],"",0,1)</f>
        <v/>
      </c>
    </row>
    <row r="18" spans="1:26" s="11" customFormat="1" x14ac:dyDescent="0.25">
      <c r="A18" s="14">
        <v>14</v>
      </c>
      <c r="B18" s="11" t="str">
        <f>_xlfn.XLOOKUP($A18,Centrum[Индекс],Centrum[Carrier/ Перевозчик],"",0,1)</f>
        <v/>
      </c>
      <c r="C18" s="11" t="str">
        <f>_xlfn.XLOOKUP($A18,Centrum[Индекс],Centrum[Country /  Страна],"",0,1)</f>
        <v/>
      </c>
      <c r="D18" s="11" t="str">
        <f>_xlfn.XLOOKUP($A18,Centrum[Индекс],Centrum[Container num./ 
№ контейнера],"",0,1)</f>
        <v/>
      </c>
      <c r="E18" s="11" t="str">
        <f>_xlfn.XLOOKUP($A18,Centrum[Индекс],Centrum[Supplier/
Поставщик],"",0,1)</f>
        <v/>
      </c>
      <c r="F18" s="11" t="str">
        <f>_xlfn.XLOOKUP($A18,Centrum[Индекс],Centrum[Shippers invoice no/ 
Номер инвойса поставщика],"",1)</f>
        <v/>
      </c>
      <c r="G18" s="15" t="str">
        <f>_xlfn.XLOOKUP($A18,Centrum[Индекс],Centrum[Invoice value / Стоимость груза в к-ре по инвойсу],"",0,1)</f>
        <v/>
      </c>
      <c r="H18" s="14" t="s">
        <v>40</v>
      </c>
      <c r="I18" s="11" t="str">
        <f>_xlfn.XLOOKUP($A18,Centrum[Индекс],Centrum[CBM on the shipper/ 
CBM по поставщику],"",0,1)</f>
        <v/>
      </c>
      <c r="J18" s="16" t="str">
        <f>_xlfn.XLOOKUP($A18,Centrum[Индекс],Centrum[Gross weight of cont// 
Гросс.вес по конт.],"",0,1)</f>
        <v/>
      </c>
      <c r="K18" s="17" t="str">
        <f>_xlfn.XLOOKUP($A18,Centrum[Индекс],Centrum[Route/ Маршрут (TSR/TCR)],"",0,1)</f>
        <v/>
      </c>
      <c r="L18" s="11" t="str">
        <f>_xlfn.XLOOKUP($A18,Centrum[Индекс],Centrum[Условия поставки],"",0,1)</f>
        <v/>
      </c>
      <c r="M18" s="11" t="str">
        <f>_xlfn.XLOOKUP($A18,Centrum[Индекс],Centrum[№ HBL date / 
№/ дата коносамента],"",0,1)</f>
        <v/>
      </c>
      <c r="N18" s="11" t="str">
        <f>_xlfn.XLOOKUP($A18,Centrum[Индекс],Centrum[№ MBL / 
№/ коносамента],"",0,1)</f>
        <v/>
      </c>
      <c r="O18" s="8" t="e">
        <f>(_xlfn.XLOOKUP($A18,Centrum[Индекс],Centrum[Date on board / Дата погрузки на судно],"",0,1))*1</f>
        <v>#VALUE!</v>
      </c>
      <c r="P18" s="8" t="e">
        <f>(_xlfn.XLOOKUP($A18,Centrum[Индекс],Centrum[Date of arrival to Sary-Agach/ Дата прибытия на Сары-Агач],"",0,1))*1</f>
        <v>#VALUE!</v>
      </c>
      <c r="Q18" s="14" t="str">
        <f>_xlfn.XLOOKUP($A18,Centrum[Индекс],Centrum[Container type/ 
Тип контейнера],"",0,1)</f>
        <v/>
      </c>
      <c r="R18" s="16">
        <f>_xlfn.XLOOKUP($A18,Centrum[Индекс],Centrum[Transportation cost per supplier/ 
Cтоимость перевозки по поставщикам],0,0,1)</f>
        <v>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8" s="16">
        <f>_xlfn.XLOOKUP(Шаблон_Формулы[[#This Row],[21]],Курс_USD[Дата],Курс_USD[Курс],,0,1)</f>
        <v>12300.09</v>
      </c>
      <c r="W18" s="16">
        <f>Шаблон_Формулы!$T18*Шаблон_Формулы!$V18</f>
        <v>0</v>
      </c>
      <c r="Y18" s="16">
        <f>Шаблон_Формулы!$W18+Шаблон_Формулы!$X18</f>
        <v>0</v>
      </c>
      <c r="Z18" s="14" t="str">
        <f>_xlfn.XLOOKUP($A18,Centrum[Индекс],Centrum[Transport co invoice no/ 
Номер инвойса ТК],"",0,1)</f>
        <v/>
      </c>
    </row>
    <row r="19" spans="1:26" s="11" customFormat="1" x14ac:dyDescent="0.25">
      <c r="A19" s="14">
        <v>15</v>
      </c>
      <c r="B19" s="11" t="str">
        <f>_xlfn.XLOOKUP($A19,Centrum[Индекс],Centrum[Carrier/ Перевозчик],"",0,1)</f>
        <v/>
      </c>
      <c r="C19" s="11" t="str">
        <f>_xlfn.XLOOKUP($A19,Centrum[Индекс],Centrum[Country /  Страна],"",0,1)</f>
        <v/>
      </c>
      <c r="D19" s="11" t="str">
        <f>_xlfn.XLOOKUP($A19,Centrum[Индекс],Centrum[Container num./ 
№ контейнера],"",0,1)</f>
        <v/>
      </c>
      <c r="E19" s="11" t="str">
        <f>_xlfn.XLOOKUP($A19,Centrum[Индекс],Centrum[Supplier/
Поставщик],"",0,1)</f>
        <v/>
      </c>
      <c r="F19" s="11" t="str">
        <f>_xlfn.XLOOKUP($A19,Centrum[Индекс],Centrum[Shippers invoice no/ 
Номер инвойса поставщика],"",1)</f>
        <v/>
      </c>
      <c r="G19" s="15" t="str">
        <f>_xlfn.XLOOKUP($A19,Centrum[Индекс],Centrum[Invoice value / Стоимость груза в к-ре по инвойсу],"",0,1)</f>
        <v/>
      </c>
      <c r="H19" s="14" t="s">
        <v>40</v>
      </c>
      <c r="I19" s="11" t="str">
        <f>_xlfn.XLOOKUP($A19,Centrum[Индекс],Centrum[CBM on the shipper/ 
CBM по поставщику],"",0,1)</f>
        <v/>
      </c>
      <c r="J19" s="16" t="str">
        <f>_xlfn.XLOOKUP($A19,Centrum[Индекс],Centrum[Gross weight of cont// 
Гросс.вес по конт.],"",0,1)</f>
        <v/>
      </c>
      <c r="K19" s="17" t="str">
        <f>_xlfn.XLOOKUP($A19,Centrum[Индекс],Centrum[Route/ Маршрут (TSR/TCR)],"",0,1)</f>
        <v/>
      </c>
      <c r="L19" s="11" t="str">
        <f>_xlfn.XLOOKUP($A19,Centrum[Индекс],Centrum[Условия поставки],"",0,1)</f>
        <v/>
      </c>
      <c r="M19" s="11" t="str">
        <f>_xlfn.XLOOKUP($A19,Centrum[Индекс],Centrum[№ HBL date / 
№/ дата коносамента],"",0,1)</f>
        <v/>
      </c>
      <c r="N19" s="11" t="str">
        <f>_xlfn.XLOOKUP($A19,Centrum[Индекс],Centrum[№ MBL / 
№/ коносамента],"",0,1)</f>
        <v/>
      </c>
      <c r="O19" s="8" t="e">
        <f>(_xlfn.XLOOKUP($A19,Centrum[Индекс],Centrum[Date on board / Дата погрузки на судно],"",0,1))*1</f>
        <v>#VALUE!</v>
      </c>
      <c r="P19" s="8" t="e">
        <f>(_xlfn.XLOOKUP($A19,Centrum[Индекс],Centrum[Date of arrival to Sary-Agach/ Дата прибытия на Сары-Агач],"",0,1))*1</f>
        <v>#VALUE!</v>
      </c>
      <c r="Q19" s="14" t="str">
        <f>_xlfn.XLOOKUP($A19,Centrum[Индекс],Centrum[Container type/ 
Тип контейнера],"",0,1)</f>
        <v/>
      </c>
      <c r="R19" s="16">
        <f>_xlfn.XLOOKUP($A19,Centrum[Индекс],Centrum[Transportation cost per supplier/ 
Cтоимость перевозки по поставщикам],0,0,1)</f>
        <v>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9" s="16">
        <f>_xlfn.XLOOKUP(Шаблон_Формулы[[#This Row],[21]],Курс_USD[Дата],Курс_USD[Курс],,0,1)</f>
        <v>12300.09</v>
      </c>
      <c r="W19" s="16">
        <f>Шаблон_Формулы!$T19*Шаблон_Формулы!$V19</f>
        <v>0</v>
      </c>
      <c r="Y19" s="16">
        <f>Шаблон_Формулы!$W19+Шаблон_Формулы!$X19</f>
        <v>0</v>
      </c>
      <c r="Z19" s="14" t="str">
        <f>_xlfn.XLOOKUP($A19,Centrum[Индекс],Centrum[Transport co invoice no/ 
Номер инвойса ТК],"",0,1)</f>
        <v/>
      </c>
    </row>
    <row r="20" spans="1:26" s="11" customFormat="1" x14ac:dyDescent="0.25">
      <c r="A20" s="14">
        <v>16</v>
      </c>
      <c r="B20" s="11" t="str">
        <f>_xlfn.XLOOKUP($A20,Centrum[Индекс],Centrum[Carrier/ Перевозчик],"",0,1)</f>
        <v/>
      </c>
      <c r="C20" s="11" t="str">
        <f>_xlfn.XLOOKUP($A20,Centrum[Индекс],Centrum[Country /  Страна],"",0,1)</f>
        <v/>
      </c>
      <c r="D20" s="11" t="str">
        <f>_xlfn.XLOOKUP($A20,Centrum[Индекс],Centrum[Container num./ 
№ контейнера],"",0,1)</f>
        <v/>
      </c>
      <c r="E20" s="11" t="str">
        <f>_xlfn.XLOOKUP($A20,Centrum[Индекс],Centrum[Supplier/
Поставщик],"",0,1)</f>
        <v/>
      </c>
      <c r="F20" s="11" t="str">
        <f>_xlfn.XLOOKUP($A20,Centrum[Индекс],Centrum[Shippers invoice no/ 
Номер инвойса поставщика],"",1)</f>
        <v/>
      </c>
      <c r="G20" s="15" t="str">
        <f>_xlfn.XLOOKUP($A20,Centrum[Индекс],Centrum[Invoice value / Стоимость груза в к-ре по инвойсу],"",0,1)</f>
        <v/>
      </c>
      <c r="H20" s="14" t="s">
        <v>40</v>
      </c>
      <c r="I20" s="11" t="str">
        <f>_xlfn.XLOOKUP($A20,Centrum[Индекс],Centrum[CBM on the shipper/ 
CBM по поставщику],"",0,1)</f>
        <v/>
      </c>
      <c r="J20" s="16" t="str">
        <f>_xlfn.XLOOKUP($A20,Centrum[Индекс],Centrum[Gross weight of cont// 
Гросс.вес по конт.],"",0,1)</f>
        <v/>
      </c>
      <c r="K20" s="17" t="str">
        <f>_xlfn.XLOOKUP($A20,Centrum[Индекс],Centrum[Route/ Маршрут (TSR/TCR)],"",0,1)</f>
        <v/>
      </c>
      <c r="L20" s="11" t="str">
        <f>_xlfn.XLOOKUP($A20,Centrum[Индекс],Centrum[Условия поставки],"",0,1)</f>
        <v/>
      </c>
      <c r="M20" s="11" t="str">
        <f>_xlfn.XLOOKUP($A20,Centrum[Индекс],Centrum[№ HBL date / 
№/ дата коносамента],"",0,1)</f>
        <v/>
      </c>
      <c r="N20" s="11" t="str">
        <f>_xlfn.XLOOKUP($A20,Centrum[Индекс],Centrum[№ MBL / 
№/ коносамента],"",0,1)</f>
        <v/>
      </c>
      <c r="O20" s="8" t="e">
        <f>(_xlfn.XLOOKUP($A20,Centrum[Индекс],Centrum[Date on board / Дата погрузки на судно],"",0,1))*1</f>
        <v>#VALUE!</v>
      </c>
      <c r="P20" s="8" t="e">
        <f>(_xlfn.XLOOKUP($A20,Centrum[Индекс],Centrum[Date of arrival to Sary-Agach/ Дата прибытия на Сары-Агач],"",0,1))*1</f>
        <v>#VALUE!</v>
      </c>
      <c r="Q20" s="14" t="str">
        <f>_xlfn.XLOOKUP($A20,Centrum[Индекс],Centrum[Container type/ 
Тип контейнера],"",0,1)</f>
        <v/>
      </c>
      <c r="R20" s="16">
        <f>_xlfn.XLOOKUP($A20,Centrum[Индекс],Centrum[Transportation cost per supplier/ 
Cтоимость перевозки по поставщикам],0,0,1)</f>
        <v>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20" s="16">
        <f>_xlfn.XLOOKUP(Шаблон_Формулы[[#This Row],[21]],Курс_USD[Дата],Курс_USD[Курс],,0,1)</f>
        <v>12300.09</v>
      </c>
      <c r="W20" s="16">
        <f>Шаблон_Формулы!$T20*Шаблон_Формулы!$V20</f>
        <v>0</v>
      </c>
      <c r="Y20" s="16">
        <f>Шаблон_Формулы!$W20+Шаблон_Формулы!$X20</f>
        <v>0</v>
      </c>
      <c r="Z20" s="14" t="str">
        <f>_xlfn.XLOOKUP($A20,Centrum[Индекс],Centrum[Transport co invoice no/ 
Номер инвойса ТК],"",0,1)</f>
        <v/>
      </c>
    </row>
    <row r="21" spans="1:26" s="11" customFormat="1" x14ac:dyDescent="0.25">
      <c r="A21" s="14">
        <v>17</v>
      </c>
      <c r="B21" s="11" t="str">
        <f>_xlfn.XLOOKUP($A21,Centrum[Индекс],Centrum[Carrier/ Перевозчик],"",0,1)</f>
        <v/>
      </c>
      <c r="C21" s="11" t="str">
        <f>_xlfn.XLOOKUP($A21,Centrum[Индекс],Centrum[Country /  Страна],"",0,1)</f>
        <v/>
      </c>
      <c r="D21" s="11" t="str">
        <f>_xlfn.XLOOKUP($A21,Centrum[Индекс],Centrum[Container num./ 
№ контейнера],"",0,1)</f>
        <v/>
      </c>
      <c r="E21" s="11" t="str">
        <f>_xlfn.XLOOKUP($A21,Centrum[Индекс],Centrum[Supplier/
Поставщик],"",0,1)</f>
        <v/>
      </c>
      <c r="F21" s="11" t="str">
        <f>_xlfn.XLOOKUP($A21,Centrum[Индекс],Centrum[Shippers invoice no/ 
Номер инвойса поставщика],"",1)</f>
        <v/>
      </c>
      <c r="G21" s="15" t="str">
        <f>_xlfn.XLOOKUP($A21,Centrum[Индекс],Centrum[Invoice value / Стоимость груза в к-ре по инвойсу],"",0,1)</f>
        <v/>
      </c>
      <c r="H21" s="14" t="s">
        <v>40</v>
      </c>
      <c r="I21" s="11" t="str">
        <f>_xlfn.XLOOKUP($A21,Centrum[Индекс],Centrum[CBM on the shipper/ 
CBM по поставщику],"",0,1)</f>
        <v/>
      </c>
      <c r="J21" s="16" t="str">
        <f>_xlfn.XLOOKUP($A21,Centrum[Индекс],Centrum[Gross weight of cont// 
Гросс.вес по конт.],"",0,1)</f>
        <v/>
      </c>
      <c r="K21" s="17" t="str">
        <f>_xlfn.XLOOKUP($A21,Centrum[Индекс],Centrum[Route/ Маршрут (TSR/TCR)],"",0,1)</f>
        <v/>
      </c>
      <c r="L21" s="11" t="str">
        <f>_xlfn.XLOOKUP($A21,Centrum[Индекс],Centrum[Условия поставки],"",0,1)</f>
        <v/>
      </c>
      <c r="M21" s="11" t="str">
        <f>_xlfn.XLOOKUP($A21,Centrum[Индекс],Centrum[№ HBL date / 
№/ дата коносамента],"",0,1)</f>
        <v/>
      </c>
      <c r="N21" s="11" t="str">
        <f>_xlfn.XLOOKUP($A21,Centrum[Индекс],Centrum[№ MBL / 
№/ коносамента],"",0,1)</f>
        <v/>
      </c>
      <c r="O21" s="8" t="e">
        <f>(_xlfn.XLOOKUP($A21,Centrum[Индекс],Centrum[Date on board / Дата погрузки на судно],"",0,1))*1</f>
        <v>#VALUE!</v>
      </c>
      <c r="P21" s="8" t="e">
        <f>(_xlfn.XLOOKUP($A21,Centrum[Индекс],Centrum[Date of arrival to Sary-Agach/ Дата прибытия на Сары-Агач],"",0,1))*1</f>
        <v>#VALUE!</v>
      </c>
      <c r="Q21" s="14" t="str">
        <f>_xlfn.XLOOKUP($A21,Centrum[Индекс],Centrum[Container type/ 
Тип контейнера],"",0,1)</f>
        <v/>
      </c>
      <c r="R21" s="16">
        <f>_xlfn.XLOOKUP($A21,Centrum[Индекс],Centrum[Transportation cost per supplier/ 
Cтоимость перевозки по поставщикам],0,0,1)</f>
        <v>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21" s="16">
        <f>_xlfn.XLOOKUP(Шаблон_Формулы[[#This Row],[21]],Курс_USD[Дата],Курс_USD[Курс],,0,1)</f>
        <v>12300.09</v>
      </c>
      <c r="W21" s="16">
        <f>Шаблон_Формулы!$T21*Шаблон_Формулы!$V21</f>
        <v>0</v>
      </c>
      <c r="Y21" s="16">
        <f>Шаблон_Формулы!$W21+Шаблон_Формулы!$X21</f>
        <v>0</v>
      </c>
      <c r="Z21" s="14" t="str">
        <f>_xlfn.XLOOKUP($A21,Centrum[Индекс],Centrum[Transport co invoice no/ 
Номер инвойса ТК],"",0,1)</f>
        <v/>
      </c>
    </row>
    <row r="22" spans="1:26" s="11" customFormat="1" x14ac:dyDescent="0.25">
      <c r="A22" s="14">
        <v>18</v>
      </c>
      <c r="B22" s="11" t="str">
        <f>_xlfn.XLOOKUP($A22,Centrum[Индекс],Centrum[Carrier/ Перевозчик],"",0,1)</f>
        <v/>
      </c>
      <c r="C22" s="11" t="str">
        <f>_xlfn.XLOOKUP($A22,Centrum[Индекс],Centrum[Country /  Страна],"",0,1)</f>
        <v/>
      </c>
      <c r="D22" s="11" t="str">
        <f>_xlfn.XLOOKUP($A22,Centrum[Индекс],Centrum[Container num./ 
№ контейнера],"",0,1)</f>
        <v/>
      </c>
      <c r="E22" s="11" t="str">
        <f>_xlfn.XLOOKUP($A22,Centrum[Индекс],Centrum[Supplier/
Поставщик],"",0,1)</f>
        <v/>
      </c>
      <c r="F22" s="11" t="str">
        <f>_xlfn.XLOOKUP($A22,Centrum[Индекс],Centrum[Shippers invoice no/ 
Номер инвойса поставщика],"",1)</f>
        <v/>
      </c>
      <c r="G22" s="15" t="str">
        <f>_xlfn.XLOOKUP($A22,Centrum[Индекс],Centrum[Invoice value / Стоимость груза в к-ре по инвойсу],"",0,1)</f>
        <v/>
      </c>
      <c r="H22" s="14" t="s">
        <v>40</v>
      </c>
      <c r="I22" s="11" t="str">
        <f>_xlfn.XLOOKUP($A22,Centrum[Индекс],Centrum[CBM on the shipper/ 
CBM по поставщику],"",0,1)</f>
        <v/>
      </c>
      <c r="J22" s="16" t="str">
        <f>_xlfn.XLOOKUP($A22,Centrum[Индекс],Centrum[Gross weight of cont// 
Гросс.вес по конт.],"",0,1)</f>
        <v/>
      </c>
      <c r="K22" s="17" t="str">
        <f>_xlfn.XLOOKUP($A22,Centrum[Индекс],Centrum[Route/ Маршрут (TSR/TCR)],"",0,1)</f>
        <v/>
      </c>
      <c r="L22" s="11" t="str">
        <f>_xlfn.XLOOKUP($A22,Centrum[Индекс],Centrum[Условия поставки],"",0,1)</f>
        <v/>
      </c>
      <c r="M22" s="11" t="str">
        <f>_xlfn.XLOOKUP($A22,Centrum[Индекс],Centrum[№ HBL date / 
№/ дата коносамента],"",0,1)</f>
        <v/>
      </c>
      <c r="N22" s="11" t="str">
        <f>_xlfn.XLOOKUP($A22,Centrum[Индекс],Centrum[№ MBL / 
№/ коносамента],"",0,1)</f>
        <v/>
      </c>
      <c r="O22" s="8" t="e">
        <f>(_xlfn.XLOOKUP($A22,Centrum[Индекс],Centrum[Date on board / Дата погрузки на судно],"",0,1))*1</f>
        <v>#VALUE!</v>
      </c>
      <c r="P22" s="8" t="e">
        <f>(_xlfn.XLOOKUP($A22,Centrum[Индекс],Centrum[Date of arrival to Sary-Agach/ Дата прибытия на Сары-Агач],"",0,1))*1</f>
        <v>#VALUE!</v>
      </c>
      <c r="Q22" s="14" t="str">
        <f>_xlfn.XLOOKUP($A22,Centrum[Индекс],Centrum[Container type/ 
Тип контейнера],"",0,1)</f>
        <v/>
      </c>
      <c r="R22" s="16">
        <f>_xlfn.XLOOKUP($A22,Centrum[Индекс],Centrum[Transportation cost per supplier/ 
Cтоимость перевозки по поставщикам],0,0,1)</f>
        <v>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22" s="16">
        <f>_xlfn.XLOOKUP(Шаблон_Формулы[[#This Row],[21]],Курс_USD[Дата],Курс_USD[Курс],,0,1)</f>
        <v>12300.09</v>
      </c>
      <c r="W22" s="16">
        <f>Шаблон_Формулы!$T22*Шаблон_Формулы!$V22</f>
        <v>0</v>
      </c>
      <c r="Y22" s="16">
        <f>Шаблон_Формулы!$W22+Шаблон_Формулы!$X22</f>
        <v>0</v>
      </c>
      <c r="Z22" s="14" t="str">
        <f>_xlfn.XLOOKUP($A22,Centrum[Индекс],Centrum[Transport co invoice no/ 
Номер инвойса ТК],"",0,1)</f>
        <v/>
      </c>
    </row>
    <row r="23" spans="1:26" s="11" customFormat="1" x14ac:dyDescent="0.25">
      <c r="A23" s="14">
        <v>19</v>
      </c>
      <c r="B23" s="11" t="str">
        <f>_xlfn.XLOOKUP($A23,Centrum[Индекс],Centrum[Carrier/ Перевозчик],"",0,1)</f>
        <v/>
      </c>
      <c r="C23" s="11" t="str">
        <f>_xlfn.XLOOKUP($A23,Centrum[Индекс],Centrum[Country /  Страна],"",0,1)</f>
        <v/>
      </c>
      <c r="D23" s="11" t="str">
        <f>_xlfn.XLOOKUP($A23,Centrum[Индекс],Centrum[Container num./ 
№ контейнера],"",0,1)</f>
        <v/>
      </c>
      <c r="E23" s="11" t="str">
        <f>_xlfn.XLOOKUP($A23,Centrum[Индекс],Centrum[Supplier/
Поставщик],"",0,1)</f>
        <v/>
      </c>
      <c r="F23" s="11" t="str">
        <f>_xlfn.XLOOKUP($A23,Centrum[Индекс],Centrum[Shippers invoice no/ 
Номер инвойса поставщика],"",1)</f>
        <v/>
      </c>
      <c r="G23" s="15" t="str">
        <f>_xlfn.XLOOKUP($A23,Centrum[Индекс],Centrum[Invoice value / Стоимость груза в к-ре по инвойсу],"",0,1)</f>
        <v/>
      </c>
      <c r="H23" s="14" t="s">
        <v>40</v>
      </c>
      <c r="I23" s="11" t="str">
        <f>_xlfn.XLOOKUP($A23,Centrum[Индекс],Centrum[CBM on the shipper/ 
CBM по поставщику],"",0,1)</f>
        <v/>
      </c>
      <c r="J23" s="16" t="str">
        <f>_xlfn.XLOOKUP($A23,Centrum[Индекс],Centrum[Gross weight of cont// 
Гросс.вес по конт.],"",0,1)</f>
        <v/>
      </c>
      <c r="K23" s="17" t="str">
        <f>_xlfn.XLOOKUP($A23,Centrum[Индекс],Centrum[Route/ Маршрут (TSR/TCR)],"",0,1)</f>
        <v/>
      </c>
      <c r="L23" s="11" t="str">
        <f>_xlfn.XLOOKUP($A23,Centrum[Индекс],Centrum[Условия поставки],"",0,1)</f>
        <v/>
      </c>
      <c r="M23" s="11" t="str">
        <f>_xlfn.XLOOKUP($A23,Centrum[Индекс],Centrum[№ HBL date / 
№/ дата коносамента],"",0,1)</f>
        <v/>
      </c>
      <c r="N23" s="11" t="str">
        <f>_xlfn.XLOOKUP($A23,Centrum[Индекс],Centrum[№ MBL / 
№/ коносамента],"",0,1)</f>
        <v/>
      </c>
      <c r="O23" s="8" t="e">
        <f>(_xlfn.XLOOKUP($A23,Centrum[Индекс],Centrum[Date on board / Дата погрузки на судно],"",0,1))*1</f>
        <v>#VALUE!</v>
      </c>
      <c r="P23" s="8" t="e">
        <f>(_xlfn.XLOOKUP($A23,Centrum[Индекс],Centrum[Date of arrival to Sary-Agach/ Дата прибытия на Сары-Агач],"",0,1))*1</f>
        <v>#VALUE!</v>
      </c>
      <c r="Q23" s="14" t="str">
        <f>_xlfn.XLOOKUP($A23,Centrum[Индекс],Centrum[Container type/ 
Тип контейнера],"",0,1)</f>
        <v/>
      </c>
      <c r="R23" s="16">
        <f>_xlfn.XLOOKUP($A23,Centrum[Индекс],Centrum[Transportation cost per supplier/ 
Cтоимость перевозки по поставщикам],0,0,1)</f>
        <v>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23" s="16">
        <f>_xlfn.XLOOKUP(Шаблон_Формулы[[#This Row],[21]],Курс_USD[Дата],Курс_USD[Курс],,0,1)</f>
        <v>12300.09</v>
      </c>
      <c r="W23" s="16">
        <f>Шаблон_Формулы!$T23*Шаблон_Формулы!$V23</f>
        <v>0</v>
      </c>
      <c r="Y23" s="16">
        <f>Шаблон_Формулы!$W23+Шаблон_Формулы!$X23</f>
        <v>0</v>
      </c>
      <c r="Z23" s="14" t="str">
        <f>_xlfn.XLOOKUP($A23,Centrum[Индекс],Centrum[Transport co invoice no/ 
Номер инвойса ТК],"",0,1)</f>
        <v/>
      </c>
    </row>
    <row r="24" spans="1:26" s="11" customFormat="1" x14ac:dyDescent="0.25">
      <c r="A24" s="14">
        <v>20</v>
      </c>
      <c r="B24" s="11" t="str">
        <f>_xlfn.XLOOKUP($A24,Centrum[Индекс],Centrum[Carrier/ Перевозчик],"",0,1)</f>
        <v/>
      </c>
      <c r="C24" s="11" t="str">
        <f>_xlfn.XLOOKUP($A24,Centrum[Индекс],Centrum[Country /  Страна],"",0,1)</f>
        <v/>
      </c>
      <c r="D24" s="11" t="str">
        <f>_xlfn.XLOOKUP($A24,Centrum[Индекс],Centrum[Container num./ 
№ контейнера],"",0,1)</f>
        <v/>
      </c>
      <c r="E24" s="11" t="str">
        <f>_xlfn.XLOOKUP($A24,Centrum[Индекс],Centrum[Supplier/
Поставщик],"",0,1)</f>
        <v/>
      </c>
      <c r="F24" s="11" t="str">
        <f>_xlfn.XLOOKUP($A24,Centrum[Индекс],Centrum[Shippers invoice no/ 
Номер инвойса поставщика],"",1)</f>
        <v/>
      </c>
      <c r="G24" s="15" t="str">
        <f>_xlfn.XLOOKUP($A24,Centrum[Индекс],Centrum[Invoice value / Стоимость груза в к-ре по инвойсу],"",0,1)</f>
        <v/>
      </c>
      <c r="H24" s="14" t="s">
        <v>40</v>
      </c>
      <c r="I24" s="11" t="str">
        <f>_xlfn.XLOOKUP($A24,Centrum[Индекс],Centrum[CBM on the shipper/ 
CBM по поставщику],"",0,1)</f>
        <v/>
      </c>
      <c r="J24" s="16" t="str">
        <f>_xlfn.XLOOKUP($A24,Centrum[Индекс],Centrum[Gross weight of cont// 
Гросс.вес по конт.],"",0,1)</f>
        <v/>
      </c>
      <c r="K24" s="17" t="str">
        <f>_xlfn.XLOOKUP($A24,Centrum[Индекс],Centrum[Route/ Маршрут (TSR/TCR)],"",0,1)</f>
        <v/>
      </c>
      <c r="L24" s="11" t="str">
        <f>_xlfn.XLOOKUP($A24,Centrum[Индекс],Centrum[Условия поставки],"",0,1)</f>
        <v/>
      </c>
      <c r="M24" s="11" t="str">
        <f>_xlfn.XLOOKUP($A24,Centrum[Индекс],Centrum[№ HBL date / 
№/ дата коносамента],"",0,1)</f>
        <v/>
      </c>
      <c r="N24" s="11" t="str">
        <f>_xlfn.XLOOKUP($A24,Centrum[Индекс],Centrum[№ MBL / 
№/ коносамента],"",0,1)</f>
        <v/>
      </c>
      <c r="O24" s="8" t="e">
        <f>(_xlfn.XLOOKUP($A24,Centrum[Индекс],Centrum[Date on board / Дата погрузки на судно],"",0,1))*1</f>
        <v>#VALUE!</v>
      </c>
      <c r="P24" s="8" t="e">
        <f>(_xlfn.XLOOKUP($A24,Centrum[Индекс],Centrum[Date of arrival to Sary-Agach/ Дата прибытия на Сары-Агач],"",0,1))*1</f>
        <v>#VALUE!</v>
      </c>
      <c r="Q24" s="14" t="str">
        <f>_xlfn.XLOOKUP($A24,Centrum[Индекс],Centrum[Container type/ 
Тип контейнера],"",0,1)</f>
        <v/>
      </c>
      <c r="R24" s="16">
        <f>_xlfn.XLOOKUP($A24,Centrum[Индекс],Centrum[Transportation cost per supplier/ 
Cтоимость перевозки по поставщикам],0,0,1)</f>
        <v>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24" s="16">
        <f>_xlfn.XLOOKUP(Шаблон_Формулы[[#This Row],[21]],Курс_USD[Дата],Курс_USD[Курс],,0,1)</f>
        <v>12300.09</v>
      </c>
      <c r="W24" s="16">
        <f>Шаблон_Формулы!$T24*Шаблон_Формулы!$V24</f>
        <v>0</v>
      </c>
      <c r="Y24" s="16">
        <f>Шаблон_Формулы!$W24+Шаблон_Формулы!$X24</f>
        <v>0</v>
      </c>
      <c r="Z24" s="14" t="str">
        <f>_xlfn.XLOOKUP($A24,Centrum[Индекс],Centrum[Transport co invoice no/ 
Номер инвойса ТК],"",0,1)</f>
        <v/>
      </c>
    </row>
    <row r="25" spans="1:26" s="11" customFormat="1" x14ac:dyDescent="0.25">
      <c r="A25" s="14">
        <v>21</v>
      </c>
      <c r="B25" s="11" t="str">
        <f>_xlfn.XLOOKUP($A25,Centrum[Индекс],Centrum[Carrier/ Перевозчик],"",0,1)</f>
        <v/>
      </c>
      <c r="C25" s="11" t="str">
        <f>_xlfn.XLOOKUP($A25,Centrum[Индекс],Centrum[Country /  Страна],"",0,1)</f>
        <v/>
      </c>
      <c r="D25" s="11" t="str">
        <f>_xlfn.XLOOKUP($A25,Centrum[Индекс],Centrum[Container num./ 
№ контейнера],"",0,1)</f>
        <v/>
      </c>
      <c r="E25" s="11" t="str">
        <f>_xlfn.XLOOKUP($A25,Centrum[Индекс],Centrum[Supplier/
Поставщик],"",0,1)</f>
        <v/>
      </c>
      <c r="F25" s="11" t="str">
        <f>_xlfn.XLOOKUP($A25,Centrum[Индекс],Centrum[Shippers invoice no/ 
Номер инвойса поставщика],"",1)</f>
        <v/>
      </c>
      <c r="G25" s="15" t="str">
        <f>_xlfn.XLOOKUP($A25,Centrum[Индекс],Centrum[Invoice value / Стоимость груза в к-ре по инвойсу],"",0,1)</f>
        <v/>
      </c>
      <c r="H25" s="14" t="s">
        <v>40</v>
      </c>
      <c r="I25" s="11" t="str">
        <f>_xlfn.XLOOKUP($A25,Centrum[Индекс],Centrum[CBM on the shipper/ 
CBM по поставщику],"",0,1)</f>
        <v/>
      </c>
      <c r="J25" s="16" t="str">
        <f>_xlfn.XLOOKUP($A25,Centrum[Индекс],Centrum[Gross weight of cont// 
Гросс.вес по конт.],"",0,1)</f>
        <v/>
      </c>
      <c r="K25" s="17" t="str">
        <f>_xlfn.XLOOKUP($A25,Centrum[Индекс],Centrum[Route/ Маршрут (TSR/TCR)],"",0,1)</f>
        <v/>
      </c>
      <c r="L25" s="11" t="str">
        <f>_xlfn.XLOOKUP($A25,Centrum[Индекс],Centrum[Условия поставки],"",0,1)</f>
        <v/>
      </c>
      <c r="M25" s="11" t="str">
        <f>_xlfn.XLOOKUP($A25,Centrum[Индекс],Centrum[№ HBL date / 
№/ дата коносамента],"",0,1)</f>
        <v/>
      </c>
      <c r="N25" s="11" t="str">
        <f>_xlfn.XLOOKUP($A25,Centrum[Индекс],Centrum[№ MBL / 
№/ коносамента],"",0,1)</f>
        <v/>
      </c>
      <c r="O25" s="8" t="e">
        <f>(_xlfn.XLOOKUP($A25,Centrum[Индекс],Centrum[Date on board / Дата погрузки на судно],"",0,1))*1</f>
        <v>#VALUE!</v>
      </c>
      <c r="P25" s="8" t="e">
        <f>(_xlfn.XLOOKUP($A25,Centrum[Индекс],Centrum[Date of arrival to Sary-Agach/ Дата прибытия на Сары-Агач],"",0,1))*1</f>
        <v>#VALUE!</v>
      </c>
      <c r="Q25" s="14" t="str">
        <f>_xlfn.XLOOKUP($A25,Centrum[Индекс],Centrum[Container type/ 
Тип контейнера],"",0,1)</f>
        <v/>
      </c>
      <c r="R25" s="16">
        <f>_xlfn.XLOOKUP($A25,Centrum[Индекс],Centrum[Transportation cost per supplier/ 
Cтоимость перевозки по поставщикам],0,0,1)</f>
        <v>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25" s="16">
        <f>_xlfn.XLOOKUP(Шаблон_Формулы[[#This Row],[21]],Курс_USD[Дата],Курс_USD[Курс],,0,1)</f>
        <v>12300.09</v>
      </c>
      <c r="W25" s="16">
        <f>Шаблон_Формулы!$T25*Шаблон_Формулы!$V25</f>
        <v>0</v>
      </c>
      <c r="Y25" s="16">
        <f>Шаблон_Формулы!$W25+Шаблон_Формулы!$X25</f>
        <v>0</v>
      </c>
      <c r="Z25" s="14" t="str">
        <f>_xlfn.XLOOKUP($A25,Centrum[Индекс],Centrum[Transport co invoice no/ 
Номер инвойса ТК],"",0,1)</f>
        <v/>
      </c>
    </row>
    <row r="26" spans="1:26" s="11" customFormat="1" x14ac:dyDescent="0.25">
      <c r="A26" s="14">
        <v>22</v>
      </c>
      <c r="B26" s="11" t="str">
        <f>_xlfn.XLOOKUP($A26,Centrum[Индекс],Centrum[Carrier/ Перевозчик],"",0,1)</f>
        <v/>
      </c>
      <c r="C26" s="11" t="str">
        <f>_xlfn.XLOOKUP($A26,Centrum[Индекс],Centrum[Country /  Страна],"",0,1)</f>
        <v/>
      </c>
      <c r="D26" s="11" t="str">
        <f>_xlfn.XLOOKUP($A26,Centrum[Индекс],Centrum[Container num./ 
№ контейнера],"",0,1)</f>
        <v/>
      </c>
      <c r="E26" s="11" t="str">
        <f>_xlfn.XLOOKUP($A26,Centrum[Индекс],Centrum[Supplier/
Поставщик],"",0,1)</f>
        <v/>
      </c>
      <c r="F26" s="11" t="str">
        <f>_xlfn.XLOOKUP($A26,Centrum[Индекс],Centrum[Shippers invoice no/ 
Номер инвойса поставщика],"",1)</f>
        <v/>
      </c>
      <c r="G26" s="15" t="str">
        <f>_xlfn.XLOOKUP($A26,Centrum[Индекс],Centrum[Invoice value / Стоимость груза в к-ре по инвойсу],"",0,1)</f>
        <v/>
      </c>
      <c r="H26" s="14" t="s">
        <v>40</v>
      </c>
      <c r="I26" s="11" t="str">
        <f>_xlfn.XLOOKUP($A26,Centrum[Индекс],Centrum[CBM on the shipper/ 
CBM по поставщику],"",0,1)</f>
        <v/>
      </c>
      <c r="J26" s="16" t="str">
        <f>_xlfn.XLOOKUP($A26,Centrum[Индекс],Centrum[Gross weight of cont// 
Гросс.вес по конт.],"",0,1)</f>
        <v/>
      </c>
      <c r="K26" s="17" t="str">
        <f>_xlfn.XLOOKUP($A26,Centrum[Индекс],Centrum[Route/ Маршрут (TSR/TCR)],"",0,1)</f>
        <v/>
      </c>
      <c r="L26" s="11" t="str">
        <f>_xlfn.XLOOKUP($A26,Centrum[Индекс],Centrum[Условия поставки],"",0,1)</f>
        <v/>
      </c>
      <c r="M26" s="11" t="str">
        <f>_xlfn.XLOOKUP($A26,Centrum[Индекс],Centrum[№ HBL date / 
№/ дата коносамента],"",0,1)</f>
        <v/>
      </c>
      <c r="N26" s="11" t="str">
        <f>_xlfn.XLOOKUP($A26,Centrum[Индекс],Centrum[№ MBL / 
№/ коносамента],"",0,1)</f>
        <v/>
      </c>
      <c r="O26" s="8" t="e">
        <f>(_xlfn.XLOOKUP($A26,Centrum[Индекс],Centrum[Date on board / Дата погрузки на судно],"",0,1))*1</f>
        <v>#VALUE!</v>
      </c>
      <c r="P26" s="8" t="e">
        <f>(_xlfn.XLOOKUP($A26,Centrum[Индекс],Centrum[Date of arrival to Sary-Agach/ Дата прибытия на Сары-Агач],"",0,1))*1</f>
        <v>#VALUE!</v>
      </c>
      <c r="Q26" s="14" t="str">
        <f>_xlfn.XLOOKUP($A26,Centrum[Индекс],Centrum[Container type/ 
Тип контейнера],"",0,1)</f>
        <v/>
      </c>
      <c r="R26" s="16">
        <f>_xlfn.XLOOKUP($A26,Centrum[Индекс],Centrum[Transportation cost per supplier/ 
Cтоимость перевозки по поставщикам],0,0,1)</f>
        <v>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26" s="16">
        <f>_xlfn.XLOOKUP(Шаблон_Формулы[[#This Row],[21]],Курс_USD[Дата],Курс_USD[Курс],,0,1)</f>
        <v>12300.09</v>
      </c>
      <c r="W26" s="16">
        <f>Шаблон_Формулы!$T26*Шаблон_Формулы!$V26</f>
        <v>0</v>
      </c>
      <c r="Y26" s="16">
        <f>Шаблон_Формулы!$W26+Шаблон_Формулы!$X26</f>
        <v>0</v>
      </c>
      <c r="Z26" s="14" t="str">
        <f>_xlfn.XLOOKUP($A26,Centrum[Индекс],Centrum[Transport co invoice no/ 
Номер инвойса ТК],"",0,1)</f>
        <v/>
      </c>
    </row>
    <row r="27" spans="1:26" s="11" customFormat="1" x14ac:dyDescent="0.25">
      <c r="A27" s="14">
        <v>23</v>
      </c>
      <c r="B27" s="11" t="str">
        <f>_xlfn.XLOOKUP($A27,Centrum[Индекс],Centrum[Carrier/ Перевозчик],"",0,1)</f>
        <v/>
      </c>
      <c r="C27" s="11" t="str">
        <f>_xlfn.XLOOKUP($A27,Centrum[Индекс],Centrum[Country /  Страна],"",0,1)</f>
        <v/>
      </c>
      <c r="D27" s="11" t="str">
        <f>_xlfn.XLOOKUP($A27,Centrum[Индекс],Centrum[Container num./ 
№ контейнера],"",0,1)</f>
        <v/>
      </c>
      <c r="E27" s="11" t="str">
        <f>_xlfn.XLOOKUP($A27,Centrum[Индекс],Centrum[Supplier/
Поставщик],"",0,1)</f>
        <v/>
      </c>
      <c r="F27" s="11" t="str">
        <f>_xlfn.XLOOKUP($A27,Centrum[Индекс],Centrum[Shippers invoice no/ 
Номер инвойса поставщика],"",1)</f>
        <v/>
      </c>
      <c r="G27" s="15" t="str">
        <f>_xlfn.XLOOKUP($A27,Centrum[Индекс],Centrum[Invoice value / Стоимость груза в к-ре по инвойсу],"",0,1)</f>
        <v/>
      </c>
      <c r="H27" s="14" t="s">
        <v>40</v>
      </c>
      <c r="I27" s="11" t="str">
        <f>_xlfn.XLOOKUP($A27,Centrum[Индекс],Centrum[CBM on the shipper/ 
CBM по поставщику],"",0,1)</f>
        <v/>
      </c>
      <c r="J27" s="16" t="str">
        <f>_xlfn.XLOOKUP($A27,Centrum[Индекс],Centrum[Gross weight of cont// 
Гросс.вес по конт.],"",0,1)</f>
        <v/>
      </c>
      <c r="K27" s="17" t="str">
        <f>_xlfn.XLOOKUP($A27,Centrum[Индекс],Centrum[Route/ Маршрут (TSR/TCR)],"",0,1)</f>
        <v/>
      </c>
      <c r="L27" s="11" t="str">
        <f>_xlfn.XLOOKUP($A27,Centrum[Индекс],Centrum[Условия поставки],"",0,1)</f>
        <v/>
      </c>
      <c r="M27" s="11" t="str">
        <f>_xlfn.XLOOKUP($A27,Centrum[Индекс],Centrum[№ HBL date / 
№/ дата коносамента],"",0,1)</f>
        <v/>
      </c>
      <c r="N27" s="11" t="str">
        <f>_xlfn.XLOOKUP($A27,Centrum[Индекс],Centrum[№ MBL / 
№/ коносамента],"",0,1)</f>
        <v/>
      </c>
      <c r="O27" s="8" t="e">
        <f>(_xlfn.XLOOKUP($A27,Centrum[Индекс],Centrum[Date on board / Дата погрузки на судно],"",0,1))*1</f>
        <v>#VALUE!</v>
      </c>
      <c r="P27" s="8" t="e">
        <f>(_xlfn.XLOOKUP($A27,Centrum[Индекс],Centrum[Date of arrival to Sary-Agach/ Дата прибытия на Сары-Агач],"",0,1))*1</f>
        <v>#VALUE!</v>
      </c>
      <c r="Q27" s="14" t="str">
        <f>_xlfn.XLOOKUP($A27,Centrum[Индекс],Centrum[Container type/ 
Тип контейнера],"",0,1)</f>
        <v/>
      </c>
      <c r="R27" s="16">
        <f>_xlfn.XLOOKUP($A27,Centrum[Индекс],Centrum[Transportation cost per supplier/ 
Cтоимость перевозки по поставщикам],0,0,1)</f>
        <v>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27" s="16">
        <f>_xlfn.XLOOKUP(Шаблон_Формулы[[#This Row],[21]],Курс_USD[Дата],Курс_USD[Курс],,0,1)</f>
        <v>12300.09</v>
      </c>
      <c r="W27" s="16">
        <f>Шаблон_Формулы!$T27*Шаблон_Формулы!$V27</f>
        <v>0</v>
      </c>
      <c r="Y27" s="16">
        <f>Шаблон_Формулы!$W27+Шаблон_Формулы!$X27</f>
        <v>0</v>
      </c>
      <c r="Z27" s="14" t="str">
        <f>_xlfn.XLOOKUP($A27,Centrum[Индекс],Centrum[Transport co invoice no/ 
Номер инвойса ТК],"",0,1)</f>
        <v/>
      </c>
    </row>
    <row r="28" spans="1:26" s="11" customFormat="1" x14ac:dyDescent="0.25">
      <c r="A28" s="14">
        <v>24</v>
      </c>
      <c r="B28" s="11" t="str">
        <f>_xlfn.XLOOKUP($A28,Centrum[Индекс],Centrum[Carrier/ Перевозчик],"",0,1)</f>
        <v/>
      </c>
      <c r="C28" s="11" t="str">
        <f>_xlfn.XLOOKUP($A28,Centrum[Индекс],Centrum[Country /  Страна],"",0,1)</f>
        <v/>
      </c>
      <c r="D28" s="11" t="str">
        <f>_xlfn.XLOOKUP($A28,Centrum[Индекс],Centrum[Container num./ 
№ контейнера],"",0,1)</f>
        <v/>
      </c>
      <c r="E28" s="11" t="str">
        <f>_xlfn.XLOOKUP($A28,Centrum[Индекс],Centrum[Supplier/
Поставщик],"",0,1)</f>
        <v/>
      </c>
      <c r="F28" s="11" t="str">
        <f>_xlfn.XLOOKUP($A28,Centrum[Индекс],Centrum[Shippers invoice no/ 
Номер инвойса поставщика],"",1)</f>
        <v/>
      </c>
      <c r="G28" s="15" t="str">
        <f>_xlfn.XLOOKUP($A28,Centrum[Индекс],Centrum[Invoice value / Стоимость груза в к-ре по инвойсу],"",0,1)</f>
        <v/>
      </c>
      <c r="H28" s="14" t="s">
        <v>40</v>
      </c>
      <c r="I28" s="11" t="str">
        <f>_xlfn.XLOOKUP($A28,Centrum[Индекс],Centrum[CBM on the shipper/ 
CBM по поставщику],"",0,1)</f>
        <v/>
      </c>
      <c r="J28" s="16" t="str">
        <f>_xlfn.XLOOKUP($A28,Centrum[Индекс],Centrum[Gross weight of cont// 
Гросс.вес по конт.],"",0,1)</f>
        <v/>
      </c>
      <c r="K28" s="17" t="str">
        <f>_xlfn.XLOOKUP($A28,Centrum[Индекс],Centrum[Route/ Маршрут (TSR/TCR)],"",0,1)</f>
        <v/>
      </c>
      <c r="L28" s="11" t="str">
        <f>_xlfn.XLOOKUP($A28,Centrum[Индекс],Centrum[Условия поставки],"",0,1)</f>
        <v/>
      </c>
      <c r="M28" s="11" t="str">
        <f>_xlfn.XLOOKUP($A28,Centrum[Индекс],Centrum[№ HBL date / 
№/ дата коносамента],"",0,1)</f>
        <v/>
      </c>
      <c r="N28" s="11" t="str">
        <f>_xlfn.XLOOKUP($A28,Centrum[Индекс],Centrum[№ MBL / 
№/ коносамента],"",0,1)</f>
        <v/>
      </c>
      <c r="O28" s="8" t="e">
        <f>(_xlfn.XLOOKUP($A28,Centrum[Индекс],Centrum[Date on board / Дата погрузки на судно],"",0,1))*1</f>
        <v>#VALUE!</v>
      </c>
      <c r="P28" s="8" t="e">
        <f>(_xlfn.XLOOKUP($A28,Centrum[Индекс],Centrum[Date of arrival to Sary-Agach/ Дата прибытия на Сары-Агач],"",0,1))*1</f>
        <v>#VALUE!</v>
      </c>
      <c r="Q28" s="14" t="str">
        <f>_xlfn.XLOOKUP($A28,Centrum[Индекс],Centrum[Container type/ 
Тип контейнера],"",0,1)</f>
        <v/>
      </c>
      <c r="R28" s="16">
        <f>_xlfn.XLOOKUP($A28,Centrum[Индекс],Centrum[Transportation cost per supplier/ 
Cтоимость перевозки по поставщикам],0,0,1)</f>
        <v>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28" s="16">
        <f>_xlfn.XLOOKUP(Шаблон_Формулы[[#This Row],[21]],Курс_USD[Дата],Курс_USD[Курс],,0,1)</f>
        <v>12300.09</v>
      </c>
      <c r="W28" s="16">
        <f>Шаблон_Формулы!$T28*Шаблон_Формулы!$V28</f>
        <v>0</v>
      </c>
      <c r="Y28" s="16">
        <f>Шаблон_Формулы!$W28+Шаблон_Формулы!$X28</f>
        <v>0</v>
      </c>
      <c r="Z28" s="14" t="str">
        <f>_xlfn.XLOOKUP($A28,Centrum[Индекс],Centrum[Transport co invoice no/ 
Номер инвойса ТК],"",0,1)</f>
        <v/>
      </c>
    </row>
    <row r="29" spans="1:26" s="11" customFormat="1" x14ac:dyDescent="0.25">
      <c r="A29" s="14">
        <v>25</v>
      </c>
      <c r="B29" s="11" t="str">
        <f>_xlfn.XLOOKUP($A29,Centrum[Индекс],Centrum[Carrier/ Перевозчик],"",0,1)</f>
        <v/>
      </c>
      <c r="C29" s="11" t="str">
        <f>_xlfn.XLOOKUP($A29,Centrum[Индекс],Centrum[Country /  Страна],"",0,1)</f>
        <v/>
      </c>
      <c r="D29" s="11" t="str">
        <f>_xlfn.XLOOKUP($A29,Centrum[Индекс],Centrum[Container num./ 
№ контейнера],"",0,1)</f>
        <v/>
      </c>
      <c r="E29" s="11" t="str">
        <f>_xlfn.XLOOKUP($A29,Centrum[Индекс],Centrum[Supplier/
Поставщик],"",0,1)</f>
        <v/>
      </c>
      <c r="F29" s="11" t="str">
        <f>_xlfn.XLOOKUP($A29,Centrum[Индекс],Centrum[Shippers invoice no/ 
Номер инвойса поставщика],"",1)</f>
        <v/>
      </c>
      <c r="G29" s="15" t="str">
        <f>_xlfn.XLOOKUP($A29,Centrum[Индекс],Centrum[Invoice value / Стоимость груза в к-ре по инвойсу],"",0,1)</f>
        <v/>
      </c>
      <c r="H29" s="14" t="s">
        <v>40</v>
      </c>
      <c r="I29" s="11" t="str">
        <f>_xlfn.XLOOKUP($A29,Centrum[Индекс],Centrum[CBM on the shipper/ 
CBM по поставщику],"",0,1)</f>
        <v/>
      </c>
      <c r="J29" s="16" t="str">
        <f>_xlfn.XLOOKUP($A29,Centrum[Индекс],Centrum[Gross weight of cont// 
Гросс.вес по конт.],"",0,1)</f>
        <v/>
      </c>
      <c r="K29" s="17" t="str">
        <f>_xlfn.XLOOKUP($A29,Centrum[Индекс],Centrum[Route/ Маршрут (TSR/TCR)],"",0,1)</f>
        <v/>
      </c>
      <c r="L29" s="11" t="str">
        <f>_xlfn.XLOOKUP($A29,Centrum[Индекс],Centrum[Условия поставки],"",0,1)</f>
        <v/>
      </c>
      <c r="M29" s="11" t="str">
        <f>_xlfn.XLOOKUP($A29,Centrum[Индекс],Centrum[№ HBL date / 
№/ дата коносамента],"",0,1)</f>
        <v/>
      </c>
      <c r="N29" s="11" t="str">
        <f>_xlfn.XLOOKUP($A29,Centrum[Индекс],Centrum[№ MBL / 
№/ коносамента],"",0,1)</f>
        <v/>
      </c>
      <c r="O29" s="8" t="e">
        <f>(_xlfn.XLOOKUP($A29,Centrum[Индекс],Centrum[Date on board / Дата погрузки на судно],"",0,1))*1</f>
        <v>#VALUE!</v>
      </c>
      <c r="P29" s="8" t="e">
        <f>(_xlfn.XLOOKUP($A29,Centrum[Индекс],Centrum[Date of arrival to Sary-Agach/ Дата прибытия на Сары-Агач],"",0,1))*1</f>
        <v>#VALUE!</v>
      </c>
      <c r="Q29" s="14" t="str">
        <f>_xlfn.XLOOKUP($A29,Centrum[Индекс],Centrum[Container type/ 
Тип контейнера],"",0,1)</f>
        <v/>
      </c>
      <c r="R29" s="16">
        <f>_xlfn.XLOOKUP($A29,Centrum[Индекс],Centrum[Transportation cost per supplier/ 
Cтоимость перевозки по поставщикам],0,0,1)</f>
        <v>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29" s="16">
        <f>_xlfn.XLOOKUP(Шаблон_Формулы[[#This Row],[21]],Курс_USD[Дата],Курс_USD[Курс],,0,1)</f>
        <v>12300.09</v>
      </c>
      <c r="W29" s="16">
        <f>Шаблон_Формулы!$T29*Шаблон_Формулы!$V29</f>
        <v>0</v>
      </c>
      <c r="Y29" s="16">
        <f>Шаблон_Формулы!$W29+Шаблон_Формулы!$X29</f>
        <v>0</v>
      </c>
      <c r="Z29" s="14" t="str">
        <f>_xlfn.XLOOKUP($A29,Centrum[Индекс],Centrum[Transport co invoice no/ 
Номер инвойса ТК],"",0,1)</f>
        <v/>
      </c>
    </row>
    <row r="30" spans="1:26" s="11" customFormat="1" x14ac:dyDescent="0.25">
      <c r="A30" s="14">
        <v>26</v>
      </c>
      <c r="B30" s="11" t="str">
        <f>_xlfn.XLOOKUP($A30,Centrum[Индекс],Centrum[Carrier/ Перевозчик],"",0,1)</f>
        <v/>
      </c>
      <c r="C30" s="11" t="str">
        <f>_xlfn.XLOOKUP($A30,Centrum[Индекс],Centrum[Country /  Страна],"",0,1)</f>
        <v/>
      </c>
      <c r="D30" s="11" t="str">
        <f>_xlfn.XLOOKUP($A30,Centrum[Индекс],Centrum[Container num./ 
№ контейнера],"",0,1)</f>
        <v/>
      </c>
      <c r="E30" s="11" t="str">
        <f>_xlfn.XLOOKUP($A30,Centrum[Индекс],Centrum[Supplier/
Поставщик],"",0,1)</f>
        <v/>
      </c>
      <c r="F30" s="11" t="str">
        <f>_xlfn.XLOOKUP($A30,Centrum[Индекс],Centrum[Shippers invoice no/ 
Номер инвойса поставщика],"",1)</f>
        <v/>
      </c>
      <c r="G30" s="15" t="str">
        <f>_xlfn.XLOOKUP($A30,Centrum[Индекс],Centrum[Invoice value / Стоимость груза в к-ре по инвойсу],"",0,1)</f>
        <v/>
      </c>
      <c r="H30" s="14" t="s">
        <v>40</v>
      </c>
      <c r="I30" s="11" t="str">
        <f>_xlfn.XLOOKUP($A30,Centrum[Индекс],Centrum[CBM on the shipper/ 
CBM по поставщику],"",0,1)</f>
        <v/>
      </c>
      <c r="J30" s="16" t="str">
        <f>_xlfn.XLOOKUP($A30,Centrum[Индекс],Centrum[Gross weight of cont// 
Гросс.вес по конт.],"",0,1)</f>
        <v/>
      </c>
      <c r="K30" s="17" t="str">
        <f>_xlfn.XLOOKUP($A30,Centrum[Индекс],Centrum[Route/ Маршрут (TSR/TCR)],"",0,1)</f>
        <v/>
      </c>
      <c r="L30" s="11" t="str">
        <f>_xlfn.XLOOKUP($A30,Centrum[Индекс],Centrum[Условия поставки],"",0,1)</f>
        <v/>
      </c>
      <c r="M30" s="11" t="str">
        <f>_xlfn.XLOOKUP($A30,Centrum[Индекс],Centrum[№ HBL date / 
№/ дата коносамента],"",0,1)</f>
        <v/>
      </c>
      <c r="N30" s="11" t="str">
        <f>_xlfn.XLOOKUP($A30,Centrum[Индекс],Centrum[№ MBL / 
№/ коносамента],"",0,1)</f>
        <v/>
      </c>
      <c r="O30" s="8" t="e">
        <f>(_xlfn.XLOOKUP($A30,Centrum[Индекс],Centrum[Date on board / Дата погрузки на судно],"",0,1))*1</f>
        <v>#VALUE!</v>
      </c>
      <c r="P30" s="8" t="e">
        <f>(_xlfn.XLOOKUP($A30,Centrum[Индекс],Centrum[Date of arrival to Sary-Agach/ Дата прибытия на Сары-Агач],"",0,1))*1</f>
        <v>#VALUE!</v>
      </c>
      <c r="Q30" s="14" t="str">
        <f>_xlfn.XLOOKUP($A30,Centrum[Индекс],Centrum[Container type/ 
Тип контейнера],"",0,1)</f>
        <v/>
      </c>
      <c r="R30" s="16">
        <f>_xlfn.XLOOKUP($A30,Centrum[Индекс],Centrum[Transportation cost per supplier/ 
Cтоимость перевозки по поставщикам],0,0,1)</f>
        <v>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30" s="16">
        <f>_xlfn.XLOOKUP(Шаблон_Формулы[[#This Row],[21]],Курс_USD[Дата],Курс_USD[Курс],,0,1)</f>
        <v>12300.09</v>
      </c>
      <c r="W30" s="16">
        <f>Шаблон_Формулы!$T30*Шаблон_Формулы!$V30</f>
        <v>0</v>
      </c>
      <c r="Y30" s="16">
        <f>Шаблон_Формулы!$W30+Шаблон_Формулы!$X30</f>
        <v>0</v>
      </c>
      <c r="Z30" s="14" t="str">
        <f>_xlfn.XLOOKUP($A30,Centrum[Индекс],Centrum[Transport co invoice no/ 
Номер инвойса ТК],"",0,1)</f>
        <v/>
      </c>
    </row>
    <row r="31" spans="1:26" s="11" customFormat="1" x14ac:dyDescent="0.25">
      <c r="A31" s="14">
        <v>27</v>
      </c>
      <c r="B31" s="11" t="str">
        <f>_xlfn.XLOOKUP($A31,Centrum[Индекс],Centrum[Carrier/ Перевозчик],"",0,1)</f>
        <v/>
      </c>
      <c r="C31" s="11" t="str">
        <f>_xlfn.XLOOKUP($A31,Centrum[Индекс],Centrum[Country /  Страна],"",0,1)</f>
        <v/>
      </c>
      <c r="D31" s="11" t="str">
        <f>_xlfn.XLOOKUP($A31,Centrum[Индекс],Centrum[Container num./ 
№ контейнера],"",0,1)</f>
        <v/>
      </c>
      <c r="E31" s="11" t="str">
        <f>_xlfn.XLOOKUP($A31,Centrum[Индекс],Centrum[Supplier/
Поставщик],"",0,1)</f>
        <v/>
      </c>
      <c r="F31" s="11" t="str">
        <f>_xlfn.XLOOKUP($A31,Centrum[Индекс],Centrum[Shippers invoice no/ 
Номер инвойса поставщика],"",1)</f>
        <v/>
      </c>
      <c r="G31" s="15" t="str">
        <f>_xlfn.XLOOKUP($A31,Centrum[Индекс],Centrum[Invoice value / Стоимость груза в к-ре по инвойсу],"",0,1)</f>
        <v/>
      </c>
      <c r="H31" s="14" t="s">
        <v>40</v>
      </c>
      <c r="I31" s="11" t="str">
        <f>_xlfn.XLOOKUP($A31,Centrum[Индекс],Centrum[CBM on the shipper/ 
CBM по поставщику],"",0,1)</f>
        <v/>
      </c>
      <c r="J31" s="16" t="str">
        <f>_xlfn.XLOOKUP($A31,Centrum[Индекс],Centrum[Gross weight of cont// 
Гросс.вес по конт.],"",0,1)</f>
        <v/>
      </c>
      <c r="K31" s="17" t="str">
        <f>_xlfn.XLOOKUP($A31,Centrum[Индекс],Centrum[Route/ Маршрут (TSR/TCR)],"",0,1)</f>
        <v/>
      </c>
      <c r="L31" s="11" t="str">
        <f>_xlfn.XLOOKUP($A31,Centrum[Индекс],Centrum[Условия поставки],"",0,1)</f>
        <v/>
      </c>
      <c r="M31" s="11" t="str">
        <f>_xlfn.XLOOKUP($A31,Centrum[Индекс],Centrum[№ HBL date / 
№/ дата коносамента],"",0,1)</f>
        <v/>
      </c>
      <c r="N31" s="11" t="str">
        <f>_xlfn.XLOOKUP($A31,Centrum[Индекс],Centrum[№ MBL / 
№/ коносамента],"",0,1)</f>
        <v/>
      </c>
      <c r="O31" s="8" t="e">
        <f>(_xlfn.XLOOKUP($A31,Centrum[Индекс],Centrum[Date on board / Дата погрузки на судно],"",0,1))*1</f>
        <v>#VALUE!</v>
      </c>
      <c r="P31" s="8" t="e">
        <f>(_xlfn.XLOOKUP($A31,Centrum[Индекс],Centrum[Date of arrival to Sary-Agach/ Дата прибытия на Сары-Агач],"",0,1))*1</f>
        <v>#VALUE!</v>
      </c>
      <c r="Q31" s="14" t="str">
        <f>_xlfn.XLOOKUP($A31,Centrum[Индекс],Centrum[Container type/ 
Тип контейнера],"",0,1)</f>
        <v/>
      </c>
      <c r="R31" s="16">
        <f>_xlfn.XLOOKUP($A31,Centrum[Индекс],Centrum[Transportation cost per supplier/ 
Cтоимость перевозки по поставщикам],0,0,1)</f>
        <v>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31" s="16">
        <f>_xlfn.XLOOKUP(Шаблон_Формулы[[#This Row],[21]],Курс_USD[Дата],Курс_USD[Курс],,0,1)</f>
        <v>12300.09</v>
      </c>
      <c r="W31" s="16">
        <f>Шаблон_Формулы!$T31*Шаблон_Формулы!$V31</f>
        <v>0</v>
      </c>
      <c r="Y31" s="16">
        <f>Шаблон_Формулы!$W31+Шаблон_Формулы!$X31</f>
        <v>0</v>
      </c>
      <c r="Z31" s="14" t="str">
        <f>_xlfn.XLOOKUP($A31,Centrum[Индекс],Centrum[Transport co invoice no/ 
Номер инвойса ТК],"",0,1)</f>
        <v/>
      </c>
    </row>
    <row r="32" spans="1:26" s="11" customFormat="1" x14ac:dyDescent="0.25">
      <c r="A32" s="14">
        <v>28</v>
      </c>
      <c r="B32" s="11" t="str">
        <f>_xlfn.XLOOKUP($A32,Centrum[Индекс],Centrum[Carrier/ Перевозчик],"",0,1)</f>
        <v/>
      </c>
      <c r="C32" s="11" t="str">
        <f>_xlfn.XLOOKUP($A32,Centrum[Индекс],Centrum[Country /  Страна],"",0,1)</f>
        <v/>
      </c>
      <c r="D32" s="11" t="str">
        <f>_xlfn.XLOOKUP($A32,Centrum[Индекс],Centrum[Container num./ 
№ контейнера],"",0,1)</f>
        <v/>
      </c>
      <c r="E32" s="11" t="str">
        <f>_xlfn.XLOOKUP($A32,Centrum[Индекс],Centrum[Supplier/
Поставщик],"",0,1)</f>
        <v/>
      </c>
      <c r="F32" s="11" t="str">
        <f>_xlfn.XLOOKUP($A32,Centrum[Индекс],Centrum[Shippers invoice no/ 
Номер инвойса поставщика],"",1)</f>
        <v/>
      </c>
      <c r="G32" s="15" t="str">
        <f>_xlfn.XLOOKUP($A32,Centrum[Индекс],Centrum[Invoice value / Стоимость груза в к-ре по инвойсу],"",0,1)</f>
        <v/>
      </c>
      <c r="H32" s="14" t="s">
        <v>40</v>
      </c>
      <c r="I32" s="11" t="str">
        <f>_xlfn.XLOOKUP($A32,Centrum[Индекс],Centrum[CBM on the shipper/ 
CBM по поставщику],"",0,1)</f>
        <v/>
      </c>
      <c r="J32" s="16" t="str">
        <f>_xlfn.XLOOKUP($A32,Centrum[Индекс],Centrum[Gross weight of cont// 
Гросс.вес по конт.],"",0,1)</f>
        <v/>
      </c>
      <c r="K32" s="17" t="str">
        <f>_xlfn.XLOOKUP($A32,Centrum[Индекс],Centrum[Route/ Маршрут (TSR/TCR)],"",0,1)</f>
        <v/>
      </c>
      <c r="L32" s="11" t="str">
        <f>_xlfn.XLOOKUP($A32,Centrum[Индекс],Centrum[Условия поставки],"",0,1)</f>
        <v/>
      </c>
      <c r="M32" s="11" t="str">
        <f>_xlfn.XLOOKUP($A32,Centrum[Индекс],Centrum[№ HBL date / 
№/ дата коносамента],"",0,1)</f>
        <v/>
      </c>
      <c r="N32" s="11" t="str">
        <f>_xlfn.XLOOKUP($A32,Centrum[Индекс],Centrum[№ MBL / 
№/ коносамента],"",0,1)</f>
        <v/>
      </c>
      <c r="O32" s="8" t="e">
        <f>(_xlfn.XLOOKUP($A32,Centrum[Индекс],Centrum[Date on board / Дата погрузки на судно],"",0,1))*1</f>
        <v>#VALUE!</v>
      </c>
      <c r="P32" s="8" t="e">
        <f>(_xlfn.XLOOKUP($A32,Centrum[Индекс],Centrum[Date of arrival to Sary-Agach/ Дата прибытия на Сары-Агач],"",0,1))*1</f>
        <v>#VALUE!</v>
      </c>
      <c r="Q32" s="14" t="str">
        <f>_xlfn.XLOOKUP($A32,Centrum[Индекс],Centrum[Container type/ 
Тип контейнера],"",0,1)</f>
        <v/>
      </c>
      <c r="R32" s="16">
        <f>_xlfn.XLOOKUP($A32,Centrum[Индекс],Centrum[Transportation cost per supplier/ 
Cтоимость перевозки по поставщикам],0,0,1)</f>
        <v>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32" s="16">
        <f>_xlfn.XLOOKUP(Шаблон_Формулы[[#This Row],[21]],Курс_USD[Дата],Курс_USD[Курс],,0,1)</f>
        <v>12300.09</v>
      </c>
      <c r="W32" s="16">
        <f>Шаблон_Формулы!$T32*Шаблон_Формулы!$V32</f>
        <v>0</v>
      </c>
      <c r="Y32" s="16">
        <f>Шаблон_Формулы!$W32+Шаблон_Формулы!$X32</f>
        <v>0</v>
      </c>
      <c r="Z32" s="14" t="str">
        <f>_xlfn.XLOOKUP($A32,Centrum[Индекс],Centrum[Transport co invoice no/ 
Номер инвойса ТК],"",0,1)</f>
        <v/>
      </c>
    </row>
    <row r="33" spans="1:26" s="11" customFormat="1" x14ac:dyDescent="0.25">
      <c r="A33" s="14">
        <v>29</v>
      </c>
      <c r="B33" s="11" t="str">
        <f>_xlfn.XLOOKUP($A33,Centrum[Индекс],Centrum[Carrier/ Перевозчик],"",0,1)</f>
        <v/>
      </c>
      <c r="C33" s="11" t="str">
        <f>_xlfn.XLOOKUP($A33,Centrum[Индекс],Centrum[Country /  Страна],"",0,1)</f>
        <v/>
      </c>
      <c r="D33" s="11" t="str">
        <f>_xlfn.XLOOKUP($A33,Centrum[Индекс],Centrum[Container num./ 
№ контейнера],"",0,1)</f>
        <v/>
      </c>
      <c r="E33" s="11" t="str">
        <f>_xlfn.XLOOKUP($A33,Centrum[Индекс],Centrum[Supplier/
Поставщик],"",0,1)</f>
        <v/>
      </c>
      <c r="F33" s="11" t="str">
        <f>_xlfn.XLOOKUP($A33,Centrum[Индекс],Centrum[Shippers invoice no/ 
Номер инвойса поставщика],"",1)</f>
        <v/>
      </c>
      <c r="G33" s="15" t="str">
        <f>_xlfn.XLOOKUP($A33,Centrum[Индекс],Centrum[Invoice value / Стоимость груза в к-ре по инвойсу],"",0,1)</f>
        <v/>
      </c>
      <c r="H33" s="14" t="s">
        <v>40</v>
      </c>
      <c r="I33" s="11" t="str">
        <f>_xlfn.XLOOKUP($A33,Centrum[Индекс],Centrum[CBM on the shipper/ 
CBM по поставщику],"",0,1)</f>
        <v/>
      </c>
      <c r="J33" s="16" t="str">
        <f>_xlfn.XLOOKUP($A33,Centrum[Индекс],Centrum[Gross weight of cont// 
Гросс.вес по конт.],"",0,1)</f>
        <v/>
      </c>
      <c r="K33" s="17" t="str">
        <f>_xlfn.XLOOKUP($A33,Centrum[Индекс],Centrum[Route/ Маршрут (TSR/TCR)],"",0,1)</f>
        <v/>
      </c>
      <c r="L33" s="11" t="str">
        <f>_xlfn.XLOOKUP($A33,Centrum[Индекс],Centrum[Условия поставки],"",0,1)</f>
        <v/>
      </c>
      <c r="M33" s="11" t="str">
        <f>_xlfn.XLOOKUP($A33,Centrum[Индекс],Centrum[№ HBL date / 
№/ дата коносамента],"",0,1)</f>
        <v/>
      </c>
      <c r="N33" s="11" t="str">
        <f>_xlfn.XLOOKUP($A33,Centrum[Индекс],Centrum[№ MBL / 
№/ коносамента],"",0,1)</f>
        <v/>
      </c>
      <c r="O33" s="8" t="e">
        <f>(_xlfn.XLOOKUP($A33,Centrum[Индекс],Centrum[Date on board / Дата погрузки на судно],"",0,1))*1</f>
        <v>#VALUE!</v>
      </c>
      <c r="P33" s="8" t="e">
        <f>(_xlfn.XLOOKUP($A33,Centrum[Индекс],Centrum[Date of arrival to Sary-Agach/ Дата прибытия на Сары-Агач],"",0,1))*1</f>
        <v>#VALUE!</v>
      </c>
      <c r="Q33" s="14" t="str">
        <f>_xlfn.XLOOKUP($A33,Centrum[Индекс],Centrum[Container type/ 
Тип контейнера],"",0,1)</f>
        <v/>
      </c>
      <c r="R33" s="16">
        <f>_xlfn.XLOOKUP($A33,Centrum[Индекс],Centrum[Transportation cost per supplier/ 
Cтоимость перевозки по поставщикам],0,0,1)</f>
        <v>0</v>
      </c>
      <c r="S33" s="16">
        <f>Шаблон_Формулы!$T33-Шаблон_Формулы!$R33</f>
        <v>0</v>
      </c>
      <c r="T33" s="16">
        <f>_xlfn.XLOOKUP($A33,Centrum[Индекс],Centrum[Transportation total amount / Общая стоимость перевозки],0,0,1)</f>
        <v>0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33" s="16">
        <f>_xlfn.XLOOKUP(Шаблон_Формулы[[#This Row],[21]],Курс_USD[Дата],Курс_USD[Курс],,0,1)</f>
        <v>12300.09</v>
      </c>
      <c r="W33" s="16">
        <f>Шаблон_Формулы!$T33*Шаблон_Формулы!$V33</f>
        <v>0</v>
      </c>
      <c r="Y33" s="16">
        <f>Шаблон_Формулы!$W33+Шаблон_Формулы!$X33</f>
        <v>0</v>
      </c>
      <c r="Z33" s="14" t="str">
        <f>_xlfn.XLOOKUP($A33,Centrum[Индекс],Centrum[Transport co invoice no/ 
Номер инвойса ТК],"",0,1)</f>
        <v/>
      </c>
    </row>
    <row r="34" spans="1:26" s="11" customFormat="1" x14ac:dyDescent="0.25">
      <c r="A34" s="14">
        <v>30</v>
      </c>
      <c r="B34" s="11" t="str">
        <f>_xlfn.XLOOKUP($A34,Centrum[Индекс],Centrum[Carrier/ Перевозчик],"",0,1)</f>
        <v/>
      </c>
      <c r="C34" s="11" t="str">
        <f>_xlfn.XLOOKUP($A34,Centrum[Индекс],Centrum[Country /  Страна],"",0,1)</f>
        <v/>
      </c>
      <c r="D34" s="11" t="str">
        <f>_xlfn.XLOOKUP($A34,Centrum[Индекс],Centrum[Container num./ 
№ контейнера],"",0,1)</f>
        <v/>
      </c>
      <c r="E34" s="11" t="str">
        <f>_xlfn.XLOOKUP($A34,Centrum[Индекс],Centrum[Supplier/
Поставщик],"",0,1)</f>
        <v/>
      </c>
      <c r="F34" s="11" t="str">
        <f>_xlfn.XLOOKUP($A34,Centrum[Индекс],Centrum[Shippers invoice no/ 
Номер инвойса поставщика],"",1)</f>
        <v/>
      </c>
      <c r="G34" s="15" t="str">
        <f>_xlfn.XLOOKUP($A34,Centrum[Индекс],Centrum[Invoice value / Стоимость груза в к-ре по инвойсу],"",0,1)</f>
        <v/>
      </c>
      <c r="H34" s="14" t="s">
        <v>40</v>
      </c>
      <c r="I34" s="11" t="str">
        <f>_xlfn.XLOOKUP($A34,Centrum[Индекс],Centrum[CBM on the shipper/ 
CBM по поставщику],"",0,1)</f>
        <v/>
      </c>
      <c r="J34" s="16" t="str">
        <f>_xlfn.XLOOKUP($A34,Centrum[Индекс],Centrum[Gross weight of cont// 
Гросс.вес по конт.],"",0,1)</f>
        <v/>
      </c>
      <c r="K34" s="17" t="str">
        <f>_xlfn.XLOOKUP($A34,Centrum[Индекс],Centrum[Route/ Маршрут (TSR/TCR)],"",0,1)</f>
        <v/>
      </c>
      <c r="L34" s="11" t="str">
        <f>_xlfn.XLOOKUP($A34,Centrum[Индекс],Centrum[Условия поставки],"",0,1)</f>
        <v/>
      </c>
      <c r="M34" s="11" t="str">
        <f>_xlfn.XLOOKUP($A34,Centrum[Индекс],Centrum[№ HBL date / 
№/ дата коносамента],"",0,1)</f>
        <v/>
      </c>
      <c r="N34" s="11" t="str">
        <f>_xlfn.XLOOKUP($A34,Centrum[Индекс],Centrum[№ MBL / 
№/ коносамента],"",0,1)</f>
        <v/>
      </c>
      <c r="O34" s="8" t="e">
        <f>(_xlfn.XLOOKUP($A34,Centrum[Индекс],Centrum[Date on board / Дата погрузки на судно],"",0,1))*1</f>
        <v>#VALUE!</v>
      </c>
      <c r="P34" s="8" t="e">
        <f>(_xlfn.XLOOKUP($A34,Centrum[Индекс],Centrum[Date of arrival to Sary-Agach/ Дата прибытия на Сары-Агач],"",0,1))*1</f>
        <v>#VALUE!</v>
      </c>
      <c r="Q34" s="14" t="str">
        <f>_xlfn.XLOOKUP($A34,Centrum[Индекс],Centrum[Container type/ 
Тип контейнера],"",0,1)</f>
        <v/>
      </c>
      <c r="R34" s="16">
        <f>_xlfn.XLOOKUP($A34,Centrum[Индекс],Centrum[Transportation cost per supplier/ 
Cтоимость перевозки по поставщикам],0,0,1)</f>
        <v>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34" s="16">
        <f>_xlfn.XLOOKUP(Шаблон_Формулы[[#This Row],[21]],Курс_USD[Дата],Курс_USD[Курс],,0,1)</f>
        <v>12300.09</v>
      </c>
      <c r="W34" s="16">
        <f>Шаблон_Формулы!$T34*Шаблон_Формулы!$V34</f>
        <v>0</v>
      </c>
      <c r="Y34" s="16">
        <f>Шаблон_Формулы!$W34+Шаблон_Формулы!$X34</f>
        <v>0</v>
      </c>
      <c r="Z34" s="14" t="str">
        <f>_xlfn.XLOOKUP($A34,Centrum[Индекс],Centrum[Transport co invoice no/ 
Номер инвойса ТК],"",0,1)</f>
        <v/>
      </c>
    </row>
    <row r="35" spans="1:26" s="11" customFormat="1" x14ac:dyDescent="0.25">
      <c r="A35" s="14">
        <v>31</v>
      </c>
      <c r="B35" s="11" t="str">
        <f>_xlfn.XLOOKUP($A35,Centrum[Индекс],Centrum[Carrier/ Перевозчик],"",0,1)</f>
        <v/>
      </c>
      <c r="C35" s="11" t="str">
        <f>_xlfn.XLOOKUP($A35,Centrum[Индекс],Centrum[Country /  Страна],"",0,1)</f>
        <v/>
      </c>
      <c r="D35" s="11" t="str">
        <f>_xlfn.XLOOKUP($A35,Centrum[Индекс],Centrum[Container num./ 
№ контейнера],"",0,1)</f>
        <v/>
      </c>
      <c r="E35" s="11" t="str">
        <f>_xlfn.XLOOKUP($A35,Centrum[Индекс],Centrum[Supplier/
Поставщик],"",0,1)</f>
        <v/>
      </c>
      <c r="F35" s="11" t="str">
        <f>_xlfn.XLOOKUP($A35,Centrum[Индекс],Centrum[Shippers invoice no/ 
Номер инвойса поставщика],"",1)</f>
        <v/>
      </c>
      <c r="G35" s="15" t="str">
        <f>_xlfn.XLOOKUP($A35,Centrum[Индекс],Centrum[Invoice value / Стоимость груза в к-ре по инвойсу],"",0,1)</f>
        <v/>
      </c>
      <c r="H35" s="14" t="s">
        <v>40</v>
      </c>
      <c r="I35" s="11" t="str">
        <f>_xlfn.XLOOKUP($A35,Centrum[Индекс],Centrum[CBM on the shipper/ 
CBM по поставщику],"",0,1)</f>
        <v/>
      </c>
      <c r="J35" s="16" t="str">
        <f>_xlfn.XLOOKUP($A35,Centrum[Индекс],Centrum[Gross weight of cont// 
Гросс.вес по конт.],"",0,1)</f>
        <v/>
      </c>
      <c r="K35" s="17" t="str">
        <f>_xlfn.XLOOKUP($A35,Centrum[Индекс],Centrum[Route/ Маршрут (TSR/TCR)],"",0,1)</f>
        <v/>
      </c>
      <c r="L35" s="11" t="str">
        <f>_xlfn.XLOOKUP($A35,Centrum[Индекс],Centrum[Условия поставки],"",0,1)</f>
        <v/>
      </c>
      <c r="M35" s="11" t="str">
        <f>_xlfn.XLOOKUP($A35,Centrum[Индекс],Centrum[№ HBL date / 
№/ дата коносамента],"",0,1)</f>
        <v/>
      </c>
      <c r="N35" s="11" t="str">
        <f>_xlfn.XLOOKUP($A35,Centrum[Индекс],Centrum[№ MBL / 
№/ коносамента],"",0,1)</f>
        <v/>
      </c>
      <c r="O35" s="8" t="e">
        <f>(_xlfn.XLOOKUP($A35,Centrum[Индекс],Centrum[Date on board / Дата погрузки на судно],"",0,1))*1</f>
        <v>#VALUE!</v>
      </c>
      <c r="P35" s="8" t="e">
        <f>(_xlfn.XLOOKUP($A35,Centrum[Индекс],Centrum[Date of arrival to Sary-Agach/ Дата прибытия на Сары-Агач],"",0,1))*1</f>
        <v>#VALUE!</v>
      </c>
      <c r="Q35" s="14" t="str">
        <f>_xlfn.XLOOKUP($A35,Centrum[Индекс],Centrum[Container type/ 
Тип контейнера],"",0,1)</f>
        <v/>
      </c>
      <c r="R35" s="16">
        <f>_xlfn.XLOOKUP($A35,Centrum[Индекс],Centrum[Transportation cost per supplier/ 
Cтоимость перевозки по поставщикам],0,0,1)</f>
        <v>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35" s="16">
        <f>_xlfn.XLOOKUP(Шаблон_Формулы[[#This Row],[21]],Курс_USD[Дата],Курс_USD[Курс],,0,1)</f>
        <v>12300.09</v>
      </c>
      <c r="W35" s="16">
        <f>Шаблон_Формулы!$T35*Шаблон_Формулы!$V35</f>
        <v>0</v>
      </c>
      <c r="Y35" s="16">
        <f>Шаблон_Формулы!$W35+Шаблон_Формулы!$X35</f>
        <v>0</v>
      </c>
      <c r="Z35" s="14" t="str">
        <f>_xlfn.XLOOKUP($A35,Centrum[Индекс],Centrum[Transport co invoice no/ 
Номер инвойса ТК],"",0,1)</f>
        <v/>
      </c>
    </row>
    <row r="36" spans="1:26" s="11" customFormat="1" x14ac:dyDescent="0.25">
      <c r="A36" s="14">
        <v>32</v>
      </c>
      <c r="B36" s="11" t="str">
        <f>_xlfn.XLOOKUP($A36,Centrum[Индекс],Centrum[Carrier/ Перевозчик],"",0,1)</f>
        <v/>
      </c>
      <c r="C36" s="11" t="str">
        <f>_xlfn.XLOOKUP($A36,Centrum[Индекс],Centrum[Country /  Страна],"",0,1)</f>
        <v/>
      </c>
      <c r="D36" s="11" t="str">
        <f>_xlfn.XLOOKUP($A36,Centrum[Индекс],Centrum[Container num./ 
№ контейнера],"",0,1)</f>
        <v/>
      </c>
      <c r="E36" s="11" t="str">
        <f>_xlfn.XLOOKUP($A36,Centrum[Индекс],Centrum[Supplier/
Поставщик],"",0,1)</f>
        <v/>
      </c>
      <c r="F36" s="11" t="str">
        <f>_xlfn.XLOOKUP($A36,Centrum[Индекс],Centrum[Shippers invoice no/ 
Номер инвойса поставщика],"",1)</f>
        <v/>
      </c>
      <c r="G36" s="15" t="str">
        <f>_xlfn.XLOOKUP($A36,Centrum[Индекс],Centrum[Invoice value / Стоимость груза в к-ре по инвойсу],"",0,1)</f>
        <v/>
      </c>
      <c r="H36" s="14" t="s">
        <v>40</v>
      </c>
      <c r="I36" s="11" t="str">
        <f>_xlfn.XLOOKUP($A36,Centrum[Индекс],Centrum[CBM on the shipper/ 
CBM по поставщику],"",0,1)</f>
        <v/>
      </c>
      <c r="J36" s="16" t="str">
        <f>_xlfn.XLOOKUP($A36,Centrum[Индекс],Centrum[Gross weight of cont// 
Гросс.вес по конт.],"",0,1)</f>
        <v/>
      </c>
      <c r="K36" s="17" t="str">
        <f>_xlfn.XLOOKUP($A36,Centrum[Индекс],Centrum[Route/ Маршрут (TSR/TCR)],"",0,1)</f>
        <v/>
      </c>
      <c r="L36" s="11" t="str">
        <f>_xlfn.XLOOKUP($A36,Centrum[Индекс],Centrum[Условия поставки],"",0,1)</f>
        <v/>
      </c>
      <c r="M36" s="11" t="str">
        <f>_xlfn.XLOOKUP($A36,Centrum[Индекс],Centrum[№ HBL date / 
№/ дата коносамента],"",0,1)</f>
        <v/>
      </c>
      <c r="N36" s="11" t="str">
        <f>_xlfn.XLOOKUP($A36,Centrum[Индекс],Centrum[№ MBL / 
№/ коносамента],"",0,1)</f>
        <v/>
      </c>
      <c r="O36" s="8" t="e">
        <f>(_xlfn.XLOOKUP($A36,Centrum[Индекс],Centrum[Date on board / Дата погрузки на судно],"",0,1))*1</f>
        <v>#VALUE!</v>
      </c>
      <c r="P36" s="8" t="e">
        <f>(_xlfn.XLOOKUP($A36,Centrum[Индекс],Centrum[Date of arrival to Sary-Agach/ Дата прибытия на Сары-Агач],"",0,1))*1</f>
        <v>#VALUE!</v>
      </c>
      <c r="Q36" s="14" t="str">
        <f>_xlfn.XLOOKUP($A36,Centrum[Индекс],Centrum[Container type/ 
Тип контейнера],"",0,1)</f>
        <v/>
      </c>
      <c r="R36" s="16">
        <f>_xlfn.XLOOKUP($A36,Centrum[Индекс],Centrum[Transportation cost per supplier/ 
Cтоимость перевозки по поставщикам],0,0,1)</f>
        <v>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36" s="16">
        <f>_xlfn.XLOOKUP(Шаблон_Формулы[[#This Row],[21]],Курс_USD[Дата],Курс_USD[Курс],,0,1)</f>
        <v>12300.09</v>
      </c>
      <c r="W36" s="16">
        <f>Шаблон_Формулы!$T36*Шаблон_Формулы!$V36</f>
        <v>0</v>
      </c>
      <c r="Y36" s="16">
        <f>Шаблон_Формулы!$W36+Шаблон_Формулы!$X36</f>
        <v>0</v>
      </c>
      <c r="Z36" s="14" t="str">
        <f>_xlfn.XLOOKUP($A36,Centrum[Индекс],Centrum[Transport co invoice no/ 
Номер инвойса ТК],"",0,1)</f>
        <v/>
      </c>
    </row>
    <row r="37" spans="1:26" s="11" customFormat="1" x14ac:dyDescent="0.25">
      <c r="A37" s="14">
        <v>33</v>
      </c>
      <c r="B37" s="11" t="str">
        <f>_xlfn.XLOOKUP($A37,Centrum[Индекс],Centrum[Carrier/ Перевозчик],"",0,1)</f>
        <v/>
      </c>
      <c r="C37" s="11" t="str">
        <f>_xlfn.XLOOKUP($A37,Centrum[Индекс],Centrum[Country /  Страна],"",0,1)</f>
        <v/>
      </c>
      <c r="D37" s="11" t="str">
        <f>_xlfn.XLOOKUP($A37,Centrum[Индекс],Centrum[Container num./ 
№ контейнера],"",0,1)</f>
        <v/>
      </c>
      <c r="E37" s="11" t="str">
        <f>_xlfn.XLOOKUP($A37,Centrum[Индекс],Centrum[Supplier/
Поставщик],"",0,1)</f>
        <v/>
      </c>
      <c r="F37" s="11" t="str">
        <f>_xlfn.XLOOKUP($A37,Centrum[Индекс],Centrum[Shippers invoice no/ 
Номер инвойса поставщика],"",1)</f>
        <v/>
      </c>
      <c r="G37" s="15" t="str">
        <f>_xlfn.XLOOKUP($A37,Centrum[Индекс],Centrum[Invoice value / Стоимость груза в к-ре по инвойсу],"",0,1)</f>
        <v/>
      </c>
      <c r="H37" s="14" t="s">
        <v>40</v>
      </c>
      <c r="I37" s="11" t="str">
        <f>_xlfn.XLOOKUP($A37,Centrum[Индекс],Centrum[CBM on the shipper/ 
CBM по поставщику],"",0,1)</f>
        <v/>
      </c>
      <c r="J37" s="16" t="str">
        <f>_xlfn.XLOOKUP($A37,Centrum[Индекс],Centrum[Gross weight of cont// 
Гросс.вес по конт.],"",0,1)</f>
        <v/>
      </c>
      <c r="K37" s="17" t="str">
        <f>_xlfn.XLOOKUP($A37,Centrum[Индекс],Centrum[Route/ Маршрут (TSR/TCR)],"",0,1)</f>
        <v/>
      </c>
      <c r="L37" s="11" t="str">
        <f>_xlfn.XLOOKUP($A37,Centrum[Индекс],Centrum[Условия поставки],"",0,1)</f>
        <v/>
      </c>
      <c r="M37" s="11" t="str">
        <f>_xlfn.XLOOKUP($A37,Centrum[Индекс],Centrum[№ HBL date / 
№/ дата коносамента],"",0,1)</f>
        <v/>
      </c>
      <c r="N37" s="11" t="str">
        <f>_xlfn.XLOOKUP($A37,Centrum[Индекс],Centrum[№ MBL / 
№/ коносамента],"",0,1)</f>
        <v/>
      </c>
      <c r="O37" s="8" t="e">
        <f>(_xlfn.XLOOKUP($A37,Centrum[Индекс],Centrum[Date on board / Дата погрузки на судно],"",0,1))*1</f>
        <v>#VALUE!</v>
      </c>
      <c r="P37" s="8" t="e">
        <f>(_xlfn.XLOOKUP($A37,Centrum[Индекс],Centrum[Date of arrival to Sary-Agach/ Дата прибытия на Сары-Агач],"",0,1))*1</f>
        <v>#VALUE!</v>
      </c>
      <c r="Q37" s="14" t="str">
        <f>_xlfn.XLOOKUP($A37,Centrum[Индекс],Centrum[Container type/ 
Тип контейнера],"",0,1)</f>
        <v/>
      </c>
      <c r="R37" s="16">
        <f>_xlfn.XLOOKUP($A37,Centrum[Индекс],Centrum[Transportation cost per supplier/ 
Cтоимость перевозки по поставщикам],0,0,1)</f>
        <v>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37" s="16">
        <f>_xlfn.XLOOKUP(Шаблон_Формулы[[#This Row],[21]],Курс_USD[Дата],Курс_USD[Курс],,0,1)</f>
        <v>12300.09</v>
      </c>
      <c r="W37" s="16">
        <f>Шаблон_Формулы!$T37*Шаблон_Формулы!$V37</f>
        <v>0</v>
      </c>
      <c r="Y37" s="16">
        <f>Шаблон_Формулы!$W37+Шаблон_Формулы!$X37</f>
        <v>0</v>
      </c>
      <c r="Z37" s="14" t="str">
        <f>_xlfn.XLOOKUP($A37,Centrum[Индекс],Centrum[Transport co invoice no/ 
Номер инвойса ТК],"",0,1)</f>
        <v/>
      </c>
    </row>
    <row r="38" spans="1:26" s="11" customFormat="1" x14ac:dyDescent="0.25">
      <c r="A38" s="14">
        <v>34</v>
      </c>
      <c r="B38" s="11" t="str">
        <f>_xlfn.XLOOKUP($A38,Centrum[Индекс],Centrum[Carrier/ Перевозчик],"",0,1)</f>
        <v/>
      </c>
      <c r="C38" s="11" t="str">
        <f>_xlfn.XLOOKUP($A38,Centrum[Индекс],Centrum[Country /  Страна],"",0,1)</f>
        <v/>
      </c>
      <c r="D38" s="11" t="str">
        <f>_xlfn.XLOOKUP($A38,Centrum[Индекс],Centrum[Container num./ 
№ контейнера],"",0,1)</f>
        <v/>
      </c>
      <c r="E38" s="11" t="str">
        <f>_xlfn.XLOOKUP($A38,Centrum[Индекс],Centrum[Supplier/
Поставщик],"",0,1)</f>
        <v/>
      </c>
      <c r="F38" s="11" t="str">
        <f>_xlfn.XLOOKUP($A38,Centrum[Индекс],Centrum[Shippers invoice no/ 
Номер инвойса поставщика],"",1)</f>
        <v/>
      </c>
      <c r="G38" s="15" t="str">
        <f>_xlfn.XLOOKUP($A38,Centrum[Индекс],Centrum[Invoice value / Стоимость груза в к-ре по инвойсу],"",0,1)</f>
        <v/>
      </c>
      <c r="H38" s="14" t="s">
        <v>40</v>
      </c>
      <c r="I38" s="11" t="str">
        <f>_xlfn.XLOOKUP($A38,Centrum[Индекс],Centrum[CBM on the shipper/ 
CBM по поставщику],"",0,1)</f>
        <v/>
      </c>
      <c r="J38" s="16" t="str">
        <f>_xlfn.XLOOKUP($A38,Centrum[Индекс],Centrum[Gross weight of cont// 
Гросс.вес по конт.],"",0,1)</f>
        <v/>
      </c>
      <c r="K38" s="17" t="str">
        <f>_xlfn.XLOOKUP($A38,Centrum[Индекс],Centrum[Route/ Маршрут (TSR/TCR)],"",0,1)</f>
        <v/>
      </c>
      <c r="L38" s="11" t="str">
        <f>_xlfn.XLOOKUP($A38,Centrum[Индекс],Centrum[Условия поставки],"",0,1)</f>
        <v/>
      </c>
      <c r="M38" s="11" t="str">
        <f>_xlfn.XLOOKUP($A38,Centrum[Индекс],Centrum[№ HBL date / 
№/ дата коносамента],"",0,1)</f>
        <v/>
      </c>
      <c r="N38" s="11" t="str">
        <f>_xlfn.XLOOKUP($A38,Centrum[Индекс],Centrum[№ MBL / 
№/ коносамента],"",0,1)</f>
        <v/>
      </c>
      <c r="O38" s="8" t="e">
        <f>(_xlfn.XLOOKUP($A38,Centrum[Индекс],Centrum[Date on board / Дата погрузки на судно],"",0,1))*1</f>
        <v>#VALUE!</v>
      </c>
      <c r="P38" s="8" t="e">
        <f>(_xlfn.XLOOKUP($A38,Centrum[Индекс],Centrum[Date of arrival to Sary-Agach/ Дата прибытия на Сары-Агач],"",0,1))*1</f>
        <v>#VALUE!</v>
      </c>
      <c r="Q38" s="14" t="str">
        <f>_xlfn.XLOOKUP($A38,Centrum[Индекс],Centrum[Container type/ 
Тип контейнера],"",0,1)</f>
        <v/>
      </c>
      <c r="R38" s="16">
        <f>_xlfn.XLOOKUP($A38,Centrum[Индекс],Centrum[Transportation cost per supplier/ 
Cтоимость перевозки по поставщикам],0,0,1)</f>
        <v>0</v>
      </c>
      <c r="S38" s="16">
        <f>Шаблон_Формулы!$T38-Шаблон_Формулы!$R38</f>
        <v>0</v>
      </c>
      <c r="T38" s="16">
        <f>_xlfn.XLOOKUP($A38,Centrum[Индекс],Centrum[Transportation total amount / Общая стоимость перевозки],0,0,1)</f>
        <v>0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38" s="16">
        <f>_xlfn.XLOOKUP(Шаблон_Формулы[[#This Row],[21]],Курс_USD[Дата],Курс_USD[Курс],,0,1)</f>
        <v>12300.09</v>
      </c>
      <c r="W38" s="16">
        <f>Шаблон_Формулы!$T38*Шаблон_Формулы!$V38</f>
        <v>0</v>
      </c>
      <c r="Y38" s="16">
        <f>Шаблон_Формулы!$W38+Шаблон_Формулы!$X38</f>
        <v>0</v>
      </c>
      <c r="Z38" s="14" t="str">
        <f>_xlfn.XLOOKUP($A38,Centrum[Индекс],Centrum[Transport co invoice no/ 
Номер инвойса ТК],"",0,1)</f>
        <v/>
      </c>
    </row>
    <row r="39" spans="1:26" s="11" customFormat="1" x14ac:dyDescent="0.25">
      <c r="A39" s="14">
        <v>35</v>
      </c>
      <c r="B39" s="11" t="str">
        <f>_xlfn.XLOOKUP($A39,Centrum[Индекс],Centrum[Carrier/ Перевозчик],"",0,1)</f>
        <v/>
      </c>
      <c r="C39" s="11" t="str">
        <f>_xlfn.XLOOKUP($A39,Centrum[Индекс],Centrum[Country /  Страна],"",0,1)</f>
        <v/>
      </c>
      <c r="D39" s="11" t="str">
        <f>_xlfn.XLOOKUP($A39,Centrum[Индекс],Centrum[Container num./ 
№ контейнера],"",0,1)</f>
        <v/>
      </c>
      <c r="E39" s="11" t="str">
        <f>_xlfn.XLOOKUP($A39,Centrum[Индекс],Centrum[Supplier/
Поставщик],"",0,1)</f>
        <v/>
      </c>
      <c r="F39" s="11" t="str">
        <f>_xlfn.XLOOKUP($A39,Centrum[Индекс],Centrum[Shippers invoice no/ 
Номер инвойса поставщика],"",1)</f>
        <v/>
      </c>
      <c r="G39" s="15" t="str">
        <f>_xlfn.XLOOKUP($A39,Centrum[Индекс],Centrum[Invoice value / Стоимость груза в к-ре по инвойсу],"",0,1)</f>
        <v/>
      </c>
      <c r="H39" s="14" t="s">
        <v>40</v>
      </c>
      <c r="I39" s="11" t="str">
        <f>_xlfn.XLOOKUP($A39,Centrum[Индекс],Centrum[CBM on the shipper/ 
CBM по поставщику],"",0,1)</f>
        <v/>
      </c>
      <c r="J39" s="16" t="str">
        <f>_xlfn.XLOOKUP($A39,Centrum[Индекс],Centrum[Gross weight of cont// 
Гросс.вес по конт.],"",0,1)</f>
        <v/>
      </c>
      <c r="K39" s="17" t="str">
        <f>_xlfn.XLOOKUP($A39,Centrum[Индекс],Centrum[Route/ Маршрут (TSR/TCR)],"",0,1)</f>
        <v/>
      </c>
      <c r="L39" s="11" t="str">
        <f>_xlfn.XLOOKUP($A39,Centrum[Индекс],Centrum[Условия поставки],"",0,1)</f>
        <v/>
      </c>
      <c r="M39" s="11" t="str">
        <f>_xlfn.XLOOKUP($A39,Centrum[Индекс],Centrum[№ HBL date / 
№/ дата коносамента],"",0,1)</f>
        <v/>
      </c>
      <c r="N39" s="11" t="str">
        <f>_xlfn.XLOOKUP($A39,Centrum[Индекс],Centrum[№ MBL / 
№/ коносамента],"",0,1)</f>
        <v/>
      </c>
      <c r="O39" s="8" t="e">
        <f>(_xlfn.XLOOKUP($A39,Centrum[Индекс],Centrum[Date on board / Дата погрузки на судно],"",0,1))*1</f>
        <v>#VALUE!</v>
      </c>
      <c r="P39" s="8" t="e">
        <f>(_xlfn.XLOOKUP($A39,Centrum[Индекс],Centrum[Date of arrival to Sary-Agach/ Дата прибытия на Сары-Агач],"",0,1))*1</f>
        <v>#VALUE!</v>
      </c>
      <c r="Q39" s="14" t="str">
        <f>_xlfn.XLOOKUP($A39,Centrum[Индекс],Centrum[Container type/ 
Тип контейнера],"",0,1)</f>
        <v/>
      </c>
      <c r="R39" s="16">
        <f>_xlfn.XLOOKUP($A39,Centrum[Индекс],Centrum[Transportation cost per supplier/ 
Cтоимость перевозки по поставщикам],0,0,1)</f>
        <v>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39" s="16">
        <f>_xlfn.XLOOKUP(Шаблон_Формулы[[#This Row],[21]],Курс_USD[Дата],Курс_USD[Курс],,0,1)</f>
        <v>12300.09</v>
      </c>
      <c r="W39" s="16">
        <f>Шаблон_Формулы!$T39*Шаблон_Формулы!$V39</f>
        <v>0</v>
      </c>
      <c r="Y39" s="16">
        <f>Шаблон_Формулы!$W39+Шаблон_Формулы!$X39</f>
        <v>0</v>
      </c>
      <c r="Z39" s="14" t="str">
        <f>_xlfn.XLOOKUP($A39,Centrum[Индекс],Centrum[Transport co invoice no/ 
Номер инвойса ТК],"",0,1)</f>
        <v/>
      </c>
    </row>
    <row r="40" spans="1:26" s="11" customFormat="1" x14ac:dyDescent="0.25">
      <c r="A40" s="14">
        <v>36</v>
      </c>
      <c r="B40" s="11" t="str">
        <f>_xlfn.XLOOKUP($A40,Centrum[Индекс],Centrum[Carrier/ Перевозчик],"",0,1)</f>
        <v/>
      </c>
      <c r="C40" s="11" t="str">
        <f>_xlfn.XLOOKUP($A40,Centrum[Индекс],Centrum[Country /  Страна],"",0,1)</f>
        <v/>
      </c>
      <c r="D40" s="11" t="str">
        <f>_xlfn.XLOOKUP($A40,Centrum[Индекс],Centrum[Container num./ 
№ контейнера],"",0,1)</f>
        <v/>
      </c>
      <c r="E40" s="11" t="str">
        <f>_xlfn.XLOOKUP($A40,Centrum[Индекс],Centrum[Supplier/
Поставщик],"",0,1)</f>
        <v/>
      </c>
      <c r="F40" s="11" t="str">
        <f>_xlfn.XLOOKUP($A40,Centrum[Индекс],Centrum[Shippers invoice no/ 
Номер инвойса поставщика],"",1)</f>
        <v/>
      </c>
      <c r="G40" s="15" t="str">
        <f>_xlfn.XLOOKUP($A40,Centrum[Индекс],Centrum[Invoice value / Стоимость груза в к-ре по инвойсу],"",0,1)</f>
        <v/>
      </c>
      <c r="H40" s="14" t="s">
        <v>40</v>
      </c>
      <c r="I40" s="11" t="str">
        <f>_xlfn.XLOOKUP($A40,Centrum[Индекс],Centrum[CBM on the shipper/ 
CBM по поставщику],"",0,1)</f>
        <v/>
      </c>
      <c r="J40" s="16" t="str">
        <f>_xlfn.XLOOKUP($A40,Centrum[Индекс],Centrum[Gross weight of cont// 
Гросс.вес по конт.],"",0,1)</f>
        <v/>
      </c>
      <c r="K40" s="17" t="str">
        <f>_xlfn.XLOOKUP($A40,Centrum[Индекс],Centrum[Route/ Маршрут (TSR/TCR)],"",0,1)</f>
        <v/>
      </c>
      <c r="L40" s="11" t="str">
        <f>_xlfn.XLOOKUP($A40,Centrum[Индекс],Centrum[Условия поставки],"",0,1)</f>
        <v/>
      </c>
      <c r="M40" s="11" t="str">
        <f>_xlfn.XLOOKUP($A40,Centrum[Индекс],Centrum[№ HBL date / 
№/ дата коносамента],"",0,1)</f>
        <v/>
      </c>
      <c r="N40" s="11" t="str">
        <f>_xlfn.XLOOKUP($A40,Centrum[Индекс],Centrum[№ MBL / 
№/ коносамента],"",0,1)</f>
        <v/>
      </c>
      <c r="O40" s="8" t="e">
        <f>(_xlfn.XLOOKUP($A40,Centrum[Индекс],Centrum[Date on board / Дата погрузки на судно],"",0,1))*1</f>
        <v>#VALUE!</v>
      </c>
      <c r="P40" s="8" t="e">
        <f>(_xlfn.XLOOKUP($A40,Centrum[Индекс],Centrum[Date of arrival to Sary-Agach/ Дата прибытия на Сары-Агач],"",0,1))*1</f>
        <v>#VALUE!</v>
      </c>
      <c r="Q40" s="14" t="str">
        <f>_xlfn.XLOOKUP($A40,Centrum[Индекс],Centrum[Container type/ 
Тип контейнера],"",0,1)</f>
        <v/>
      </c>
      <c r="R40" s="16">
        <f>_xlfn.XLOOKUP($A40,Centrum[Индекс],Centrum[Transportation cost per supplier/ 
Cтоимость перевозки по поставщикам],0,0,1)</f>
        <v>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40" s="16">
        <f>_xlfn.XLOOKUP(Шаблон_Формулы[[#This Row],[21]],Курс_USD[Дата],Курс_USD[Курс],,0,1)</f>
        <v>12300.09</v>
      </c>
      <c r="W40" s="16">
        <f>Шаблон_Формулы!$T40*Шаблон_Формулы!$V40</f>
        <v>0</v>
      </c>
      <c r="Y40" s="16">
        <f>Шаблон_Формулы!$W40+Шаблон_Формулы!$X40</f>
        <v>0</v>
      </c>
      <c r="Z40" s="14" t="str">
        <f>_xlfn.XLOOKUP($A40,Centrum[Индекс],Centrum[Transport co invoice no/ 
Номер инвойса ТК],"",0,1)</f>
        <v/>
      </c>
    </row>
    <row r="41" spans="1:26" s="11" customFormat="1" x14ac:dyDescent="0.25">
      <c r="A41" s="14">
        <v>37</v>
      </c>
      <c r="B41" s="11" t="str">
        <f>_xlfn.XLOOKUP($A41,Centrum[Индекс],Centrum[Carrier/ Перевозчик],"",0,1)</f>
        <v/>
      </c>
      <c r="C41" s="11" t="str">
        <f>_xlfn.XLOOKUP($A41,Centrum[Индекс],Centrum[Country /  Страна],"",0,1)</f>
        <v/>
      </c>
      <c r="D41" s="11" t="str">
        <f>_xlfn.XLOOKUP($A41,Centrum[Индекс],Centrum[Container num./ 
№ контейнера],"",0,1)</f>
        <v/>
      </c>
      <c r="E41" s="11" t="str">
        <f>_xlfn.XLOOKUP($A41,Centrum[Индекс],Centrum[Supplier/
Поставщик],"",0,1)</f>
        <v/>
      </c>
      <c r="F41" s="11" t="str">
        <f>_xlfn.XLOOKUP($A41,Centrum[Индекс],Centrum[Shippers invoice no/ 
Номер инвойса поставщика],"",1)</f>
        <v/>
      </c>
      <c r="G41" s="15" t="str">
        <f>_xlfn.XLOOKUP($A41,Centrum[Индекс],Centrum[Invoice value / Стоимость груза в к-ре по инвойсу],"",0,1)</f>
        <v/>
      </c>
      <c r="H41" s="14" t="s">
        <v>40</v>
      </c>
      <c r="I41" s="11" t="str">
        <f>_xlfn.XLOOKUP($A41,Centrum[Индекс],Centrum[CBM on the shipper/ 
CBM по поставщику],"",0,1)</f>
        <v/>
      </c>
      <c r="J41" s="16" t="str">
        <f>_xlfn.XLOOKUP($A41,Centrum[Индекс],Centrum[Gross weight of cont// 
Гросс.вес по конт.],"",0,1)</f>
        <v/>
      </c>
      <c r="K41" s="17" t="str">
        <f>_xlfn.XLOOKUP($A41,Centrum[Индекс],Centrum[Route/ Маршрут (TSR/TCR)],"",0,1)</f>
        <v/>
      </c>
      <c r="L41" s="11" t="str">
        <f>_xlfn.XLOOKUP($A41,Centrum[Индекс],Centrum[Условия поставки],"",0,1)</f>
        <v/>
      </c>
      <c r="M41" s="11" t="str">
        <f>_xlfn.XLOOKUP($A41,Centrum[Индекс],Centrum[№ HBL date / 
№/ дата коносамента],"",0,1)</f>
        <v/>
      </c>
      <c r="N41" s="11" t="str">
        <f>_xlfn.XLOOKUP($A41,Centrum[Индекс],Centrum[№ MBL / 
№/ коносамента],"",0,1)</f>
        <v/>
      </c>
      <c r="O41" s="8" t="e">
        <f>(_xlfn.XLOOKUP($A41,Centrum[Индекс],Centrum[Date on board / Дата погрузки на судно],"",0,1))*1</f>
        <v>#VALUE!</v>
      </c>
      <c r="P41" s="8" t="e">
        <f>(_xlfn.XLOOKUP($A41,Centrum[Индекс],Centrum[Date of arrival to Sary-Agach/ Дата прибытия на Сары-Агач],"",0,1))*1</f>
        <v>#VALUE!</v>
      </c>
      <c r="Q41" s="14" t="str">
        <f>_xlfn.XLOOKUP($A41,Centrum[Индекс],Centrum[Container type/ 
Тип контейнера],"",0,1)</f>
        <v/>
      </c>
      <c r="R41" s="16">
        <f>_xlfn.XLOOKUP($A41,Centrum[Индекс],Centrum[Transportation cost per supplier/ 
Cтоимость перевозки по поставщикам],0,0,1)</f>
        <v>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41" s="16">
        <f>_xlfn.XLOOKUP(Шаблон_Формулы[[#This Row],[21]],Курс_USD[Дата],Курс_USD[Курс],,0,1)</f>
        <v>12300.09</v>
      </c>
      <c r="W41" s="16">
        <f>Шаблон_Формулы!$T41*Шаблон_Формулы!$V41</f>
        <v>0</v>
      </c>
      <c r="Y41" s="16">
        <f>Шаблон_Формулы!$W41+Шаблон_Формулы!$X41</f>
        <v>0</v>
      </c>
      <c r="Z41" s="14" t="str">
        <f>_xlfn.XLOOKUP($A41,Centrum[Индекс],Centrum[Transport co invoice no/ 
Номер инвойса ТК],"",0,1)</f>
        <v/>
      </c>
    </row>
    <row r="42" spans="1:26" s="11" customFormat="1" x14ac:dyDescent="0.25">
      <c r="A42" s="14">
        <v>38</v>
      </c>
      <c r="B42" s="11" t="str">
        <f>_xlfn.XLOOKUP($A42,Centrum[Индекс],Centrum[Carrier/ Перевозчик],"",0,1)</f>
        <v/>
      </c>
      <c r="C42" s="11" t="str">
        <f>_xlfn.XLOOKUP($A42,Centrum[Индекс],Centrum[Country /  Страна],"",0,1)</f>
        <v/>
      </c>
      <c r="D42" s="11" t="str">
        <f>_xlfn.XLOOKUP($A42,Centrum[Индекс],Centrum[Container num./ 
№ контейнера],"",0,1)</f>
        <v/>
      </c>
      <c r="E42" s="11" t="str">
        <f>_xlfn.XLOOKUP($A42,Centrum[Индекс],Centrum[Supplier/
Поставщик],"",0,1)</f>
        <v/>
      </c>
      <c r="F42" s="11" t="str">
        <f>_xlfn.XLOOKUP($A42,Centrum[Индекс],Centrum[Shippers invoice no/ 
Номер инвойса поставщика],"",1)</f>
        <v/>
      </c>
      <c r="G42" s="15" t="str">
        <f>_xlfn.XLOOKUP($A42,Centrum[Индекс],Centrum[Invoice value / Стоимость груза в к-ре по инвойсу],"",0,1)</f>
        <v/>
      </c>
      <c r="H42" s="14" t="s">
        <v>40</v>
      </c>
      <c r="I42" s="11" t="str">
        <f>_xlfn.XLOOKUP($A42,Centrum[Индекс],Centrum[CBM on the shipper/ 
CBM по поставщику],"",0,1)</f>
        <v/>
      </c>
      <c r="J42" s="16" t="str">
        <f>_xlfn.XLOOKUP($A42,Centrum[Индекс],Centrum[Gross weight of cont// 
Гросс.вес по конт.],"",0,1)</f>
        <v/>
      </c>
      <c r="K42" s="17" t="str">
        <f>_xlfn.XLOOKUP($A42,Centrum[Индекс],Centrum[Route/ Маршрут (TSR/TCR)],"",0,1)</f>
        <v/>
      </c>
      <c r="L42" s="11" t="str">
        <f>_xlfn.XLOOKUP($A42,Centrum[Индекс],Centrum[Условия поставки],"",0,1)</f>
        <v/>
      </c>
      <c r="M42" s="11" t="str">
        <f>_xlfn.XLOOKUP($A42,Centrum[Индекс],Centrum[№ HBL date / 
№/ дата коносамента],"",0,1)</f>
        <v/>
      </c>
      <c r="N42" s="11" t="str">
        <f>_xlfn.XLOOKUP($A42,Centrum[Индекс],Centrum[№ MBL / 
№/ коносамента],"",0,1)</f>
        <v/>
      </c>
      <c r="O42" s="8" t="e">
        <f>(_xlfn.XLOOKUP($A42,Centrum[Индекс],Centrum[Date on board / Дата погрузки на судно],"",0,1))*1</f>
        <v>#VALUE!</v>
      </c>
      <c r="P42" s="8" t="e">
        <f>(_xlfn.XLOOKUP($A42,Centrum[Индекс],Centrum[Date of arrival to Sary-Agach/ Дата прибытия на Сары-Агач],"",0,1))*1</f>
        <v>#VALUE!</v>
      </c>
      <c r="Q42" s="14" t="str">
        <f>_xlfn.XLOOKUP($A42,Centrum[Индекс],Centrum[Container type/ 
Тип контейнера],"",0,1)</f>
        <v/>
      </c>
      <c r="R42" s="16">
        <f>_xlfn.XLOOKUP($A42,Centrum[Индекс],Centrum[Transportation cost per supplier/ 
Cтоимость перевозки по поставщикам],0,0,1)</f>
        <v>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42" s="16">
        <f>_xlfn.XLOOKUP(Шаблон_Формулы[[#This Row],[21]],Курс_USD[Дата],Курс_USD[Курс],,0,1)</f>
        <v>12300.09</v>
      </c>
      <c r="W42" s="16">
        <f>Шаблон_Формулы!$T42*Шаблон_Формулы!$V42</f>
        <v>0</v>
      </c>
      <c r="Y42" s="16">
        <f>Шаблон_Формулы!$W42+Шаблон_Формулы!$X42</f>
        <v>0</v>
      </c>
      <c r="Z42" s="14" t="str">
        <f>_xlfn.XLOOKUP($A42,Centrum[Индекс],Centrum[Transport co invoice no/ 
Номер инвойса ТК],"",0,1)</f>
        <v/>
      </c>
    </row>
    <row r="43" spans="1:26" s="11" customFormat="1" x14ac:dyDescent="0.25">
      <c r="A43" s="14">
        <v>39</v>
      </c>
      <c r="B43" s="11" t="str">
        <f>_xlfn.XLOOKUP($A43,Centrum[Индекс],Centrum[Carrier/ Перевозчик],"",0,1)</f>
        <v/>
      </c>
      <c r="C43" s="11" t="str">
        <f>_xlfn.XLOOKUP($A43,Centrum[Индекс],Centrum[Country /  Страна],"",0,1)</f>
        <v/>
      </c>
      <c r="D43" s="11" t="str">
        <f>_xlfn.XLOOKUP($A43,Centrum[Индекс],Centrum[Container num./ 
№ контейнера],"",0,1)</f>
        <v/>
      </c>
      <c r="E43" s="11" t="str">
        <f>_xlfn.XLOOKUP($A43,Centrum[Индекс],Centrum[Supplier/
Поставщик],"",0,1)</f>
        <v/>
      </c>
      <c r="F43" s="11" t="str">
        <f>_xlfn.XLOOKUP($A43,Centrum[Индекс],Centrum[Shippers invoice no/ 
Номер инвойса поставщика],"",1)</f>
        <v/>
      </c>
      <c r="G43" s="15" t="str">
        <f>_xlfn.XLOOKUP($A43,Centrum[Индекс],Centrum[Invoice value / Стоимость груза в к-ре по инвойсу],"",0,1)</f>
        <v/>
      </c>
      <c r="H43" s="14" t="s">
        <v>40</v>
      </c>
      <c r="I43" s="11" t="str">
        <f>_xlfn.XLOOKUP($A43,Centrum[Индекс],Centrum[CBM on the shipper/ 
CBM по поставщику],"",0,1)</f>
        <v/>
      </c>
      <c r="J43" s="16" t="str">
        <f>_xlfn.XLOOKUP($A43,Centrum[Индекс],Centrum[Gross weight of cont// 
Гросс.вес по конт.],"",0,1)</f>
        <v/>
      </c>
      <c r="K43" s="17" t="str">
        <f>_xlfn.XLOOKUP($A43,Centrum[Индекс],Centrum[Route/ Маршрут (TSR/TCR)],"",0,1)</f>
        <v/>
      </c>
      <c r="L43" s="11" t="str">
        <f>_xlfn.XLOOKUP($A43,Centrum[Индекс],Centrum[Условия поставки],"",0,1)</f>
        <v/>
      </c>
      <c r="M43" s="11" t="str">
        <f>_xlfn.XLOOKUP($A43,Centrum[Индекс],Centrum[№ HBL date / 
№/ дата коносамента],"",0,1)</f>
        <v/>
      </c>
      <c r="N43" s="11" t="str">
        <f>_xlfn.XLOOKUP($A43,Centrum[Индекс],Centrum[№ MBL / 
№/ коносамента],"",0,1)</f>
        <v/>
      </c>
      <c r="O43" s="8" t="e">
        <f>(_xlfn.XLOOKUP($A43,Centrum[Индекс],Centrum[Date on board / Дата погрузки на судно],"",0,1))*1</f>
        <v>#VALUE!</v>
      </c>
      <c r="P43" s="8" t="e">
        <f>(_xlfn.XLOOKUP($A43,Centrum[Индекс],Centrum[Date of arrival to Sary-Agach/ Дата прибытия на Сары-Агач],"",0,1))*1</f>
        <v>#VALUE!</v>
      </c>
      <c r="Q43" s="14" t="str">
        <f>_xlfn.XLOOKUP($A43,Centrum[Индекс],Centrum[Container type/ 
Тип контейнера],"",0,1)</f>
        <v/>
      </c>
      <c r="R43" s="16">
        <f>_xlfn.XLOOKUP($A43,Centrum[Индекс],Centrum[Transportation cost per supplier/ 
Cтоимость перевозки по поставщикам],0,0,1)</f>
        <v>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43" s="16">
        <f>_xlfn.XLOOKUP(Шаблон_Формулы[[#This Row],[21]],Курс_USD[Дата],Курс_USD[Курс],,0,1)</f>
        <v>12300.09</v>
      </c>
      <c r="W43" s="16">
        <f>Шаблон_Формулы!$T43*Шаблон_Формулы!$V43</f>
        <v>0</v>
      </c>
      <c r="Y43" s="16">
        <f>Шаблон_Формулы!$W43+Шаблон_Формулы!$X43</f>
        <v>0</v>
      </c>
      <c r="Z43" s="14" t="str">
        <f>_xlfn.XLOOKUP($A43,Centrum[Индекс],Centrum[Transport co invoice no/ 
Номер инвойса ТК],"",0,1)</f>
        <v/>
      </c>
    </row>
    <row r="44" spans="1:26" s="11" customFormat="1" x14ac:dyDescent="0.25">
      <c r="A44" s="14">
        <v>40</v>
      </c>
      <c r="B44" s="11" t="str">
        <f>_xlfn.XLOOKUP($A44,Centrum[Индекс],Centrum[Carrier/ Перевозчик],"",0,1)</f>
        <v/>
      </c>
      <c r="C44" s="11" t="str">
        <f>_xlfn.XLOOKUP($A44,Centrum[Индекс],Centrum[Country /  Страна],"",0,1)</f>
        <v/>
      </c>
      <c r="D44" s="11" t="str">
        <f>_xlfn.XLOOKUP($A44,Centrum[Индекс],Centrum[Container num./ 
№ контейнера],"",0,1)</f>
        <v/>
      </c>
      <c r="E44" s="11" t="str">
        <f>_xlfn.XLOOKUP($A44,Centrum[Индекс],Centrum[Supplier/
Поставщик],"",0,1)</f>
        <v/>
      </c>
      <c r="F44" s="11" t="str">
        <f>_xlfn.XLOOKUP($A44,Centrum[Индекс],Centrum[Shippers invoice no/ 
Номер инвойса поставщика],"",1)</f>
        <v/>
      </c>
      <c r="G44" s="15" t="str">
        <f>_xlfn.XLOOKUP($A44,Centrum[Индекс],Centrum[Invoice value / Стоимость груза в к-ре по инвойсу],"",0,1)</f>
        <v/>
      </c>
      <c r="H44" s="14" t="s">
        <v>40</v>
      </c>
      <c r="I44" s="11" t="str">
        <f>_xlfn.XLOOKUP($A44,Centrum[Индекс],Centrum[CBM on the shipper/ 
CBM по поставщику],"",0,1)</f>
        <v/>
      </c>
      <c r="J44" s="16" t="str">
        <f>_xlfn.XLOOKUP($A44,Centrum[Индекс],Centrum[Gross weight of cont// 
Гросс.вес по конт.],"",0,1)</f>
        <v/>
      </c>
      <c r="K44" s="17" t="str">
        <f>_xlfn.XLOOKUP($A44,Centrum[Индекс],Centrum[Route/ Маршрут (TSR/TCR)],"",0,1)</f>
        <v/>
      </c>
      <c r="L44" s="11" t="str">
        <f>_xlfn.XLOOKUP($A44,Centrum[Индекс],Centrum[Условия поставки],"",0,1)</f>
        <v/>
      </c>
      <c r="M44" s="11" t="str">
        <f>_xlfn.XLOOKUP($A44,Centrum[Индекс],Centrum[№ HBL date / 
№/ дата коносамента],"",0,1)</f>
        <v/>
      </c>
      <c r="N44" s="11" t="str">
        <f>_xlfn.XLOOKUP($A44,Centrum[Индекс],Centrum[№ MBL / 
№/ коносамента],"",0,1)</f>
        <v/>
      </c>
      <c r="O44" s="8" t="e">
        <f>(_xlfn.XLOOKUP($A44,Centrum[Индекс],Centrum[Date on board / Дата погрузки на судно],"",0,1))*1</f>
        <v>#VALUE!</v>
      </c>
      <c r="P44" s="8" t="e">
        <f>(_xlfn.XLOOKUP($A44,Centrum[Индекс],Centrum[Date of arrival to Sary-Agach/ Дата прибытия на Сары-Агач],"",0,1))*1</f>
        <v>#VALUE!</v>
      </c>
      <c r="Q44" s="14" t="str">
        <f>_xlfn.XLOOKUP($A44,Centrum[Индекс],Centrum[Container type/ 
Тип контейнера],"",0,1)</f>
        <v/>
      </c>
      <c r="R44" s="16">
        <f>_xlfn.XLOOKUP($A44,Centrum[Индекс],Centrum[Transportation cost per supplier/ 
Cтоимость перевозки по поставщикам],0,0,1)</f>
        <v>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44" s="16">
        <f>_xlfn.XLOOKUP(Шаблон_Формулы[[#This Row],[21]],Курс_USD[Дата],Курс_USD[Курс],,0,1)</f>
        <v>12300.09</v>
      </c>
      <c r="W44" s="16">
        <f>Шаблон_Формулы!$T44*Шаблон_Формулы!$V44</f>
        <v>0</v>
      </c>
      <c r="Y44" s="16">
        <f>Шаблон_Формулы!$W44+Шаблон_Формулы!$X44</f>
        <v>0</v>
      </c>
      <c r="Z44" s="14" t="str">
        <f>_xlfn.XLOOKUP($A44,Centrum[Индекс],Centrum[Transport co invoice no/ 
Номер инвойса ТК],"",0,1)</f>
        <v/>
      </c>
    </row>
    <row r="45" spans="1:26" s="11" customFormat="1" x14ac:dyDescent="0.25">
      <c r="A45" s="14">
        <v>41</v>
      </c>
      <c r="B45" s="11" t="str">
        <f>_xlfn.XLOOKUP($A45,Centrum[Индекс],Centrum[Carrier/ Перевозчик],"",0,1)</f>
        <v/>
      </c>
      <c r="C45" s="11" t="str">
        <f>_xlfn.XLOOKUP($A45,Centrum[Индекс],Centrum[Country /  Страна],"",0,1)</f>
        <v/>
      </c>
      <c r="D45" s="11" t="str">
        <f>_xlfn.XLOOKUP($A45,Centrum[Индекс],Centrum[Container num./ 
№ контейнера],"",0,1)</f>
        <v/>
      </c>
      <c r="E45" s="11" t="str">
        <f>_xlfn.XLOOKUP($A45,Centrum[Индекс],Centrum[Supplier/
Поставщик],"",0,1)</f>
        <v/>
      </c>
      <c r="F45" s="11" t="str">
        <f>_xlfn.XLOOKUP($A45,Centrum[Индекс],Centrum[Shippers invoice no/ 
Номер инвойса поставщика],"",1)</f>
        <v/>
      </c>
      <c r="G45" s="15" t="str">
        <f>_xlfn.XLOOKUP($A45,Centrum[Индекс],Centrum[Invoice value / Стоимость груза в к-ре по инвойсу],"",0,1)</f>
        <v/>
      </c>
      <c r="H45" s="14" t="s">
        <v>40</v>
      </c>
      <c r="I45" s="11" t="str">
        <f>_xlfn.XLOOKUP($A45,Centrum[Индекс],Centrum[CBM on the shipper/ 
CBM по поставщику],"",0,1)</f>
        <v/>
      </c>
      <c r="J45" s="16" t="str">
        <f>_xlfn.XLOOKUP($A45,Centrum[Индекс],Centrum[Gross weight of cont// 
Гросс.вес по конт.],"",0,1)</f>
        <v/>
      </c>
      <c r="K45" s="17" t="str">
        <f>_xlfn.XLOOKUP($A45,Centrum[Индекс],Centrum[Route/ Маршрут (TSR/TCR)],"",0,1)</f>
        <v/>
      </c>
      <c r="L45" s="11" t="str">
        <f>_xlfn.XLOOKUP($A45,Centrum[Индекс],Centrum[Условия поставки],"",0,1)</f>
        <v/>
      </c>
      <c r="M45" s="11" t="str">
        <f>_xlfn.XLOOKUP($A45,Centrum[Индекс],Centrum[№ HBL date / 
№/ дата коносамента],"",0,1)</f>
        <v/>
      </c>
      <c r="N45" s="11" t="str">
        <f>_xlfn.XLOOKUP($A45,Centrum[Индекс],Centrum[№ MBL / 
№/ коносамента],"",0,1)</f>
        <v/>
      </c>
      <c r="O45" s="8" t="e">
        <f>(_xlfn.XLOOKUP($A45,Centrum[Индекс],Centrum[Date on board / Дата погрузки на судно],"",0,1))*1</f>
        <v>#VALUE!</v>
      </c>
      <c r="P45" s="8" t="e">
        <f>(_xlfn.XLOOKUP($A45,Centrum[Индекс],Centrum[Date of arrival to Sary-Agach/ Дата прибытия на Сары-Агач],"",0,1))*1</f>
        <v>#VALUE!</v>
      </c>
      <c r="Q45" s="14" t="str">
        <f>_xlfn.XLOOKUP($A45,Centrum[Индекс],Centrum[Container type/ 
Тип контейнера],"",0,1)</f>
        <v/>
      </c>
      <c r="R45" s="16">
        <f>_xlfn.XLOOKUP($A45,Centrum[Индекс],Centrum[Transportation cost per supplier/ 
Cтоимость перевозки по поставщикам],0,0,1)</f>
        <v>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45" s="16">
        <f>_xlfn.XLOOKUP(Шаблон_Формулы[[#This Row],[21]],Курс_USD[Дата],Курс_USD[Курс],,0,1)</f>
        <v>12300.09</v>
      </c>
      <c r="W45" s="16">
        <f>Шаблон_Формулы!$T45*Шаблон_Формулы!$V45</f>
        <v>0</v>
      </c>
      <c r="Y45" s="16">
        <f>Шаблон_Формулы!$W45+Шаблон_Формулы!$X45</f>
        <v>0</v>
      </c>
      <c r="Z45" s="14" t="str">
        <f>_xlfn.XLOOKUP($A45,Centrum[Индекс],Centrum[Transport co invoice no/ 
Номер инвойса ТК],"",0,1)</f>
        <v/>
      </c>
    </row>
    <row r="46" spans="1:26" s="11" customFormat="1" x14ac:dyDescent="0.25">
      <c r="A46" s="14">
        <v>42</v>
      </c>
      <c r="B46" s="11" t="str">
        <f>_xlfn.XLOOKUP($A46,Centrum[Индекс],Centrum[Carrier/ Перевозчик],"",0,1)</f>
        <v/>
      </c>
      <c r="C46" s="11" t="str">
        <f>_xlfn.XLOOKUP($A46,Centrum[Индекс],Centrum[Country /  Страна],"",0,1)</f>
        <v/>
      </c>
      <c r="D46" s="11" t="str">
        <f>_xlfn.XLOOKUP($A46,Centrum[Индекс],Centrum[Container num./ 
№ контейнера],"",0,1)</f>
        <v/>
      </c>
      <c r="E46" s="11" t="str">
        <f>_xlfn.XLOOKUP($A46,Centrum[Индекс],Centrum[Supplier/
Поставщик],"",0,1)</f>
        <v/>
      </c>
      <c r="F46" s="11" t="str">
        <f>_xlfn.XLOOKUP($A46,Centrum[Индекс],Centrum[Shippers invoice no/ 
Номер инвойса поставщика],"",1)</f>
        <v/>
      </c>
      <c r="G46" s="15" t="str">
        <f>_xlfn.XLOOKUP($A46,Centrum[Индекс],Centrum[Invoice value / Стоимость груза в к-ре по инвойсу],"",0,1)</f>
        <v/>
      </c>
      <c r="H46" s="14" t="s">
        <v>40</v>
      </c>
      <c r="I46" s="11" t="str">
        <f>_xlfn.XLOOKUP($A46,Centrum[Индекс],Centrum[CBM on the shipper/ 
CBM по поставщику],"",0,1)</f>
        <v/>
      </c>
      <c r="J46" s="16" t="str">
        <f>_xlfn.XLOOKUP($A46,Centrum[Индекс],Centrum[Gross weight of cont// 
Гросс.вес по конт.],"",0,1)</f>
        <v/>
      </c>
      <c r="K46" s="17" t="str">
        <f>_xlfn.XLOOKUP($A46,Centrum[Индекс],Centrum[Route/ Маршрут (TSR/TCR)],"",0,1)</f>
        <v/>
      </c>
      <c r="L46" s="11" t="str">
        <f>_xlfn.XLOOKUP($A46,Centrum[Индекс],Centrum[Условия поставки],"",0,1)</f>
        <v/>
      </c>
      <c r="M46" s="11" t="str">
        <f>_xlfn.XLOOKUP($A46,Centrum[Индекс],Centrum[№ HBL date / 
№/ дата коносамента],"",0,1)</f>
        <v/>
      </c>
      <c r="N46" s="11" t="str">
        <f>_xlfn.XLOOKUP($A46,Centrum[Индекс],Centrum[№ MBL / 
№/ коносамента],"",0,1)</f>
        <v/>
      </c>
      <c r="O46" s="8" t="e">
        <f>(_xlfn.XLOOKUP($A46,Centrum[Индекс],Centrum[Date on board / Дата погрузки на судно],"",0,1))*1</f>
        <v>#VALUE!</v>
      </c>
      <c r="P46" s="8" t="e">
        <f>(_xlfn.XLOOKUP($A46,Centrum[Индекс],Centrum[Date of arrival to Sary-Agach/ Дата прибытия на Сары-Агач],"",0,1))*1</f>
        <v>#VALUE!</v>
      </c>
      <c r="Q46" s="14" t="str">
        <f>_xlfn.XLOOKUP($A46,Centrum[Индекс],Centrum[Container type/ 
Тип контейнера],"",0,1)</f>
        <v/>
      </c>
      <c r="R46" s="16">
        <f>_xlfn.XLOOKUP($A46,Centrum[Индекс],Centrum[Transportation cost per supplier/ 
Cтоимость перевозки по поставщикам],0,0,1)</f>
        <v>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46" s="16">
        <f>_xlfn.XLOOKUP(Шаблон_Формулы[[#This Row],[21]],Курс_USD[Дата],Курс_USD[Курс],,0,1)</f>
        <v>12300.09</v>
      </c>
      <c r="W46" s="16">
        <f>Шаблон_Формулы!$T46*Шаблон_Формулы!$V46</f>
        <v>0</v>
      </c>
      <c r="Y46" s="16">
        <f>Шаблон_Формулы!$W46+Шаблон_Формулы!$X46</f>
        <v>0</v>
      </c>
      <c r="Z46" s="14" t="str">
        <f>_xlfn.XLOOKUP($A46,Centrum[Индекс],Centrum[Transport co invoice no/ 
Номер инвойса ТК],"",0,1)</f>
        <v/>
      </c>
    </row>
    <row r="47" spans="1:26" s="11" customFormat="1" x14ac:dyDescent="0.25">
      <c r="A47" s="14">
        <v>43</v>
      </c>
      <c r="B47" s="11" t="str">
        <f>_xlfn.XLOOKUP($A47,Centrum[Индекс],Centrum[Carrier/ Перевозчик],"",0,1)</f>
        <v/>
      </c>
      <c r="C47" s="11" t="str">
        <f>_xlfn.XLOOKUP($A47,Centrum[Индекс],Centrum[Country /  Страна],"",0,1)</f>
        <v/>
      </c>
      <c r="D47" s="11" t="str">
        <f>_xlfn.XLOOKUP($A47,Centrum[Индекс],Centrum[Container num./ 
№ контейнера],"",0,1)</f>
        <v/>
      </c>
      <c r="E47" s="11" t="str">
        <f>_xlfn.XLOOKUP($A47,Centrum[Индекс],Centrum[Supplier/
Поставщик],"",0,1)</f>
        <v/>
      </c>
      <c r="F47" s="11" t="str">
        <f>_xlfn.XLOOKUP($A47,Centrum[Индекс],Centrum[Shippers invoice no/ 
Номер инвойса поставщика],"",1)</f>
        <v/>
      </c>
      <c r="G47" s="15" t="str">
        <f>_xlfn.XLOOKUP($A47,Centrum[Индекс],Centrum[Invoice value / Стоимость груза в к-ре по инвойсу],"",0,1)</f>
        <v/>
      </c>
      <c r="H47" s="14" t="s">
        <v>40</v>
      </c>
      <c r="I47" s="11" t="str">
        <f>_xlfn.XLOOKUP($A47,Centrum[Индекс],Centrum[CBM on the shipper/ 
CBM по поставщику],"",0,1)</f>
        <v/>
      </c>
      <c r="J47" s="16" t="str">
        <f>_xlfn.XLOOKUP($A47,Centrum[Индекс],Centrum[Gross weight of cont// 
Гросс.вес по конт.],"",0,1)</f>
        <v/>
      </c>
      <c r="K47" s="17" t="str">
        <f>_xlfn.XLOOKUP($A47,Centrum[Индекс],Centrum[Route/ Маршрут (TSR/TCR)],"",0,1)</f>
        <v/>
      </c>
      <c r="L47" s="11" t="str">
        <f>_xlfn.XLOOKUP($A47,Centrum[Индекс],Centrum[Условия поставки],"",0,1)</f>
        <v/>
      </c>
      <c r="M47" s="11" t="str">
        <f>_xlfn.XLOOKUP($A47,Centrum[Индекс],Centrum[№ HBL date / 
№/ дата коносамента],"",0,1)</f>
        <v/>
      </c>
      <c r="N47" s="11" t="str">
        <f>_xlfn.XLOOKUP($A47,Centrum[Индекс],Centrum[№ MBL / 
№/ коносамента],"",0,1)</f>
        <v/>
      </c>
      <c r="O47" s="8" t="e">
        <f>(_xlfn.XLOOKUP($A47,Centrum[Индекс],Centrum[Date on board / Дата погрузки на судно],"",0,1))*1</f>
        <v>#VALUE!</v>
      </c>
      <c r="P47" s="8" t="e">
        <f>(_xlfn.XLOOKUP($A47,Centrum[Индекс],Centrum[Date of arrival to Sary-Agach/ Дата прибытия на Сары-Агач],"",0,1))*1</f>
        <v>#VALUE!</v>
      </c>
      <c r="Q47" s="14" t="str">
        <f>_xlfn.XLOOKUP($A47,Centrum[Индекс],Centrum[Container type/ 
Тип контейнера],"",0,1)</f>
        <v/>
      </c>
      <c r="R47" s="16">
        <f>_xlfn.XLOOKUP($A47,Centrum[Индекс],Centrum[Transportation cost per supplier/ 
Cтоимость перевозки по поставщикам],0,0,1)</f>
        <v>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47" s="16">
        <f>_xlfn.XLOOKUP(Шаблон_Формулы[[#This Row],[21]],Курс_USD[Дата],Курс_USD[Курс],,0,1)</f>
        <v>12300.09</v>
      </c>
      <c r="W47" s="16">
        <f>Шаблон_Формулы!$T47*Шаблон_Формулы!$V47</f>
        <v>0</v>
      </c>
      <c r="Y47" s="16">
        <f>Шаблон_Формулы!$W47+Шаблон_Формулы!$X47</f>
        <v>0</v>
      </c>
      <c r="Z47" s="14" t="str">
        <f>_xlfn.XLOOKUP($A47,Centrum[Индекс],Centrum[Transport co invoice no/ 
Номер инвойса ТК],"",0,1)</f>
        <v/>
      </c>
    </row>
    <row r="48" spans="1:26" s="11" customFormat="1" x14ac:dyDescent="0.25">
      <c r="A48" s="14">
        <v>44</v>
      </c>
      <c r="B48" s="11" t="str">
        <f>_xlfn.XLOOKUP($A48,Centrum[Индекс],Centrum[Carrier/ Перевозчик],"",0,1)</f>
        <v/>
      </c>
      <c r="C48" s="11" t="str">
        <f>_xlfn.XLOOKUP($A48,Centrum[Индекс],Centrum[Country /  Страна],"",0,1)</f>
        <v/>
      </c>
      <c r="D48" s="11" t="str">
        <f>_xlfn.XLOOKUP($A48,Centrum[Индекс],Centrum[Container num./ 
№ контейнера],"",0,1)</f>
        <v/>
      </c>
      <c r="E48" s="11" t="str">
        <f>_xlfn.XLOOKUP($A48,Centrum[Индекс],Centrum[Supplier/
Поставщик],"",0,1)</f>
        <v/>
      </c>
      <c r="F48" s="11" t="str">
        <f>_xlfn.XLOOKUP($A48,Centrum[Индекс],Centrum[Shippers invoice no/ 
Номер инвойса поставщика],"",1)</f>
        <v/>
      </c>
      <c r="G48" s="15" t="str">
        <f>_xlfn.XLOOKUP($A48,Centrum[Индекс],Centrum[Invoice value / Стоимость груза в к-ре по инвойсу],"",0,1)</f>
        <v/>
      </c>
      <c r="H48" s="14" t="s">
        <v>40</v>
      </c>
      <c r="I48" s="11" t="str">
        <f>_xlfn.XLOOKUP($A48,Centrum[Индекс],Centrum[CBM on the shipper/ 
CBM по поставщику],"",0,1)</f>
        <v/>
      </c>
      <c r="J48" s="16" t="str">
        <f>_xlfn.XLOOKUP($A48,Centrum[Индекс],Centrum[Gross weight of cont// 
Гросс.вес по конт.],"",0,1)</f>
        <v/>
      </c>
      <c r="K48" s="17" t="str">
        <f>_xlfn.XLOOKUP($A48,Centrum[Индекс],Centrum[Route/ Маршрут (TSR/TCR)],"",0,1)</f>
        <v/>
      </c>
      <c r="L48" s="11" t="str">
        <f>_xlfn.XLOOKUP($A48,Centrum[Индекс],Centrum[Условия поставки],"",0,1)</f>
        <v/>
      </c>
      <c r="M48" s="11" t="str">
        <f>_xlfn.XLOOKUP($A48,Centrum[Индекс],Centrum[№ HBL date / 
№/ дата коносамента],"",0,1)</f>
        <v/>
      </c>
      <c r="N48" s="11" t="str">
        <f>_xlfn.XLOOKUP($A48,Centrum[Индекс],Centrum[№ MBL / 
№/ коносамента],"",0,1)</f>
        <v/>
      </c>
      <c r="O48" s="8" t="e">
        <f>(_xlfn.XLOOKUP($A48,Centrum[Индекс],Centrum[Date on board / Дата погрузки на судно],"",0,1))*1</f>
        <v>#VALUE!</v>
      </c>
      <c r="P48" s="8" t="e">
        <f>(_xlfn.XLOOKUP($A48,Centrum[Индекс],Centrum[Date of arrival to Sary-Agach/ Дата прибытия на Сары-Агач],"",0,1))*1</f>
        <v>#VALUE!</v>
      </c>
      <c r="Q48" s="14" t="str">
        <f>_xlfn.XLOOKUP($A48,Centrum[Индекс],Centrum[Container type/ 
Тип контейнера],"",0,1)</f>
        <v/>
      </c>
      <c r="R48" s="16">
        <f>_xlfn.XLOOKUP($A48,Centrum[Индекс],Centrum[Transportation cost per supplier/ 
Cтоимость перевозки по поставщикам],0,0,1)</f>
        <v>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48" s="16">
        <f>_xlfn.XLOOKUP(Шаблон_Формулы[[#This Row],[21]],Курс_USD[Дата],Курс_USD[Курс],,0,1)</f>
        <v>12300.09</v>
      </c>
      <c r="W48" s="16">
        <f>Шаблон_Формулы!$T48*Шаблон_Формулы!$V48</f>
        <v>0</v>
      </c>
      <c r="Y48" s="16">
        <f>Шаблон_Формулы!$W48+Шаблон_Формулы!$X48</f>
        <v>0</v>
      </c>
      <c r="Z48" s="14" t="str">
        <f>_xlfn.XLOOKUP($A48,Centrum[Индекс],Centrum[Transport co invoice no/ 
Номер инвойса ТК],"",0,1)</f>
        <v/>
      </c>
    </row>
    <row r="49" spans="1:26" s="11" customFormat="1" x14ac:dyDescent="0.25">
      <c r="A49" s="14">
        <v>45</v>
      </c>
      <c r="B49" s="11" t="str">
        <f>_xlfn.XLOOKUP($A49,Centrum[Индекс],Centrum[Carrier/ Перевозчик],"",0,1)</f>
        <v/>
      </c>
      <c r="C49" s="11" t="str">
        <f>_xlfn.XLOOKUP($A49,Centrum[Индекс],Centrum[Country /  Страна],"",0,1)</f>
        <v/>
      </c>
      <c r="D49" s="11" t="str">
        <f>_xlfn.XLOOKUP($A49,Centrum[Индекс],Centrum[Container num./ 
№ контейнера],"",0,1)</f>
        <v/>
      </c>
      <c r="E49" s="11" t="str">
        <f>_xlfn.XLOOKUP($A49,Centrum[Индекс],Centrum[Supplier/
Поставщик],"",0,1)</f>
        <v/>
      </c>
      <c r="F49" s="11" t="str">
        <f>_xlfn.XLOOKUP($A49,Centrum[Индекс],Centrum[Shippers invoice no/ 
Номер инвойса поставщика],"",1)</f>
        <v/>
      </c>
      <c r="G49" s="15" t="str">
        <f>_xlfn.XLOOKUP($A49,Centrum[Индекс],Centrum[Invoice value / Стоимость груза в к-ре по инвойсу],"",0,1)</f>
        <v/>
      </c>
      <c r="H49" s="14" t="s">
        <v>40</v>
      </c>
      <c r="I49" s="11" t="str">
        <f>_xlfn.XLOOKUP($A49,Centrum[Индекс],Centrum[CBM on the shipper/ 
CBM по поставщику],"",0,1)</f>
        <v/>
      </c>
      <c r="J49" s="16" t="str">
        <f>_xlfn.XLOOKUP($A49,Centrum[Индекс],Centrum[Gross weight of cont// 
Гросс.вес по конт.],"",0,1)</f>
        <v/>
      </c>
      <c r="K49" s="17" t="str">
        <f>_xlfn.XLOOKUP($A49,Centrum[Индекс],Centrum[Route/ Маршрут (TSR/TCR)],"",0,1)</f>
        <v/>
      </c>
      <c r="L49" s="11" t="str">
        <f>_xlfn.XLOOKUP($A49,Centrum[Индекс],Centrum[Условия поставки],"",0,1)</f>
        <v/>
      </c>
      <c r="M49" s="11" t="str">
        <f>_xlfn.XLOOKUP($A49,Centrum[Индекс],Centrum[№ HBL date / 
№/ дата коносамента],"",0,1)</f>
        <v/>
      </c>
      <c r="N49" s="11" t="str">
        <f>_xlfn.XLOOKUP($A49,Centrum[Индекс],Centrum[№ MBL / 
№/ коносамента],"",0,1)</f>
        <v/>
      </c>
      <c r="O49" s="8" t="e">
        <f>(_xlfn.XLOOKUP($A49,Centrum[Индекс],Centrum[Date on board / Дата погрузки на судно],"",0,1))*1</f>
        <v>#VALUE!</v>
      </c>
      <c r="P49" s="8" t="e">
        <f>(_xlfn.XLOOKUP($A49,Centrum[Индекс],Centrum[Date of arrival to Sary-Agach/ Дата прибытия на Сары-Агач],"",0,1))*1</f>
        <v>#VALUE!</v>
      </c>
      <c r="Q49" s="14" t="str">
        <f>_xlfn.XLOOKUP($A49,Centrum[Индекс],Centrum[Container type/ 
Тип контейнера],"",0,1)</f>
        <v/>
      </c>
      <c r="R49" s="16">
        <f>_xlfn.XLOOKUP($A49,Centrum[Индекс],Centrum[Transportation cost per supplier/ 
Cтоимость перевозки по поставщикам],0,0,1)</f>
        <v>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49" s="16">
        <f>_xlfn.XLOOKUP(Шаблон_Формулы[[#This Row],[21]],Курс_USD[Дата],Курс_USD[Курс],,0,1)</f>
        <v>12300.09</v>
      </c>
      <c r="W49" s="16">
        <f>Шаблон_Формулы!$T49*Шаблон_Формулы!$V49</f>
        <v>0</v>
      </c>
      <c r="Y49" s="16">
        <f>Шаблон_Формулы!$W49+Шаблон_Формулы!$X49</f>
        <v>0</v>
      </c>
      <c r="Z49" s="14" t="str">
        <f>_xlfn.XLOOKUP($A49,Centrum[Индекс],Centrum[Transport co invoice no/ 
Номер инвойса ТК],"",0,1)</f>
        <v/>
      </c>
    </row>
    <row r="50" spans="1:26" s="11" customFormat="1" x14ac:dyDescent="0.25">
      <c r="A50" s="14">
        <v>46</v>
      </c>
      <c r="B50" s="11" t="str">
        <f>_xlfn.XLOOKUP($A50,Centrum[Индекс],Centrum[Carrier/ Перевозчик],"",0,1)</f>
        <v/>
      </c>
      <c r="C50" s="11" t="str">
        <f>_xlfn.XLOOKUP($A50,Centrum[Индекс],Centrum[Country /  Страна],"",0,1)</f>
        <v/>
      </c>
      <c r="D50" s="11" t="str">
        <f>_xlfn.XLOOKUP($A50,Centrum[Индекс],Centrum[Container num./ 
№ контейнера],"",0,1)</f>
        <v/>
      </c>
      <c r="E50" s="11" t="str">
        <f>_xlfn.XLOOKUP($A50,Centrum[Индекс],Centrum[Supplier/
Поставщик],"",0,1)</f>
        <v/>
      </c>
      <c r="F50" s="11" t="str">
        <f>_xlfn.XLOOKUP($A50,Centrum[Индекс],Centrum[Shippers invoice no/ 
Номер инвойса поставщика],"",1)</f>
        <v/>
      </c>
      <c r="G50" s="15" t="str">
        <f>_xlfn.XLOOKUP($A50,Centrum[Индекс],Centrum[Invoice value / Стоимость груза в к-ре по инвойсу],"",0,1)</f>
        <v/>
      </c>
      <c r="H50" s="14" t="s">
        <v>40</v>
      </c>
      <c r="I50" s="11" t="str">
        <f>_xlfn.XLOOKUP($A50,Centrum[Индекс],Centrum[CBM on the shipper/ 
CBM по поставщику],"",0,1)</f>
        <v/>
      </c>
      <c r="J50" s="16" t="str">
        <f>_xlfn.XLOOKUP($A50,Centrum[Индекс],Centrum[Gross weight of cont// 
Гросс.вес по конт.],"",0,1)</f>
        <v/>
      </c>
      <c r="K50" s="17" t="str">
        <f>_xlfn.XLOOKUP($A50,Centrum[Индекс],Centrum[Route/ Маршрут (TSR/TCR)],"",0,1)</f>
        <v/>
      </c>
      <c r="L50" s="11" t="str">
        <f>_xlfn.XLOOKUP($A50,Centrum[Индекс],Centrum[Условия поставки],"",0,1)</f>
        <v/>
      </c>
      <c r="M50" s="11" t="str">
        <f>_xlfn.XLOOKUP($A50,Centrum[Индекс],Centrum[№ HBL date / 
№/ дата коносамента],"",0,1)</f>
        <v/>
      </c>
      <c r="N50" s="11" t="str">
        <f>_xlfn.XLOOKUP($A50,Centrum[Индекс],Centrum[№ MBL / 
№/ коносамента],"",0,1)</f>
        <v/>
      </c>
      <c r="O50" s="8" t="e">
        <f>(_xlfn.XLOOKUP($A50,Centrum[Индекс],Centrum[Date on board / Дата погрузки на судно],"",0,1))*1</f>
        <v>#VALUE!</v>
      </c>
      <c r="P50" s="8" t="e">
        <f>(_xlfn.XLOOKUP($A50,Centrum[Индекс],Centrum[Date of arrival to Sary-Agach/ Дата прибытия на Сары-Агач],"",0,1))*1</f>
        <v>#VALUE!</v>
      </c>
      <c r="Q50" s="14" t="str">
        <f>_xlfn.XLOOKUP($A50,Centrum[Индекс],Centrum[Container type/ 
Тип контейнера],"",0,1)</f>
        <v/>
      </c>
      <c r="R50" s="16">
        <f>_xlfn.XLOOKUP($A50,Centrum[Индекс],Centrum[Transportation cost per supplier/ 
Cтоимость перевозки по поставщикам],0,0,1)</f>
        <v>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50" s="16">
        <f>_xlfn.XLOOKUP(Шаблон_Формулы[[#This Row],[21]],Курс_USD[Дата],Курс_USD[Курс],,0,1)</f>
        <v>12300.09</v>
      </c>
      <c r="W50" s="16">
        <f>Шаблон_Формулы!$T50*Шаблон_Формулы!$V50</f>
        <v>0</v>
      </c>
      <c r="Y50" s="16">
        <f>Шаблон_Формулы!$W50+Шаблон_Формулы!$X50</f>
        <v>0</v>
      </c>
      <c r="Z50" s="14" t="str">
        <f>_xlfn.XLOOKUP($A50,Centrum[Индекс],Centrum[Transport co invoice no/ 
Номер инвойса ТК],"",0,1)</f>
        <v/>
      </c>
    </row>
    <row r="51" spans="1:26" s="11" customFormat="1" x14ac:dyDescent="0.25">
      <c r="A51" s="14">
        <v>47</v>
      </c>
      <c r="B51" s="11" t="str">
        <f>_xlfn.XLOOKUP($A51,Centrum[Индекс],Centrum[Carrier/ Перевозчик],"",0,1)</f>
        <v/>
      </c>
      <c r="C51" s="11" t="str">
        <f>_xlfn.XLOOKUP($A51,Centrum[Индекс],Centrum[Country /  Страна],"",0,1)</f>
        <v/>
      </c>
      <c r="D51" s="11" t="str">
        <f>_xlfn.XLOOKUP($A51,Centrum[Индекс],Centrum[Container num./ 
№ контейнера],"",0,1)</f>
        <v/>
      </c>
      <c r="E51" s="11" t="str">
        <f>_xlfn.XLOOKUP($A51,Centrum[Индекс],Centrum[Supplier/
Поставщик],"",0,1)</f>
        <v/>
      </c>
      <c r="F51" s="11" t="str">
        <f>_xlfn.XLOOKUP($A51,Centrum[Индекс],Centrum[Shippers invoice no/ 
Номер инвойса поставщика],"",1)</f>
        <v/>
      </c>
      <c r="G51" s="15" t="str">
        <f>_xlfn.XLOOKUP($A51,Centrum[Индекс],Centrum[Invoice value / Стоимость груза в к-ре по инвойсу],"",0,1)</f>
        <v/>
      </c>
      <c r="H51" s="14" t="s">
        <v>40</v>
      </c>
      <c r="I51" s="11" t="str">
        <f>_xlfn.XLOOKUP($A51,Centrum[Индекс],Centrum[CBM on the shipper/ 
CBM по поставщику],"",0,1)</f>
        <v/>
      </c>
      <c r="J51" s="16" t="str">
        <f>_xlfn.XLOOKUP($A51,Centrum[Индекс],Centrum[Gross weight of cont// 
Гросс.вес по конт.],"",0,1)</f>
        <v/>
      </c>
      <c r="K51" s="17" t="str">
        <f>_xlfn.XLOOKUP($A51,Centrum[Индекс],Centrum[Route/ Маршрут (TSR/TCR)],"",0,1)</f>
        <v/>
      </c>
      <c r="L51" s="11" t="str">
        <f>_xlfn.XLOOKUP($A51,Centrum[Индекс],Centrum[Условия поставки],"",0,1)</f>
        <v/>
      </c>
      <c r="M51" s="11" t="str">
        <f>_xlfn.XLOOKUP($A51,Centrum[Индекс],Centrum[№ HBL date / 
№/ дата коносамента],"",0,1)</f>
        <v/>
      </c>
      <c r="N51" s="11" t="str">
        <f>_xlfn.XLOOKUP($A51,Centrum[Индекс],Centrum[№ MBL / 
№/ коносамента],"",0,1)</f>
        <v/>
      </c>
      <c r="O51" s="8" t="e">
        <f>(_xlfn.XLOOKUP($A51,Centrum[Индекс],Centrum[Date on board / Дата погрузки на судно],"",0,1))*1</f>
        <v>#VALUE!</v>
      </c>
      <c r="P51" s="8" t="e">
        <f>(_xlfn.XLOOKUP($A51,Centrum[Индекс],Centrum[Date of arrival to Sary-Agach/ Дата прибытия на Сары-Агач],"",0,1))*1</f>
        <v>#VALUE!</v>
      </c>
      <c r="Q51" s="14" t="str">
        <f>_xlfn.XLOOKUP($A51,Centrum[Индекс],Centrum[Container type/ 
Тип контейнера],"",0,1)</f>
        <v/>
      </c>
      <c r="R51" s="16">
        <f>_xlfn.XLOOKUP($A51,Centrum[Индекс],Centrum[Transportation cost per supplier/ 
Cтоимость перевозки по поставщикам],0,0,1)</f>
        <v>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51" s="16">
        <f>_xlfn.XLOOKUP(Шаблон_Формулы[[#This Row],[21]],Курс_USD[Дата],Курс_USD[Курс],,0,1)</f>
        <v>12300.09</v>
      </c>
      <c r="W51" s="16">
        <f>Шаблон_Формулы!$T51*Шаблон_Формулы!$V51</f>
        <v>0</v>
      </c>
      <c r="Y51" s="16">
        <f>Шаблон_Формулы!$W51+Шаблон_Формулы!$X51</f>
        <v>0</v>
      </c>
      <c r="Z51" s="14" t="str">
        <f>_xlfn.XLOOKUP($A51,Centrum[Индекс],Centrum[Transport co invoice no/ 
Номер инвойса ТК],"",0,1)</f>
        <v/>
      </c>
    </row>
    <row r="52" spans="1:26" s="11" customFormat="1" x14ac:dyDescent="0.25">
      <c r="A52" s="14">
        <v>48</v>
      </c>
      <c r="B52" s="11" t="str">
        <f>_xlfn.XLOOKUP($A52,Centrum[Индекс],Centrum[Carrier/ Перевозчик],"",0,1)</f>
        <v/>
      </c>
      <c r="C52" s="11" t="str">
        <f>_xlfn.XLOOKUP($A52,Centrum[Индекс],Centrum[Country /  Страна],"",0,1)</f>
        <v/>
      </c>
      <c r="D52" s="11" t="str">
        <f>_xlfn.XLOOKUP($A52,Centrum[Индекс],Centrum[Container num./ 
№ контейнера],"",0,1)</f>
        <v/>
      </c>
      <c r="E52" s="11" t="str">
        <f>_xlfn.XLOOKUP($A52,Centrum[Индекс],Centrum[Supplier/
Поставщик],"",0,1)</f>
        <v/>
      </c>
      <c r="F52" s="11" t="str">
        <f>_xlfn.XLOOKUP($A52,Centrum[Индекс],Centrum[Shippers invoice no/ 
Номер инвойса поставщика],"",1)</f>
        <v/>
      </c>
      <c r="G52" s="15" t="str">
        <f>_xlfn.XLOOKUP($A52,Centrum[Индекс],Centrum[Invoice value / Стоимость груза в к-ре по инвойсу],"",0,1)</f>
        <v/>
      </c>
      <c r="H52" s="14" t="s">
        <v>40</v>
      </c>
      <c r="I52" s="11" t="str">
        <f>_xlfn.XLOOKUP($A52,Centrum[Индекс],Centrum[CBM on the shipper/ 
CBM по поставщику],"",0,1)</f>
        <v/>
      </c>
      <c r="J52" s="16" t="str">
        <f>_xlfn.XLOOKUP($A52,Centrum[Индекс],Centrum[Gross weight of cont// 
Гросс.вес по конт.],"",0,1)</f>
        <v/>
      </c>
      <c r="K52" s="17" t="str">
        <f>_xlfn.XLOOKUP($A52,Centrum[Индекс],Centrum[Route/ Маршрут (TSR/TCR)],"",0,1)</f>
        <v/>
      </c>
      <c r="L52" s="11" t="str">
        <f>_xlfn.XLOOKUP($A52,Centrum[Индекс],Centrum[Условия поставки],"",0,1)</f>
        <v/>
      </c>
      <c r="M52" s="11" t="str">
        <f>_xlfn.XLOOKUP($A52,Centrum[Индекс],Centrum[№ HBL date / 
№/ дата коносамента],"",0,1)</f>
        <v/>
      </c>
      <c r="N52" s="11" t="str">
        <f>_xlfn.XLOOKUP($A52,Centrum[Индекс],Centrum[№ MBL / 
№/ коносамента],"",0,1)</f>
        <v/>
      </c>
      <c r="O52" s="8" t="e">
        <f>(_xlfn.XLOOKUP($A52,Centrum[Индекс],Centrum[Date on board / Дата погрузки на судно],"",0,1))*1</f>
        <v>#VALUE!</v>
      </c>
      <c r="P52" s="8" t="e">
        <f>(_xlfn.XLOOKUP($A52,Centrum[Индекс],Centrum[Date of arrival to Sary-Agach/ Дата прибытия на Сары-Агач],"",0,1))*1</f>
        <v>#VALUE!</v>
      </c>
      <c r="Q52" s="14" t="str">
        <f>_xlfn.XLOOKUP($A52,Centrum[Индекс],Centrum[Container type/ 
Тип контейнера],"",0,1)</f>
        <v/>
      </c>
      <c r="R52" s="16">
        <f>_xlfn.XLOOKUP($A52,Centrum[Индекс],Centrum[Transportation cost per supplier/ 
Cтоимость перевозки по поставщикам],0,0,1)</f>
        <v>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52" s="16">
        <f>_xlfn.XLOOKUP(Шаблон_Формулы[[#This Row],[21]],Курс_USD[Дата],Курс_USD[Курс],,0,1)</f>
        <v>12300.09</v>
      </c>
      <c r="W52" s="16">
        <f>Шаблон_Формулы!$T52*Шаблон_Формулы!$V52</f>
        <v>0</v>
      </c>
      <c r="Y52" s="16">
        <f>Шаблон_Формулы!$W52+Шаблон_Формулы!$X52</f>
        <v>0</v>
      </c>
      <c r="Z52" s="14" t="str">
        <f>_xlfn.XLOOKUP($A52,Centrum[Индекс],Centrum[Transport co invoice no/ 
Номер инвойса ТК],"",0,1)</f>
        <v/>
      </c>
    </row>
    <row r="53" spans="1:26" s="11" customFormat="1" x14ac:dyDescent="0.25">
      <c r="A53" s="14">
        <v>49</v>
      </c>
      <c r="B53" s="11" t="str">
        <f>_xlfn.XLOOKUP($A53,Centrum[Индекс],Centrum[Carrier/ Перевозчик],"",0,1)</f>
        <v/>
      </c>
      <c r="C53" s="11" t="str">
        <f>_xlfn.XLOOKUP($A53,Centrum[Индекс],Centrum[Country /  Страна],"",0,1)</f>
        <v/>
      </c>
      <c r="D53" s="11" t="str">
        <f>_xlfn.XLOOKUP($A53,Centrum[Индекс],Centrum[Container num./ 
№ контейнера],"",0,1)</f>
        <v/>
      </c>
      <c r="E53" s="11" t="str">
        <f>_xlfn.XLOOKUP($A53,Centrum[Индекс],Centrum[Supplier/
Поставщик],"",0,1)</f>
        <v/>
      </c>
      <c r="F53" s="11" t="str">
        <f>_xlfn.XLOOKUP($A53,Centrum[Индекс],Centrum[Shippers invoice no/ 
Номер инвойса поставщика],"",1)</f>
        <v/>
      </c>
      <c r="G53" s="15" t="str">
        <f>_xlfn.XLOOKUP($A53,Centrum[Индекс],Centrum[Invoice value / Стоимость груза в к-ре по инвойсу],"",0,1)</f>
        <v/>
      </c>
      <c r="H53" s="14" t="s">
        <v>40</v>
      </c>
      <c r="I53" s="11" t="str">
        <f>_xlfn.XLOOKUP($A53,Centrum[Индекс],Centrum[CBM on the shipper/ 
CBM по поставщику],"",0,1)</f>
        <v/>
      </c>
      <c r="J53" s="16" t="str">
        <f>_xlfn.XLOOKUP($A53,Centrum[Индекс],Centrum[Gross weight of cont// 
Гросс.вес по конт.],"",0,1)</f>
        <v/>
      </c>
      <c r="K53" s="17" t="str">
        <f>_xlfn.XLOOKUP($A53,Centrum[Индекс],Centrum[Route/ Маршрут (TSR/TCR)],"",0,1)</f>
        <v/>
      </c>
      <c r="L53" s="11" t="str">
        <f>_xlfn.XLOOKUP($A53,Centrum[Индекс],Centrum[Условия поставки],"",0,1)</f>
        <v/>
      </c>
      <c r="M53" s="11" t="str">
        <f>_xlfn.XLOOKUP($A53,Centrum[Индекс],Centrum[№ HBL date / 
№/ дата коносамента],"",0,1)</f>
        <v/>
      </c>
      <c r="N53" s="11" t="str">
        <f>_xlfn.XLOOKUP($A53,Centrum[Индекс],Centrum[№ MBL / 
№/ коносамента],"",0,1)</f>
        <v/>
      </c>
      <c r="O53" s="8" t="e">
        <f>(_xlfn.XLOOKUP($A53,Centrum[Индекс],Centrum[Date on board / Дата погрузки на судно],"",0,1))*1</f>
        <v>#VALUE!</v>
      </c>
      <c r="P53" s="8" t="e">
        <f>(_xlfn.XLOOKUP($A53,Centrum[Индекс],Centrum[Date of arrival to Sary-Agach/ Дата прибытия на Сары-Агач],"",0,1))*1</f>
        <v>#VALUE!</v>
      </c>
      <c r="Q53" s="14" t="str">
        <f>_xlfn.XLOOKUP($A53,Centrum[Индекс],Centrum[Container type/ 
Тип контейнера],"",0,1)</f>
        <v/>
      </c>
      <c r="R53" s="16">
        <f>_xlfn.XLOOKUP($A53,Centrum[Индекс],Centrum[Transportation cost per supplier/ 
Cтоимость перевозки по поставщикам],0,0,1)</f>
        <v>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53" s="16">
        <f>_xlfn.XLOOKUP(Шаблон_Формулы[[#This Row],[21]],Курс_USD[Дата],Курс_USD[Курс],,0,1)</f>
        <v>12300.09</v>
      </c>
      <c r="W53" s="16">
        <f>Шаблон_Формулы!$T53*Шаблон_Формулы!$V53</f>
        <v>0</v>
      </c>
      <c r="Y53" s="16">
        <f>Шаблон_Формулы!$W53+Шаблон_Формулы!$X53</f>
        <v>0</v>
      </c>
      <c r="Z53" s="14" t="str">
        <f>_xlfn.XLOOKUP($A53,Centrum[Индекс],Centrum[Transport co invoice no/ 
Номер инвойса ТК],"",0,1)</f>
        <v/>
      </c>
    </row>
    <row r="54" spans="1:26" s="11" customFormat="1" x14ac:dyDescent="0.25">
      <c r="A54" s="14">
        <v>50</v>
      </c>
      <c r="B54" s="11" t="str">
        <f>_xlfn.XLOOKUP($A54,Centrum[Индекс],Centrum[Carrier/ Перевозчик],"",0,1)</f>
        <v/>
      </c>
      <c r="C54" s="11" t="str">
        <f>_xlfn.XLOOKUP($A54,Centrum[Индекс],Centrum[Country /  Страна],"",0,1)</f>
        <v/>
      </c>
      <c r="D54" s="11" t="str">
        <f>_xlfn.XLOOKUP($A54,Centrum[Индекс],Centrum[Container num./ 
№ контейнера],"",0,1)</f>
        <v/>
      </c>
      <c r="E54" s="11" t="str">
        <f>_xlfn.XLOOKUP($A54,Centrum[Индекс],Centrum[Supplier/
Поставщик],"",0,1)</f>
        <v/>
      </c>
      <c r="F54" s="11" t="str">
        <f>_xlfn.XLOOKUP($A54,Centrum[Индекс],Centrum[Shippers invoice no/ 
Номер инвойса поставщика],"",1)</f>
        <v/>
      </c>
      <c r="G54" s="15" t="str">
        <f>_xlfn.XLOOKUP($A54,Centrum[Индекс],Centrum[Invoice value / Стоимость груза в к-ре по инвойсу],"",0,1)</f>
        <v/>
      </c>
      <c r="H54" s="14" t="s">
        <v>40</v>
      </c>
      <c r="I54" s="11" t="str">
        <f>_xlfn.XLOOKUP($A54,Centrum[Индекс],Centrum[CBM on the shipper/ 
CBM по поставщику],"",0,1)</f>
        <v/>
      </c>
      <c r="J54" s="16" t="str">
        <f>_xlfn.XLOOKUP($A54,Centrum[Индекс],Centrum[Gross weight of cont// 
Гросс.вес по конт.],"",0,1)</f>
        <v/>
      </c>
      <c r="K54" s="17" t="str">
        <f>_xlfn.XLOOKUP($A54,Centrum[Индекс],Centrum[Route/ Маршрут (TSR/TCR)],"",0,1)</f>
        <v/>
      </c>
      <c r="L54" s="11" t="str">
        <f>_xlfn.XLOOKUP($A54,Centrum[Индекс],Centrum[Условия поставки],"",0,1)</f>
        <v/>
      </c>
      <c r="M54" s="11" t="str">
        <f>_xlfn.XLOOKUP($A54,Centrum[Индекс],Centrum[№ HBL date / 
№/ дата коносамента],"",0,1)</f>
        <v/>
      </c>
      <c r="N54" s="11" t="str">
        <f>_xlfn.XLOOKUP($A54,Centrum[Индекс],Centrum[№ MBL / 
№/ коносамента],"",0,1)</f>
        <v/>
      </c>
      <c r="O54" s="8" t="e">
        <f>(_xlfn.XLOOKUP($A54,Centrum[Индекс],Centrum[Date on board / Дата погрузки на судно],"",0,1))*1</f>
        <v>#VALUE!</v>
      </c>
      <c r="P54" s="8" t="e">
        <f>(_xlfn.XLOOKUP($A54,Centrum[Индекс],Centrum[Date of arrival to Sary-Agach/ Дата прибытия на Сары-Агач],"",0,1))*1</f>
        <v>#VALUE!</v>
      </c>
      <c r="Q54" s="14" t="str">
        <f>_xlfn.XLOOKUP($A54,Centrum[Индекс],Centrum[Container type/ 
Тип контейнера],"",0,1)</f>
        <v/>
      </c>
      <c r="R54" s="16">
        <f>_xlfn.XLOOKUP($A54,Centrum[Индекс],Centrum[Transportation cost per supplier/ 
Cтоимость перевозки по поставщикам],0,0,1)</f>
        <v>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54" s="16">
        <f>_xlfn.XLOOKUP(Шаблон_Формулы[[#This Row],[21]],Курс_USD[Дата],Курс_USD[Курс],,0,1)</f>
        <v>12300.09</v>
      </c>
      <c r="W54" s="16">
        <f>Шаблон_Формулы!$T54*Шаблон_Формулы!$V54</f>
        <v>0</v>
      </c>
      <c r="Y54" s="16">
        <f>Шаблон_Формулы!$W54+Шаблон_Формулы!$X54</f>
        <v>0</v>
      </c>
      <c r="Z54" s="14" t="str">
        <f>_xlfn.XLOOKUP($A54,Centrum[Индекс],Centrum[Transport co invoice no/ 
Номер инвойса ТК],"",0,1)</f>
        <v/>
      </c>
    </row>
    <row r="55" spans="1:26" s="11" customFormat="1" x14ac:dyDescent="0.25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55" s="16">
        <f>_xlfn.XLOOKUP(Шаблон_Формулы[[#This Row],[21]],Курс_USD[Дата],Курс_USD[Курс],,0,1)</f>
        <v>12300.09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25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56" s="16">
        <f>_xlfn.XLOOKUP(Шаблон_Формулы[[#This Row],[21]],Курс_USD[Дата],Курс_USD[Курс],,0,1)</f>
        <v>12300.09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25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57" s="16">
        <f>_xlfn.XLOOKUP(Шаблон_Формулы[[#This Row],[21]],Курс_USD[Дата],Курс_USD[Курс],,0,1)</f>
        <v>12300.09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25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58" s="16">
        <f>_xlfn.XLOOKUP(Шаблон_Формулы[[#This Row],[21]],Курс_USD[Дата],Курс_USD[Курс],,0,1)</f>
        <v>12300.09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25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59" s="16">
        <f>_xlfn.XLOOKUP(Шаблон_Формулы[[#This Row],[21]],Курс_USD[Дата],Курс_USD[Курс],,0,1)</f>
        <v>12300.09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25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60" s="16">
        <f>_xlfn.XLOOKUP(Шаблон_Формулы[[#This Row],[21]],Курс_USD[Дата],Курс_USD[Курс],,0,1)</f>
        <v>12300.09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25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61" s="16">
        <f>_xlfn.XLOOKUP(Шаблон_Формулы[[#This Row],[21]],Курс_USD[Дата],Курс_USD[Курс],,0,1)</f>
        <v>12300.09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25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62" s="16">
        <f>_xlfn.XLOOKUP(Шаблон_Формулы[[#This Row],[21]],Курс_USD[Дата],Курс_USD[Курс],,0,1)</f>
        <v>12300.09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25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63" s="16">
        <f>_xlfn.XLOOKUP(Шаблон_Формулы[[#This Row],[21]],Курс_USD[Дата],Курс_USD[Курс],,0,1)</f>
        <v>12300.09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25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64" s="16">
        <f>_xlfn.XLOOKUP(Шаблон_Формулы[[#This Row],[21]],Курс_USD[Дата],Курс_USD[Курс],,0,1)</f>
        <v>12300.09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25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65" s="16">
        <f>_xlfn.XLOOKUP(Шаблон_Формулы[[#This Row],[21]],Курс_USD[Дата],Курс_USD[Курс],,0,1)</f>
        <v>12300.09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25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66" s="16">
        <f>_xlfn.XLOOKUP(Шаблон_Формулы[[#This Row],[21]],Курс_USD[Дата],Курс_USD[Курс],,0,1)</f>
        <v>12300.09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25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67" s="16">
        <f>_xlfn.XLOOKUP(Шаблон_Формулы[[#This Row],[21]],Курс_USD[Дата],Курс_USD[Курс],,0,1)</f>
        <v>12300.09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25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68" s="16">
        <f>_xlfn.XLOOKUP(Шаблон_Формулы[[#This Row],[21]],Курс_USD[Дата],Курс_USD[Курс],,0,1)</f>
        <v>12300.09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25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69" s="16">
        <f>_xlfn.XLOOKUP(Шаблон_Формулы[[#This Row],[21]],Курс_USD[Дата],Курс_USD[Курс],,0,1)</f>
        <v>12300.09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25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70" s="16">
        <f>_xlfn.XLOOKUP(Шаблон_Формулы[[#This Row],[21]],Курс_USD[Дата],Курс_USD[Курс],,0,1)</f>
        <v>12300.09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25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71" s="16">
        <f>_xlfn.XLOOKUP(Шаблон_Формулы[[#This Row],[21]],Курс_USD[Дата],Курс_USD[Курс],,0,1)</f>
        <v>12300.09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25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72" s="16">
        <f>_xlfn.XLOOKUP(Шаблон_Формулы[[#This Row],[21]],Курс_USD[Дата],Курс_USD[Курс],,0,1)</f>
        <v>12300.09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25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73" s="16">
        <f>_xlfn.XLOOKUP(Шаблон_Формулы[[#This Row],[21]],Курс_USD[Дата],Курс_USD[Курс],,0,1)</f>
        <v>12300.09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25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74" s="16">
        <f>_xlfn.XLOOKUP(Шаблон_Формулы[[#This Row],[21]],Курс_USD[Дата],Курс_USD[Курс],,0,1)</f>
        <v>12300.09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25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75" s="16">
        <f>_xlfn.XLOOKUP(Шаблон_Формулы[[#This Row],[21]],Курс_USD[Дата],Курс_USD[Курс],,0,1)</f>
        <v>12300.09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25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76" s="16">
        <f>_xlfn.XLOOKUP(Шаблон_Формулы[[#This Row],[21]],Курс_USD[Дата],Курс_USD[Курс],,0,1)</f>
        <v>12300.09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25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77" s="16">
        <f>_xlfn.XLOOKUP(Шаблон_Формулы[[#This Row],[21]],Курс_USD[Дата],Курс_USD[Курс],,0,1)</f>
        <v>12300.09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25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78" s="16">
        <f>_xlfn.XLOOKUP(Шаблон_Формулы[[#This Row],[21]],Курс_USD[Дата],Курс_USD[Курс],,0,1)</f>
        <v>12300.09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25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79" s="16">
        <f>_xlfn.XLOOKUP(Шаблон_Формулы[[#This Row],[21]],Курс_USD[Дата],Курс_USD[Курс],,0,1)</f>
        <v>12300.09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25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80" s="16">
        <f>_xlfn.XLOOKUP(Шаблон_Формулы[[#This Row],[21]],Курс_USD[Дата],Курс_USD[Курс],,0,1)</f>
        <v>12300.09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25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81" s="16">
        <f>_xlfn.XLOOKUP(Шаблон_Формулы[[#This Row],[21]],Курс_USD[Дата],Курс_USD[Курс],,0,1)</f>
        <v>12300.09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25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82" s="16">
        <f>_xlfn.XLOOKUP(Шаблон_Формулы[[#This Row],[21]],Курс_USD[Дата],Курс_USD[Курс],,0,1)</f>
        <v>12300.09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25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83" s="16">
        <f>_xlfn.XLOOKUP(Шаблон_Формулы[[#This Row],[21]],Курс_USD[Дата],Курс_USD[Курс],,0,1)</f>
        <v>12300.09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25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84" s="16">
        <f>_xlfn.XLOOKUP(Шаблон_Формулы[[#This Row],[21]],Курс_USD[Дата],Курс_USD[Курс],,0,1)</f>
        <v>12300.09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25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85" s="16">
        <f>_xlfn.XLOOKUP(Шаблон_Формулы[[#This Row],[21]],Курс_USD[Дата],Курс_USD[Курс],,0,1)</f>
        <v>12300.09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25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86" s="16">
        <f>_xlfn.XLOOKUP(Шаблон_Формулы[[#This Row],[21]],Курс_USD[Дата],Курс_USD[Курс],,0,1)</f>
        <v>12300.09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25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87" s="16">
        <f>_xlfn.XLOOKUP(Шаблон_Формулы[[#This Row],[21]],Курс_USD[Дата],Курс_USD[Курс],,0,1)</f>
        <v>12300.09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25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88" s="16">
        <f>_xlfn.XLOOKUP(Шаблон_Формулы[[#This Row],[21]],Курс_USD[Дата],Курс_USD[Курс],,0,1)</f>
        <v>12300.09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25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89" s="16">
        <f>_xlfn.XLOOKUP(Шаблон_Формулы[[#This Row],[21]],Курс_USD[Дата],Курс_USD[Курс],,0,1)</f>
        <v>12300.09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25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90" s="16">
        <f>_xlfn.XLOOKUP(Шаблон_Формулы[[#This Row],[21]],Курс_USD[Дата],Курс_USD[Курс],,0,1)</f>
        <v>12300.09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25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91" s="16">
        <f>_xlfn.XLOOKUP(Шаблон_Формулы[[#This Row],[21]],Курс_USD[Дата],Курс_USD[Курс],,0,1)</f>
        <v>12300.09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25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92" s="16">
        <f>_xlfn.XLOOKUP(Шаблон_Формулы[[#This Row],[21]],Курс_USD[Дата],Курс_USD[Курс],,0,1)</f>
        <v>12300.09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25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93" s="16">
        <f>_xlfn.XLOOKUP(Шаблон_Формулы[[#This Row],[21]],Курс_USD[Дата],Курс_USD[Курс],,0,1)</f>
        <v>12300.09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25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94" s="16">
        <f>_xlfn.XLOOKUP(Шаблон_Формулы[[#This Row],[21]],Курс_USD[Дата],Курс_USD[Курс],,0,1)</f>
        <v>12300.09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25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95" s="16">
        <f>_xlfn.XLOOKUP(Шаблон_Формулы[[#This Row],[21]],Курс_USD[Дата],Курс_USD[Курс],,0,1)</f>
        <v>12300.09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25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96" s="16">
        <f>_xlfn.XLOOKUP(Шаблон_Формулы[[#This Row],[21]],Курс_USD[Дата],Курс_USD[Курс],,0,1)</f>
        <v>12300.09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25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97" s="16">
        <f>_xlfn.XLOOKUP(Шаблон_Формулы[[#This Row],[21]],Курс_USD[Дата],Курс_USD[Курс],,0,1)</f>
        <v>12300.09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25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98" s="16">
        <f>_xlfn.XLOOKUP(Шаблон_Формулы[[#This Row],[21]],Курс_USD[Дата],Курс_USD[Курс],,0,1)</f>
        <v>12300.09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25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99" s="16">
        <f>_xlfn.XLOOKUP(Шаблон_Формулы[[#This Row],[21]],Курс_USD[Дата],Курс_USD[Курс],,0,1)</f>
        <v>12300.09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25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00" s="16">
        <f>_xlfn.XLOOKUP(Шаблон_Формулы[[#This Row],[21]],Курс_USD[Дата],Курс_USD[Курс],,0,1)</f>
        <v>12300.09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25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01" s="16">
        <f>_xlfn.XLOOKUP(Шаблон_Формулы[[#This Row],[21]],Курс_USD[Дата],Курс_USD[Курс],,0,1)</f>
        <v>12300.09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25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02" s="16">
        <f>_xlfn.XLOOKUP(Шаблон_Формулы[[#This Row],[21]],Курс_USD[Дата],Курс_USD[Курс],,0,1)</f>
        <v>12300.09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25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03" s="16">
        <f>_xlfn.XLOOKUP(Шаблон_Формулы[[#This Row],[21]],Курс_USD[Дата],Курс_USD[Курс],,0,1)</f>
        <v>12300.09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25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04" s="16">
        <f>_xlfn.XLOOKUP(Шаблон_Формулы[[#This Row],[21]],Курс_USD[Дата],Курс_USD[Курс],,0,1)</f>
        <v>12300.09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25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05" s="16">
        <f>_xlfn.XLOOKUP(Шаблон_Формулы[[#This Row],[21]],Курс_USD[Дата],Курс_USD[Курс],,0,1)</f>
        <v>12300.09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25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06" s="16">
        <f>_xlfn.XLOOKUP(Шаблон_Формулы[[#This Row],[21]],Курс_USD[Дата],Курс_USD[Курс],,0,1)</f>
        <v>12300.09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25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07" s="16">
        <f>_xlfn.XLOOKUP(Шаблон_Формулы[[#This Row],[21]],Курс_USD[Дата],Курс_USD[Курс],,0,1)</f>
        <v>12300.09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25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08" s="16">
        <f>_xlfn.XLOOKUP(Шаблон_Формулы[[#This Row],[21]],Курс_USD[Дата],Курс_USD[Курс],,0,1)</f>
        <v>12300.09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25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09" s="16">
        <f>_xlfn.XLOOKUP(Шаблон_Формулы[[#This Row],[21]],Курс_USD[Дата],Курс_USD[Курс],,0,1)</f>
        <v>12300.09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25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10" s="16">
        <f>_xlfn.XLOOKUP(Шаблон_Формулы[[#This Row],[21]],Курс_USD[Дата],Курс_USD[Курс],,0,1)</f>
        <v>12300.09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25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11" s="16">
        <f>_xlfn.XLOOKUP(Шаблон_Формулы[[#This Row],[21]],Курс_USD[Дата],Курс_USD[Курс],,0,1)</f>
        <v>12300.09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25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12" s="16">
        <f>_xlfn.XLOOKUP(Шаблон_Формулы[[#This Row],[21]],Курс_USD[Дата],Курс_USD[Курс],,0,1)</f>
        <v>12300.09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25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13" s="16">
        <f>_xlfn.XLOOKUP(Шаблон_Формулы[[#This Row],[21]],Курс_USD[Дата],Курс_USD[Курс],,0,1)</f>
        <v>12300.09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25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14" s="16">
        <f>_xlfn.XLOOKUP(Шаблон_Формулы[[#This Row],[21]],Курс_USD[Дата],Курс_USD[Курс],,0,1)</f>
        <v>12300.09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25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15" s="16">
        <f>_xlfn.XLOOKUP(Шаблон_Формулы[[#This Row],[21]],Курс_USD[Дата],Курс_USD[Курс],,0,1)</f>
        <v>12300.09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25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16" s="16">
        <f>_xlfn.XLOOKUP(Шаблон_Формулы[[#This Row],[21]],Курс_USD[Дата],Курс_USD[Курс],,0,1)</f>
        <v>12300.09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25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17" s="16">
        <f>_xlfn.XLOOKUP(Шаблон_Формулы[[#This Row],[21]],Курс_USD[Дата],Курс_USD[Курс],,0,1)</f>
        <v>12300.09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25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18" s="16">
        <f>_xlfn.XLOOKUP(Шаблон_Формулы[[#This Row],[21]],Курс_USD[Дата],Курс_USD[Курс],,0,1)</f>
        <v>12300.09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25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19" s="16">
        <f>_xlfn.XLOOKUP(Шаблон_Формулы[[#This Row],[21]],Курс_USD[Дата],Курс_USD[Курс],,0,1)</f>
        <v>12300.09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25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20" s="16">
        <f>_xlfn.XLOOKUP(Шаблон_Формулы[[#This Row],[21]],Курс_USD[Дата],Курс_USD[Курс],,0,1)</f>
        <v>12300.09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25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21" s="16">
        <f>_xlfn.XLOOKUP(Шаблон_Формулы[[#This Row],[21]],Курс_USD[Дата],Курс_USD[Курс],,0,1)</f>
        <v>12300.09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25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22" s="16">
        <f>_xlfn.XLOOKUP(Шаблон_Формулы[[#This Row],[21]],Курс_USD[Дата],Курс_USD[Курс],,0,1)</f>
        <v>12300.09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25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23" s="16">
        <f>_xlfn.XLOOKUP(Шаблон_Формулы[[#This Row],[21]],Курс_USD[Дата],Курс_USD[Курс],,0,1)</f>
        <v>12300.09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25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24" s="16">
        <f>_xlfn.XLOOKUP(Шаблон_Формулы[[#This Row],[21]],Курс_USD[Дата],Курс_USD[Курс],,0,1)</f>
        <v>12300.09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25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25" s="16">
        <f>_xlfn.XLOOKUP(Шаблон_Формулы[[#This Row],[21]],Курс_USD[Дата],Курс_USD[Курс],,0,1)</f>
        <v>12300.09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25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26" s="16">
        <f>_xlfn.XLOOKUP(Шаблон_Формулы[[#This Row],[21]],Курс_USD[Дата],Курс_USD[Курс],,0,1)</f>
        <v>12300.09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25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27" s="16">
        <f>_xlfn.XLOOKUP(Шаблон_Формулы[[#This Row],[21]],Курс_USD[Дата],Курс_USD[Курс],,0,1)</f>
        <v>12300.09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25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28" s="16">
        <f>_xlfn.XLOOKUP(Шаблон_Формулы[[#This Row],[21]],Курс_USD[Дата],Курс_USD[Курс],,0,1)</f>
        <v>12300.09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25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29" s="16">
        <f>_xlfn.XLOOKUP(Шаблон_Формулы[[#This Row],[21]],Курс_USD[Дата],Курс_USD[Курс],,0,1)</f>
        <v>12300.09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25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30" s="16">
        <f>_xlfn.XLOOKUP(Шаблон_Формулы[[#This Row],[21]],Курс_USD[Дата],Курс_USD[Курс],,0,1)</f>
        <v>12300.09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25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31" s="16">
        <f>_xlfn.XLOOKUP(Шаблон_Формулы[[#This Row],[21]],Курс_USD[Дата],Курс_USD[Курс],,0,1)</f>
        <v>12300.09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25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32" s="16">
        <f>_xlfn.XLOOKUP(Шаблон_Формулы[[#This Row],[21]],Курс_USD[Дата],Курс_USD[Курс],,0,1)</f>
        <v>12300.09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25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33" s="16">
        <f>_xlfn.XLOOKUP(Шаблон_Формулы[[#This Row],[21]],Курс_USD[Дата],Курс_USD[Курс],,0,1)</f>
        <v>12300.09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25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34" s="16">
        <f>_xlfn.XLOOKUP(Шаблон_Формулы[[#This Row],[21]],Курс_USD[Дата],Курс_USD[Курс],,0,1)</f>
        <v>12300.09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25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35" s="16">
        <f>_xlfn.XLOOKUP(Шаблон_Формулы[[#This Row],[21]],Курс_USD[Дата],Курс_USD[Курс],,0,1)</f>
        <v>12300.09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25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36" s="16">
        <f>_xlfn.XLOOKUP(Шаблон_Формулы[[#This Row],[21]],Курс_USD[Дата],Курс_USD[Курс],,0,1)</f>
        <v>12300.09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25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37" s="16">
        <f>_xlfn.XLOOKUP(Шаблон_Формулы[[#This Row],[21]],Курс_USD[Дата],Курс_USD[Курс],,0,1)</f>
        <v>12300.09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25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38" s="16">
        <f>_xlfn.XLOOKUP(Шаблон_Формулы[[#This Row],[21]],Курс_USD[Дата],Курс_USD[Курс],,0,1)</f>
        <v>12300.09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25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39" s="16">
        <f>_xlfn.XLOOKUP(Шаблон_Формулы[[#This Row],[21]],Курс_USD[Дата],Курс_USD[Курс],,0,1)</f>
        <v>12300.09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25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40" s="16">
        <f>_xlfn.XLOOKUP(Шаблон_Формулы[[#This Row],[21]],Курс_USD[Дата],Курс_USD[Курс],,0,1)</f>
        <v>12300.09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25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41" s="16">
        <f>_xlfn.XLOOKUP(Шаблон_Формулы[[#This Row],[21]],Курс_USD[Дата],Курс_USD[Курс],,0,1)</f>
        <v>12300.09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25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42" s="16">
        <f>_xlfn.XLOOKUP(Шаблон_Формулы[[#This Row],[21]],Курс_USD[Дата],Курс_USD[Курс],,0,1)</f>
        <v>12300.09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25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43" s="16">
        <f>_xlfn.XLOOKUP(Шаблон_Формулы[[#This Row],[21]],Курс_USD[Дата],Курс_USD[Курс],,0,1)</f>
        <v>12300.09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25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44" s="16">
        <f>_xlfn.XLOOKUP(Шаблон_Формулы[[#This Row],[21]],Курс_USD[Дата],Курс_USD[Курс],,0,1)</f>
        <v>12300.09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25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45" s="16">
        <f>_xlfn.XLOOKUP(Шаблон_Формулы[[#This Row],[21]],Курс_USD[Дата],Курс_USD[Курс],,0,1)</f>
        <v>12300.09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25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46" s="16">
        <f>_xlfn.XLOOKUP(Шаблон_Формулы[[#This Row],[21]],Курс_USD[Дата],Курс_USD[Курс],,0,1)</f>
        <v>12300.09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25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47" s="16">
        <f>_xlfn.XLOOKUP(Шаблон_Формулы[[#This Row],[21]],Курс_USD[Дата],Курс_USD[Курс],,0,1)</f>
        <v>12300.09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25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48" s="16">
        <f>_xlfn.XLOOKUP(Шаблон_Формулы[[#This Row],[21]],Курс_USD[Дата],Курс_USD[Курс],,0,1)</f>
        <v>12300.09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25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49" s="16">
        <f>_xlfn.XLOOKUP(Шаблон_Формулы[[#This Row],[21]],Курс_USD[Дата],Курс_USD[Курс],,0,1)</f>
        <v>12300.09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25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50" s="16">
        <f>_xlfn.XLOOKUP(Шаблон_Формулы[[#This Row],[21]],Курс_USD[Дата],Курс_USD[Курс],,0,1)</f>
        <v>12300.09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25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51" s="16">
        <f>_xlfn.XLOOKUP(Шаблон_Формулы[[#This Row],[21]],Курс_USD[Дата],Курс_USD[Курс],,0,1)</f>
        <v>12300.09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25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52" s="16">
        <f>_xlfn.XLOOKUP(Шаблон_Формулы[[#This Row],[21]],Курс_USD[Дата],Курс_USD[Курс],,0,1)</f>
        <v>12300.09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25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53" s="16">
        <f>_xlfn.XLOOKUP(Шаблон_Формулы[[#This Row],[21]],Курс_USD[Дата],Курс_USD[Курс],,0,1)</f>
        <v>12300.09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25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45264</v>
      </c>
      <c r="V154" s="16">
        <f>_xlfn.XLOOKUP(Шаблон_Формулы[[#This Row],[21]],Курс_USD[Дата],Курс_USD[Курс],,0,1)</f>
        <v>12300.09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5" x14ac:dyDescent="0.25"/>
  <sheetData>
    <row r="2" spans="1:2" x14ac:dyDescent="0.25">
      <c r="A2" s="4" t="s">
        <v>28</v>
      </c>
      <c r="B2" s="4" t="s">
        <v>30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32</v>
      </c>
      <c r="B4" s="4" t="s">
        <v>33</v>
      </c>
    </row>
    <row r="5" spans="1:2" x14ac:dyDescent="0.25">
      <c r="A5" s="4" t="s">
        <v>34</v>
      </c>
      <c r="B5" s="4" t="s">
        <v>35</v>
      </c>
    </row>
    <row r="6" spans="1:2" x14ac:dyDescent="0.25">
      <c r="A6" s="4" t="s">
        <v>36</v>
      </c>
      <c r="B6" s="4" t="s">
        <v>37</v>
      </c>
    </row>
    <row r="7" spans="1:2" x14ac:dyDescent="0.25">
      <c r="A7" s="4" t="s">
        <v>38</v>
      </c>
      <c r="B7" s="4" t="s">
        <v>39</v>
      </c>
    </row>
    <row r="8" spans="1:2" x14ac:dyDescent="0.25">
      <c r="A8" s="4" t="s">
        <v>40</v>
      </c>
      <c r="B8" s="4" t="s">
        <v>41</v>
      </c>
    </row>
    <row r="9" spans="1:2" x14ac:dyDescent="0.25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Anvar Inoyatov</cp:lastModifiedBy>
  <cp:lastPrinted>2023-05-04T05:33:20Z</cp:lastPrinted>
  <dcterms:created xsi:type="dcterms:W3CDTF">2023-02-15T11:48:29Z</dcterms:created>
  <dcterms:modified xsi:type="dcterms:W3CDTF">2023-12-05T10:25:03Z</dcterms:modified>
</cp:coreProperties>
</file>