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9D01A656-85F7-474D-8E1B-78E5038B3E20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'Centrum'!$A$1:$V$34</definedName>
    <definedName name="ExternalData_1" localSheetId="3" hidden="1">Курс!$A$5:$D$18</definedName>
    <definedName name="ExternalData_1" localSheetId="0" hidden="1">Лист1!$A$2:$Z$37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8" l="1"/>
  <c r="U4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<sst xmlns="http://schemas.openxmlformats.org/spreadsheetml/2006/main" count="1121" uniqueCount="232">
  <si>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</si>
  <si>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</si>
  <si>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</si>
  <si>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</si>
  <si>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</si>
  <si>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</si>
  <si>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</si>
  <si>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</si>
  <si>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</si>
  <si>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</si>
  <si>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</si>
  <si>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</si>
  <si>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</si>
  <si>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</si>
  <si>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</si>
  <si>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</si>
  <si>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</si>
  <si>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</si>
  <si>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</si>
  <si>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</si>
  <si>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</si>
  <si>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</si>
  <si>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</si>
  <si>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</si>
  <si>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</si>
  <si>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</si>
  <si>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</si>
  <si>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</si>
  <si>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</si>
  <si>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</si>
  <si>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</si>
  <si>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</si>
  <si>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</si>
  <si>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</si>
  <si>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</si>
  <si>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</si>
  <si>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</si>
  <si>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</si>
  <si>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</si>
  <si>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</si>
  <si>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</si>
  <si>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</si>
  <si>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</si>
  <si>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</si>
  <si>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</si>
  <si>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</si>
  <si>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</si>
  <si>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</si>
  <si>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</si>
  <si>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</si>
  <si>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</si>
  <si>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</si>
  <si>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</si>
  <si>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</si>
  <si>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</si>
  <si>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</si>
  <si>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</si>
  <si>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</si>
  <si>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</si>
  <si>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</si>
  <si>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</si>
  <si>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</si>
  <si>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</si>
  <si>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</si>
  <si>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</si>
  <si>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</si>
  <si>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</si>
  <si>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</si>
  <si>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</si>
  <si>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</si>
  <si>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</si>
  <si>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</si>
  <si>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</si>
  <si>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</si>
  <si>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</si>
  <si>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</si>
  <si>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</si>
  <si>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</si>
  <si>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</si>
  <si>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</si>
  <si>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</si>
  <si>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</si>
  <si>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</si>
  <si>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</si>
  <si>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</si>
  <si>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</si>
  <si>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</si>
  <si>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</si>
  <si>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</si>
  <si>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</si>
  <si>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</si>
  <si>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</si>
  <si>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</si>
  <si>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</si>
  <si>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</si>
  <si>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</si>
  <si>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</si>
  <si>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</si>
  <si>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</si>
  <si>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</si>
  <si>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</si>
  <si>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</si>
  <si>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</si>
  <si>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</si>
  <si>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</si>
  <si>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</si>
  <si>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</si>
  <si>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</si>
  <si>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</si>
  <si>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</si>
  <si>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</si>
  <si>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</si>
  <si>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</si>
  <si>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</si>
  <si>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</si>
  <si>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</si>
  <si>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CNT-K23090211.xlsx</t>
  </si>
  <si>
    <t>CA</t>
  </si>
  <si>
    <t>KR</t>
  </si>
  <si>
    <t>52-BT ASSAKE</t>
  </si>
  <si>
    <t>ULCU5059044</t>
  </si>
  <si>
    <t>Systro Co., Ltd.</t>
  </si>
  <si>
    <t>U230907CO</t>
  </si>
  <si>
    <t>BUSAN FOB / P-D</t>
  </si>
  <si>
    <t>ULSO23090218</t>
  </si>
  <si>
    <t>PCSLBSVSC2300021</t>
  </si>
  <si>
    <t>CNT-K23090211</t>
  </si>
  <si>
    <t>BEAU6467263</t>
  </si>
  <si>
    <t>HL MANDO CORPORATION</t>
  </si>
  <si>
    <t>CKWJ2309012</t>
  </si>
  <si>
    <t>ULSO23090216</t>
  </si>
  <si>
    <t>FFAU4477376</t>
  </si>
  <si>
    <t>ILJIN GLOBAL</t>
  </si>
  <si>
    <t>IJG-SI06GMUZ1</t>
  </si>
  <si>
    <t>ULSO23090222</t>
  </si>
  <si>
    <t>ULCU5053750</t>
  </si>
  <si>
    <t>UZAUTO KOREA  CO., LTD</t>
  </si>
  <si>
    <t>DM239AU01</t>
  </si>
  <si>
    <t>ULSO23090245</t>
  </si>
  <si>
    <t>ULCU5043330</t>
  </si>
  <si>
    <t>HL Mando Corporation</t>
  </si>
  <si>
    <t>CKIS2309028</t>
  </si>
  <si>
    <t>ULSO23090220</t>
  </si>
  <si>
    <t>ULCU5010527</t>
  </si>
  <si>
    <t>DM239WO01</t>
  </si>
  <si>
    <t>ULSO23090246</t>
  </si>
  <si>
    <t>ULCU5068690</t>
  </si>
  <si>
    <t>HANDS CORPORATION LTD</t>
  </si>
  <si>
    <t>K23-0902Uz_A7</t>
  </si>
  <si>
    <t>ULSO23090212</t>
  </si>
  <si>
    <t>FFAU4521123</t>
  </si>
  <si>
    <t>U230907CO, U230907GE</t>
  </si>
  <si>
    <t>ULSO23090218, ULSO23090219</t>
  </si>
  <si>
    <t>ULCU5002136</t>
  </si>
  <si>
    <t xml:space="preserve">UZAUTO KOREA  CO., LTD, DMC INC, GENON ELECTRIC INC. </t>
  </si>
  <si>
    <t>DM239WO01, GMUZ23-025A, GNCI-230901-01</t>
  </si>
  <si>
    <t>ULSO23090246, ULSO23090247, ULSO23090248</t>
  </si>
  <si>
    <t>FFAU4682792</t>
  </si>
  <si>
    <t>DM239AU01, DM239WO01</t>
  </si>
  <si>
    <t>ULSO23090245, ULSO23090246</t>
  </si>
  <si>
    <t>FFAU4929440</t>
  </si>
  <si>
    <t>Namyang Nexmo.Co.,Ltd.</t>
  </si>
  <si>
    <t>GMUZ467</t>
  </si>
  <si>
    <t>ULSO23090223</t>
  </si>
  <si>
    <t>ULCU5003596</t>
  </si>
  <si>
    <t>ULCU5300315</t>
  </si>
  <si>
    <t>COSMOENG CO., LTD , ILJIN GLOBAL</t>
  </si>
  <si>
    <t>GUZ230901-2, UZ230901, CU230901, IJG-SI06GMUZ2</t>
  </si>
  <si>
    <t>ULSO23090264, ULSO23090265, ULSO23090266, ULSO23090267</t>
  </si>
  <si>
    <t>FFAU4762157</t>
  </si>
  <si>
    <t>Namyang Nexmo.Co.,Ltd., CTR Co. ,Ltd</t>
  </si>
  <si>
    <t>GMUZ466, UZA230907</t>
  </si>
  <si>
    <t>ULSO23090269, ULSO23090270</t>
  </si>
  <si>
    <t>FFAU4490974</t>
  </si>
  <si>
    <t xml:space="preserve">MAHLE Donghyun Filter System </t>
  </si>
  <si>
    <t>MDFS-GMU230907</t>
  </si>
  <si>
    <t>ULSO23090221</t>
  </si>
  <si>
    <t>FFAU4927684</t>
  </si>
  <si>
    <t>K23-0902Uz_A6</t>
  </si>
  <si>
    <t>ULSO23090211</t>
  </si>
  <si>
    <t>DFSU6033875</t>
  </si>
  <si>
    <t>ULCU5900310</t>
  </si>
  <si>
    <t>UZAUTO KOREA  CO., LTD, KANAVI MOBILITY GWANGGYO BRANCH, INC., ALPS ELECTRIC KOREA CO.,LTD.</t>
  </si>
  <si>
    <t>DM239CS01-1, DM239CS01-2, IN80473586, 62158362</t>
  </si>
  <si>
    <t>ULSO23090255, ULSO23090256, ULSO23090257, ULSO23090258</t>
  </si>
  <si>
    <t>TGHU9287326</t>
  </si>
  <si>
    <t>FFAU4489823</t>
  </si>
  <si>
    <t>K23-0902Uz_A10</t>
  </si>
  <si>
    <t>ULSO23090215</t>
  </si>
  <si>
    <t>ULCU5004268</t>
  </si>
  <si>
    <t>CKWJ2309013</t>
  </si>
  <si>
    <t>ULSO23090217</t>
  </si>
  <si>
    <t>BEAU6459951</t>
  </si>
  <si>
    <t>K23-0909Uz_A3</t>
  </si>
  <si>
    <t>ULSO23090226</t>
  </si>
  <si>
    <t>ECMU9066979</t>
  </si>
  <si>
    <t>SNT MOTIV CO., LTD.    , GENERAL MOTORS OVERSEAS DISTRIBUTION LLC</t>
  </si>
  <si>
    <t>CUZ230907, UZATK0066</t>
  </si>
  <si>
    <t>ULSO23090271, ULSO23090272</t>
  </si>
  <si>
    <t>CAIU9094933</t>
  </si>
  <si>
    <t xml:space="preserve">COSMOENG CO., LTD </t>
  </si>
  <si>
    <t>GUZ230901-1</t>
  </si>
  <si>
    <t>ULSO23090263</t>
  </si>
  <si>
    <t>BENU6506180</t>
  </si>
  <si>
    <t>UZAUTO KOREA  CO., LTD, SAMSONG INDUSTRIES LIMITED, SAMWON PLASTIC CO.,LTD, SAM SHIN CHEMICAL CO.,LTD, SUNGWOO HITECH CO., LTD.</t>
  </si>
  <si>
    <t>DS239HF01, GM-UZ-239027, 23-0906-05, SUZ-2023-0907, SW-230915UZ-SPA</t>
  </si>
  <si>
    <t>ULSO23090259, ULSO23090260, ULSO23090261, ULSO23090262, ULSO23090277</t>
  </si>
  <si>
    <t>CAIU8561817</t>
  </si>
  <si>
    <t>UZAUTO KOREA  CO., LTD, Henkel Korea Limited. Automotive, PHA Co., Ltd., ERAECS LIMITED, DK&amp;G CO., LTD, DOOWON CORPORATION, Henkel Korea Limited. Automotive</t>
  </si>
  <si>
    <t>DM239WO01, UZAUTO-230801, F230907U1, F230907U2, UEA 20230904-C1, DK-SI-2023-08-200, DW-230904, UZAUTO-230901</t>
  </si>
  <si>
    <t>ULSO23090246, ULSO23090249, ULSO23090250, ULSO23090251, ULSO23090252, ULSO23090253, ULSO23090254, ULSO23090312</t>
  </si>
  <si>
    <t>FFAU4852604</t>
  </si>
  <si>
    <t xml:space="preserve">DAEDONG SYSTEM CO., LTD., UZAUTO KOREA  CO., LTD, </t>
  </si>
  <si>
    <t>UZA23033, UZST-C230901DW, UZST-C230901AK</t>
  </si>
  <si>
    <t>ULSO23090268, ULSO23090288, ULSO23090291</t>
  </si>
  <si>
    <t>MWLU7202730</t>
  </si>
  <si>
    <t>K23-0902Uz_A9</t>
  </si>
  <si>
    <t>ULSO23090214</t>
  </si>
  <si>
    <t>ULCU5007143</t>
  </si>
  <si>
    <t>K23-0909Uz_A1</t>
  </si>
  <si>
    <t>ULSO23090224</t>
  </si>
  <si>
    <t>ULCU5070676</t>
  </si>
  <si>
    <t>K23-0909Uz_A2</t>
  </si>
  <si>
    <t>ULSO23090225</t>
  </si>
  <si>
    <t>ULCU5040012</t>
  </si>
  <si>
    <t>K23-0902Uz_A8</t>
  </si>
  <si>
    <t>ULSO23090213</t>
  </si>
  <si>
    <t>FFAU4489192</t>
  </si>
  <si>
    <t>DM239SA01, DM239AU01</t>
  </si>
  <si>
    <t>ULSO23090244, ULSO23090245</t>
  </si>
  <si>
    <t>SEGU6345673</t>
  </si>
  <si>
    <t>CENTRUM AVIATION FZCO
Доп-4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</si>
</sst>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37" tableType="queryTable" totalsRowShown="0" headerRowDxfId="91" dataDxfId="90" tableBorderDxfId="89">
  <autoFilter ref="A2:Z37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34" tableType="queryTable" totalsRowShown="0" headerRowDxfId="62" dataDxfId="61">
  <autoFilter ref="A1:V34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18" tableType="queryTable" totalsRowShown="0" headerRowDxfId="33">
  <autoFilter ref="A5:D18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9">
        <v>488</v>
      </c>
      <c r="B1" s="59"/>
      <c r="C1" s="59"/>
      <c r="D1" s="60" t="str">
        <f>Z5</f>
        <v>CNT-K23090211</v>
      </c>
      <c r="E1" s="60"/>
      <c r="F1" s="60"/>
      <c r="G1" s="60"/>
      <c r="H1" s="61">
        <v>45224</v>
      </c>
      <c r="I1" s="61"/>
      <c r="J1" s="62" t="s">
        <v>115</v>
      </c>
      <c r="K1" s="63"/>
      <c r="L1" s="63"/>
      <c r="M1" s="64"/>
      <c r="N1" s="56" t="s">
        <v>0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8"/>
    </row>
    <row r="2" spans="1:26" x14ac:dyDescent="0.3">
      <c r="A2" s="27" t="s">
        <v>77</v>
      </c>
      <c r="B2" s="27" t="s">
        <v>78</v>
      </c>
      <c r="C2" s="27" t="s">
        <v>79</v>
      </c>
      <c r="D2" s="27" t="s">
        <v>80</v>
      </c>
      <c r="E2" s="27" t="s">
        <v>81</v>
      </c>
      <c r="F2" s="27" t="s">
        <v>82</v>
      </c>
      <c r="G2" s="27" t="s">
        <v>83</v>
      </c>
      <c r="H2" s="27" t="s">
        <v>84</v>
      </c>
      <c r="I2" s="27" t="s">
        <v>85</v>
      </c>
      <c r="J2" s="27" t="s">
        <v>86</v>
      </c>
      <c r="K2" s="27" t="s">
        <v>87</v>
      </c>
      <c r="L2" s="27" t="s">
        <v>88</v>
      </c>
      <c r="M2" s="27" t="s">
        <v>89</v>
      </c>
      <c r="N2" s="27" t="s">
        <v>90</v>
      </c>
      <c r="O2" s="27" t="s">
        <v>91</v>
      </c>
      <c r="P2" s="27" t="s">
        <v>92</v>
      </c>
      <c r="Q2" s="27" t="s">
        <v>93</v>
      </c>
      <c r="R2" s="27" t="s">
        <v>94</v>
      </c>
      <c r="S2" s="27" t="s">
        <v>95</v>
      </c>
      <c r="T2" s="27" t="s">
        <v>96</v>
      </c>
      <c r="U2" s="27" t="s">
        <v>97</v>
      </c>
      <c r="V2" s="27" t="s">
        <v>98</v>
      </c>
      <c r="W2" s="27" t="s">
        <v>99</v>
      </c>
      <c r="X2" s="27" t="s">
        <v>100</v>
      </c>
      <c r="Y2" s="27" t="s">
        <v>101</v>
      </c>
      <c r="Z2" s="27" t="s">
        <v>102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337487.30999999994</v>
      </c>
      <c r="U4" s="40">
        <f>U5</f>
        <v>45224</v>
      </c>
      <c r="V4" s="39">
        <f>V5</f>
        <v>12199.93</v>
      </c>
      <c r="W4" s="39"/>
      <c r="X4" s="41"/>
      <c r="Y4" s="39">
        <v>4117321557.8882999</v>
      </c>
      <c r="Z4" s="44"/>
    </row>
    <row r="5" spans="1:26" ht="36" x14ac:dyDescent="0.3">
      <c r="A5" s="50">
        <v>1</v>
      </c>
      <c r="B5" s="51" t="s">
        <v>231</v>
      </c>
      <c r="C5" s="51" t="s">
        <v>118</v>
      </c>
      <c r="D5" s="51" t="s">
        <v>120</v>
      </c>
      <c r="E5" s="51" t="s">
        <v>121</v>
      </c>
      <c r="F5" s="51" t="s">
        <v>122</v>
      </c>
      <c r="G5" s="53">
        <v>102042.72</v>
      </c>
      <c r="H5" s="51" t="s">
        <v>40</v>
      </c>
      <c r="I5" s="50">
        <v>65.927000000000007</v>
      </c>
      <c r="J5" s="52">
        <v>6260.4</v>
      </c>
      <c r="K5" s="52" t="s">
        <v>44</v>
      </c>
      <c r="L5" s="51" t="s">
        <v>123</v>
      </c>
      <c r="M5" s="51" t="s">
        <v>124</v>
      </c>
      <c r="N5" s="51" t="s">
        <v>125</v>
      </c>
      <c r="O5" s="54">
        <v>45179</v>
      </c>
      <c r="P5" s="54">
        <v>45212</v>
      </c>
      <c r="Q5" s="51" t="s">
        <v>45</v>
      </c>
      <c r="R5" s="52">
        <v>10550</v>
      </c>
      <c r="S5" s="52">
        <v>0</v>
      </c>
      <c r="T5" s="52">
        <v>10550</v>
      </c>
      <c r="U5" s="54">
        <v>45224</v>
      </c>
      <c r="V5" s="52">
        <v>12199.93</v>
      </c>
      <c r="W5" s="52">
        <v>128709261.5</v>
      </c>
      <c r="X5" s="51"/>
      <c r="Y5" s="52">
        <v>128709261.5</v>
      </c>
      <c r="Z5" s="50" t="s">
        <v>126</v>
      </c>
    </row>
    <row r="6" spans="1:26" s="4" customFormat="1" ht="36" x14ac:dyDescent="0.3">
      <c r="A6" s="50">
        <v>2</v>
      </c>
      <c r="B6" s="51" t="s">
        <v>231</v>
      </c>
      <c r="C6" s="51" t="s">
        <v>118</v>
      </c>
      <c r="D6" s="51" t="s">
        <v>127</v>
      </c>
      <c r="E6" s="51" t="s">
        <v>128</v>
      </c>
      <c r="F6" s="51" t="s">
        <v>129</v>
      </c>
      <c r="G6" s="53">
        <v>153354.23999999999</v>
      </c>
      <c r="H6" s="51" t="s">
        <v>40</v>
      </c>
      <c r="I6" s="50">
        <v>68.8</v>
      </c>
      <c r="J6" s="52">
        <v>12636.16</v>
      </c>
      <c r="K6" s="52" t="s">
        <v>44</v>
      </c>
      <c r="L6" s="51" t="s">
        <v>123</v>
      </c>
      <c r="M6" s="51" t="s">
        <v>130</v>
      </c>
      <c r="N6" s="51" t="s">
        <v>125</v>
      </c>
      <c r="O6" s="54">
        <v>45179</v>
      </c>
      <c r="P6" s="54">
        <v>45212</v>
      </c>
      <c r="Q6" s="51" t="s">
        <v>45</v>
      </c>
      <c r="R6" s="52">
        <v>10550</v>
      </c>
      <c r="S6" s="52">
        <v>0</v>
      </c>
      <c r="T6" s="52">
        <v>10550</v>
      </c>
      <c r="U6" s="54">
        <v>45224</v>
      </c>
      <c r="V6" s="52">
        <v>12199.93</v>
      </c>
      <c r="W6" s="52">
        <v>128709261.5</v>
      </c>
      <c r="X6" s="51"/>
      <c r="Y6" s="52">
        <v>128709261.5</v>
      </c>
      <c r="Z6" s="50" t="s">
        <v>126</v>
      </c>
    </row>
    <row r="7" spans="1:26" s="4" customFormat="1" ht="36" x14ac:dyDescent="0.3">
      <c r="A7" s="50">
        <v>3</v>
      </c>
      <c r="B7" s="51" t="s">
        <v>231</v>
      </c>
      <c r="C7" s="51" t="s">
        <v>118</v>
      </c>
      <c r="D7" s="51" t="s">
        <v>131</v>
      </c>
      <c r="E7" s="51" t="s">
        <v>132</v>
      </c>
      <c r="F7" s="51" t="s">
        <v>133</v>
      </c>
      <c r="G7" s="53">
        <v>138542.39999999999</v>
      </c>
      <c r="H7" s="51" t="s">
        <v>40</v>
      </c>
      <c r="I7" s="50">
        <v>31.428000000000001</v>
      </c>
      <c r="J7" s="52">
        <v>20509.2</v>
      </c>
      <c r="K7" s="52" t="s">
        <v>44</v>
      </c>
      <c r="L7" s="51" t="s">
        <v>123</v>
      </c>
      <c r="M7" s="51" t="s">
        <v>134</v>
      </c>
      <c r="N7" s="51" t="s">
        <v>125</v>
      </c>
      <c r="O7" s="54">
        <v>45179</v>
      </c>
      <c r="P7" s="54">
        <v>45212</v>
      </c>
      <c r="Q7" s="51" t="s">
        <v>45</v>
      </c>
      <c r="R7" s="52">
        <v>10550</v>
      </c>
      <c r="S7" s="52">
        <v>0</v>
      </c>
      <c r="T7" s="52">
        <v>10550</v>
      </c>
      <c r="U7" s="54">
        <v>45224</v>
      </c>
      <c r="V7" s="52">
        <v>12199.93</v>
      </c>
      <c r="W7" s="52">
        <v>128709261.5</v>
      </c>
      <c r="X7" s="51"/>
      <c r="Y7" s="52">
        <v>128709261.5</v>
      </c>
      <c r="Z7" s="50" t="s">
        <v>126</v>
      </c>
    </row>
    <row r="8" spans="1:26" s="4" customFormat="1" ht="36" x14ac:dyDescent="0.3">
      <c r="A8" s="50">
        <v>4</v>
      </c>
      <c r="B8" s="51" t="s">
        <v>231</v>
      </c>
      <c r="C8" s="51" t="s">
        <v>118</v>
      </c>
      <c r="D8" s="51" t="s">
        <v>135</v>
      </c>
      <c r="E8" s="51" t="s">
        <v>136</v>
      </c>
      <c r="F8" s="51" t="s">
        <v>137</v>
      </c>
      <c r="G8" s="53">
        <v>114722.16</v>
      </c>
      <c r="H8" s="51" t="s">
        <v>40</v>
      </c>
      <c r="I8" s="50">
        <v>60.86</v>
      </c>
      <c r="J8" s="52">
        <v>21144.51</v>
      </c>
      <c r="K8" s="52" t="s">
        <v>44</v>
      </c>
      <c r="L8" s="51" t="s">
        <v>123</v>
      </c>
      <c r="M8" s="51" t="s">
        <v>138</v>
      </c>
      <c r="N8" s="51" t="s">
        <v>125</v>
      </c>
      <c r="O8" s="54">
        <v>45179</v>
      </c>
      <c r="P8" s="54">
        <v>45212</v>
      </c>
      <c r="Q8" s="51" t="s">
        <v>45</v>
      </c>
      <c r="R8" s="52">
        <v>10550</v>
      </c>
      <c r="S8" s="52">
        <v>0</v>
      </c>
      <c r="T8" s="52">
        <v>10550</v>
      </c>
      <c r="U8" s="54">
        <v>45224</v>
      </c>
      <c r="V8" s="52">
        <v>12199.93</v>
      </c>
      <c r="W8" s="52">
        <v>128709261.5</v>
      </c>
      <c r="X8" s="51"/>
      <c r="Y8" s="52">
        <v>128709261.5</v>
      </c>
      <c r="Z8" s="50" t="s">
        <v>126</v>
      </c>
    </row>
    <row r="9" spans="1:26" s="4" customFormat="1" ht="36" x14ac:dyDescent="0.3">
      <c r="A9" s="50">
        <v>5</v>
      </c>
      <c r="B9" s="51" t="s">
        <v>231</v>
      </c>
      <c r="C9" s="51" t="s">
        <v>118</v>
      </c>
      <c r="D9" s="51" t="s">
        <v>139</v>
      </c>
      <c r="E9" s="51" t="s">
        <v>140</v>
      </c>
      <c r="F9" s="51" t="s">
        <v>141</v>
      </c>
      <c r="G9" s="53">
        <v>65520</v>
      </c>
      <c r="H9" s="51" t="s">
        <v>40</v>
      </c>
      <c r="I9" s="50">
        <v>54.463999999999999</v>
      </c>
      <c r="J9" s="52">
        <v>15975.2</v>
      </c>
      <c r="K9" s="52" t="s">
        <v>44</v>
      </c>
      <c r="L9" s="51" t="s">
        <v>123</v>
      </c>
      <c r="M9" s="51" t="s">
        <v>142</v>
      </c>
      <c r="N9" s="51" t="s">
        <v>125</v>
      </c>
      <c r="O9" s="54">
        <v>45179</v>
      </c>
      <c r="P9" s="54">
        <v>45212</v>
      </c>
      <c r="Q9" s="51" t="s">
        <v>45</v>
      </c>
      <c r="R9" s="52">
        <v>10550</v>
      </c>
      <c r="S9" s="52">
        <v>0</v>
      </c>
      <c r="T9" s="52">
        <v>10550</v>
      </c>
      <c r="U9" s="54">
        <v>45224</v>
      </c>
      <c r="V9" s="52">
        <v>12199.93</v>
      </c>
      <c r="W9" s="52">
        <v>128709261.5</v>
      </c>
      <c r="X9" s="51"/>
      <c r="Y9" s="52">
        <v>128709261.5</v>
      </c>
      <c r="Z9" s="50" t="s">
        <v>126</v>
      </c>
    </row>
    <row r="10" spans="1:26" s="4" customFormat="1" ht="36" x14ac:dyDescent="0.3">
      <c r="A10" s="50">
        <v>6</v>
      </c>
      <c r="B10" s="51" t="s">
        <v>231</v>
      </c>
      <c r="C10" s="51" t="s">
        <v>118</v>
      </c>
      <c r="D10" s="51" t="s">
        <v>143</v>
      </c>
      <c r="E10" s="51" t="s">
        <v>136</v>
      </c>
      <c r="F10" s="51" t="s">
        <v>144</v>
      </c>
      <c r="G10" s="53">
        <v>117171.36</v>
      </c>
      <c r="H10" s="51" t="s">
        <v>40</v>
      </c>
      <c r="I10" s="50">
        <v>66.430000000000007</v>
      </c>
      <c r="J10" s="52">
        <v>11352</v>
      </c>
      <c r="K10" s="52" t="s">
        <v>44</v>
      </c>
      <c r="L10" s="51" t="s">
        <v>123</v>
      </c>
      <c r="M10" s="51" t="s">
        <v>145</v>
      </c>
      <c r="N10" s="51" t="s">
        <v>125</v>
      </c>
      <c r="O10" s="54">
        <v>45179</v>
      </c>
      <c r="P10" s="54">
        <v>45212</v>
      </c>
      <c r="Q10" s="51" t="s">
        <v>45</v>
      </c>
      <c r="R10" s="52">
        <v>10550</v>
      </c>
      <c r="S10" s="52">
        <v>0</v>
      </c>
      <c r="T10" s="52">
        <v>10550</v>
      </c>
      <c r="U10" s="54">
        <v>45224</v>
      </c>
      <c r="V10" s="52">
        <v>12199.93</v>
      </c>
      <c r="W10" s="52">
        <v>128709261.5</v>
      </c>
      <c r="X10" s="51"/>
      <c r="Y10" s="52">
        <v>128709261.5</v>
      </c>
      <c r="Z10" s="50" t="s">
        <v>126</v>
      </c>
    </row>
    <row r="11" spans="1:26" s="4" customFormat="1" ht="36" x14ac:dyDescent="0.3">
      <c r="A11" s="50">
        <v>7</v>
      </c>
      <c r="B11" s="51" t="s">
        <v>231</v>
      </c>
      <c r="C11" s="51" t="s">
        <v>118</v>
      </c>
      <c r="D11" s="51" t="s">
        <v>146</v>
      </c>
      <c r="E11" s="51" t="s">
        <v>147</v>
      </c>
      <c r="F11" s="51" t="s">
        <v>148</v>
      </c>
      <c r="G11" s="53">
        <v>49993.02</v>
      </c>
      <c r="H11" s="51" t="s">
        <v>40</v>
      </c>
      <c r="I11" s="50">
        <v>69.728999999999999</v>
      </c>
      <c r="J11" s="52">
        <v>11880.4</v>
      </c>
      <c r="K11" s="52" t="s">
        <v>44</v>
      </c>
      <c r="L11" s="51" t="s">
        <v>123</v>
      </c>
      <c r="M11" s="51" t="s">
        <v>149</v>
      </c>
      <c r="N11" s="51" t="s">
        <v>125</v>
      </c>
      <c r="O11" s="54">
        <v>45179</v>
      </c>
      <c r="P11" s="54">
        <v>45212</v>
      </c>
      <c r="Q11" s="51" t="s">
        <v>45</v>
      </c>
      <c r="R11" s="52">
        <v>10550</v>
      </c>
      <c r="S11" s="52">
        <v>0</v>
      </c>
      <c r="T11" s="52">
        <v>10550</v>
      </c>
      <c r="U11" s="54">
        <v>45224</v>
      </c>
      <c r="V11" s="52">
        <v>12199.93</v>
      </c>
      <c r="W11" s="52">
        <v>128709261.5</v>
      </c>
      <c r="X11" s="51"/>
      <c r="Y11" s="52">
        <v>128709261.5</v>
      </c>
      <c r="Z11" s="50" t="s">
        <v>126</v>
      </c>
    </row>
    <row r="12" spans="1:26" s="4" customFormat="1" ht="36" x14ac:dyDescent="0.3">
      <c r="A12" s="50">
        <v>8</v>
      </c>
      <c r="B12" s="51" t="s">
        <v>231</v>
      </c>
      <c r="C12" s="51" t="s">
        <v>118</v>
      </c>
      <c r="D12" s="51" t="s">
        <v>150</v>
      </c>
      <c r="E12" s="51" t="s">
        <v>121</v>
      </c>
      <c r="F12" s="51" t="s">
        <v>151</v>
      </c>
      <c r="G12" s="53">
        <v>91667.520000000004</v>
      </c>
      <c r="H12" s="51" t="s">
        <v>40</v>
      </c>
      <c r="I12" s="50">
        <v>63.37</v>
      </c>
      <c r="J12" s="52">
        <v>5372.4</v>
      </c>
      <c r="K12" s="52" t="s">
        <v>44</v>
      </c>
      <c r="L12" s="51" t="s">
        <v>123</v>
      </c>
      <c r="M12" s="51" t="s">
        <v>152</v>
      </c>
      <c r="N12" s="51" t="s">
        <v>125</v>
      </c>
      <c r="O12" s="54">
        <v>45179</v>
      </c>
      <c r="P12" s="54">
        <v>45212</v>
      </c>
      <c r="Q12" s="51" t="s">
        <v>45</v>
      </c>
      <c r="R12" s="52">
        <v>10550</v>
      </c>
      <c r="S12" s="52">
        <v>0</v>
      </c>
      <c r="T12" s="52">
        <v>10550</v>
      </c>
      <c r="U12" s="54">
        <v>45224</v>
      </c>
      <c r="V12" s="52">
        <v>12199.93</v>
      </c>
      <c r="W12" s="52">
        <v>128709261.5</v>
      </c>
      <c r="X12" s="51"/>
      <c r="Y12" s="52">
        <v>128709261.5</v>
      </c>
      <c r="Z12" s="50" t="s">
        <v>126</v>
      </c>
    </row>
    <row r="13" spans="1:26" s="4" customFormat="1" ht="48" x14ac:dyDescent="0.3">
      <c r="A13" s="50">
        <v>9</v>
      </c>
      <c r="B13" s="51" t="s">
        <v>231</v>
      </c>
      <c r="C13" s="51" t="s">
        <v>118</v>
      </c>
      <c r="D13" s="51" t="s">
        <v>153</v>
      </c>
      <c r="E13" s="51" t="s">
        <v>154</v>
      </c>
      <c r="F13" s="51" t="s">
        <v>155</v>
      </c>
      <c r="G13" s="53">
        <v>68801.670000000013</v>
      </c>
      <c r="H13" s="51" t="s">
        <v>40</v>
      </c>
      <c r="I13" s="50">
        <v>61.587000000000003</v>
      </c>
      <c r="J13" s="52">
        <v>9787.5</v>
      </c>
      <c r="K13" s="52" t="s">
        <v>44</v>
      </c>
      <c r="L13" s="51" t="s">
        <v>123</v>
      </c>
      <c r="M13" s="51" t="s">
        <v>156</v>
      </c>
      <c r="N13" s="51" t="s">
        <v>125</v>
      </c>
      <c r="O13" s="54">
        <v>45179</v>
      </c>
      <c r="P13" s="54">
        <v>45212</v>
      </c>
      <c r="Q13" s="51" t="s">
        <v>45</v>
      </c>
      <c r="R13" s="52">
        <v>10550</v>
      </c>
      <c r="S13" s="55">
        <v>-1074.0699999999997</v>
      </c>
      <c r="T13" s="52">
        <v>9475.93</v>
      </c>
      <c r="U13" s="54">
        <v>45224</v>
      </c>
      <c r="V13" s="52">
        <v>12199.93</v>
      </c>
      <c r="W13" s="52">
        <v>115605682.6849</v>
      </c>
      <c r="X13" s="51"/>
      <c r="Y13" s="52">
        <v>115605682.6849</v>
      </c>
      <c r="Z13" s="50" t="s">
        <v>126</v>
      </c>
    </row>
    <row r="14" spans="1:26" s="4" customFormat="1" ht="36" x14ac:dyDescent="0.3">
      <c r="A14" s="50">
        <v>10</v>
      </c>
      <c r="B14" s="51" t="s">
        <v>231</v>
      </c>
      <c r="C14" s="51" t="s">
        <v>118</v>
      </c>
      <c r="D14" s="51" t="s">
        <v>157</v>
      </c>
      <c r="E14" s="51" t="s">
        <v>136</v>
      </c>
      <c r="F14" s="51" t="s">
        <v>158</v>
      </c>
      <c r="G14" s="53">
        <v>90887.23</v>
      </c>
      <c r="H14" s="51" t="s">
        <v>40</v>
      </c>
      <c r="I14" s="50">
        <v>62.594999999999999</v>
      </c>
      <c r="J14" s="52">
        <v>16851</v>
      </c>
      <c r="K14" s="52" t="s">
        <v>44</v>
      </c>
      <c r="L14" s="51" t="s">
        <v>123</v>
      </c>
      <c r="M14" s="51" t="s">
        <v>159</v>
      </c>
      <c r="N14" s="51" t="s">
        <v>125</v>
      </c>
      <c r="O14" s="54">
        <v>45179</v>
      </c>
      <c r="P14" s="54">
        <v>45212</v>
      </c>
      <c r="Q14" s="51" t="s">
        <v>45</v>
      </c>
      <c r="R14" s="52">
        <v>10550</v>
      </c>
      <c r="S14" s="52">
        <v>0</v>
      </c>
      <c r="T14" s="52">
        <v>10550</v>
      </c>
      <c r="U14" s="54">
        <v>45224</v>
      </c>
      <c r="V14" s="52">
        <v>12199.93</v>
      </c>
      <c r="W14" s="52">
        <v>128709261.5</v>
      </c>
      <c r="X14" s="51"/>
      <c r="Y14" s="52">
        <v>128709261.5</v>
      </c>
      <c r="Z14" s="50" t="s">
        <v>126</v>
      </c>
    </row>
    <row r="15" spans="1:26" s="4" customFormat="1" ht="36" x14ac:dyDescent="0.3">
      <c r="A15" s="50">
        <v>11</v>
      </c>
      <c r="B15" s="51" t="s">
        <v>231</v>
      </c>
      <c r="C15" s="51" t="s">
        <v>118</v>
      </c>
      <c r="D15" s="51" t="s">
        <v>160</v>
      </c>
      <c r="E15" s="51" t="s">
        <v>161</v>
      </c>
      <c r="F15" s="51" t="s">
        <v>162</v>
      </c>
      <c r="G15" s="53">
        <v>100664.88</v>
      </c>
      <c r="H15" s="51" t="s">
        <v>40</v>
      </c>
      <c r="I15" s="50">
        <v>60.62</v>
      </c>
      <c r="J15" s="52">
        <v>12091</v>
      </c>
      <c r="K15" s="52" t="s">
        <v>44</v>
      </c>
      <c r="L15" s="51" t="s">
        <v>123</v>
      </c>
      <c r="M15" s="51" t="s">
        <v>163</v>
      </c>
      <c r="N15" s="51" t="s">
        <v>125</v>
      </c>
      <c r="O15" s="54">
        <v>45179</v>
      </c>
      <c r="P15" s="54">
        <v>45212</v>
      </c>
      <c r="Q15" s="51" t="s">
        <v>45</v>
      </c>
      <c r="R15" s="52">
        <v>10550</v>
      </c>
      <c r="S15" s="52">
        <v>0</v>
      </c>
      <c r="T15" s="52">
        <v>10550</v>
      </c>
      <c r="U15" s="54">
        <v>45224</v>
      </c>
      <c r="V15" s="52">
        <v>12199.93</v>
      </c>
      <c r="W15" s="52">
        <v>128709261.5</v>
      </c>
      <c r="X15" s="51"/>
      <c r="Y15" s="52">
        <v>128709261.5</v>
      </c>
      <c r="Z15" s="50" t="s">
        <v>126</v>
      </c>
    </row>
    <row r="16" spans="1:26" s="4" customFormat="1" ht="36" x14ac:dyDescent="0.3">
      <c r="A16" s="50">
        <v>12</v>
      </c>
      <c r="B16" s="51" t="s">
        <v>231</v>
      </c>
      <c r="C16" s="51" t="s">
        <v>118</v>
      </c>
      <c r="D16" s="51" t="s">
        <v>164</v>
      </c>
      <c r="E16" s="51" t="s">
        <v>136</v>
      </c>
      <c r="F16" s="51" t="s">
        <v>137</v>
      </c>
      <c r="G16" s="53">
        <v>114229.92</v>
      </c>
      <c r="H16" s="51" t="s">
        <v>40</v>
      </c>
      <c r="I16" s="50">
        <v>60.16</v>
      </c>
      <c r="J16" s="52">
        <v>21084.91</v>
      </c>
      <c r="K16" s="52" t="s">
        <v>44</v>
      </c>
      <c r="L16" s="51" t="s">
        <v>123</v>
      </c>
      <c r="M16" s="51" t="s">
        <v>138</v>
      </c>
      <c r="N16" s="51" t="s">
        <v>125</v>
      </c>
      <c r="O16" s="54">
        <v>45179</v>
      </c>
      <c r="P16" s="54">
        <v>45212</v>
      </c>
      <c r="Q16" s="51" t="s">
        <v>45</v>
      </c>
      <c r="R16" s="52">
        <v>10550</v>
      </c>
      <c r="S16" s="52">
        <v>0</v>
      </c>
      <c r="T16" s="52">
        <v>10550</v>
      </c>
      <c r="U16" s="54">
        <v>45224</v>
      </c>
      <c r="V16" s="52">
        <v>12199.93</v>
      </c>
      <c r="W16" s="52">
        <v>128709261.5</v>
      </c>
      <c r="X16" s="51"/>
      <c r="Y16" s="52">
        <v>128709261.5</v>
      </c>
      <c r="Z16" s="50" t="s">
        <v>126</v>
      </c>
    </row>
    <row r="17" spans="1:26" s="4" customFormat="1" ht="48" x14ac:dyDescent="0.3">
      <c r="A17" s="50">
        <v>13</v>
      </c>
      <c r="B17" s="51" t="s">
        <v>231</v>
      </c>
      <c r="C17" s="51" t="s">
        <v>118</v>
      </c>
      <c r="D17" s="51" t="s">
        <v>165</v>
      </c>
      <c r="E17" s="51" t="s">
        <v>166</v>
      </c>
      <c r="F17" s="51" t="s">
        <v>167</v>
      </c>
      <c r="G17" s="53">
        <v>29801.759999999998</v>
      </c>
      <c r="H17" s="51" t="s">
        <v>40</v>
      </c>
      <c r="I17" s="50">
        <v>55.210999999999999</v>
      </c>
      <c r="J17" s="52">
        <v>4806.1400000000003</v>
      </c>
      <c r="K17" s="52" t="s">
        <v>44</v>
      </c>
      <c r="L17" s="51" t="s">
        <v>123</v>
      </c>
      <c r="M17" s="51" t="s">
        <v>168</v>
      </c>
      <c r="N17" s="51" t="s">
        <v>125</v>
      </c>
      <c r="O17" s="54">
        <v>45179</v>
      </c>
      <c r="P17" s="54">
        <v>45212</v>
      </c>
      <c r="Q17" s="51" t="s">
        <v>45</v>
      </c>
      <c r="R17" s="52">
        <v>10550</v>
      </c>
      <c r="S17" s="52">
        <v>0</v>
      </c>
      <c r="T17" s="52">
        <v>10550</v>
      </c>
      <c r="U17" s="54">
        <v>45224</v>
      </c>
      <c r="V17" s="52">
        <v>12199.93</v>
      </c>
      <c r="W17" s="52">
        <v>128709261.5</v>
      </c>
      <c r="X17" s="51"/>
      <c r="Y17" s="52">
        <v>128709261.5</v>
      </c>
      <c r="Z17" s="50" t="s">
        <v>126</v>
      </c>
    </row>
    <row r="18" spans="1:26" s="4" customFormat="1" ht="36" x14ac:dyDescent="0.3">
      <c r="A18" s="50">
        <v>14</v>
      </c>
      <c r="B18" s="51" t="s">
        <v>231</v>
      </c>
      <c r="C18" s="51" t="s">
        <v>118</v>
      </c>
      <c r="D18" s="51" t="s">
        <v>169</v>
      </c>
      <c r="E18" s="51" t="s">
        <v>170</v>
      </c>
      <c r="F18" s="51" t="s">
        <v>171</v>
      </c>
      <c r="G18" s="53">
        <v>109501.68</v>
      </c>
      <c r="H18" s="51" t="s">
        <v>40</v>
      </c>
      <c r="I18" s="50">
        <v>58.360999999999997</v>
      </c>
      <c r="J18" s="52">
        <v>12820.31</v>
      </c>
      <c r="K18" s="52" t="s">
        <v>44</v>
      </c>
      <c r="L18" s="51" t="s">
        <v>123</v>
      </c>
      <c r="M18" s="51" t="s">
        <v>172</v>
      </c>
      <c r="N18" s="51" t="s">
        <v>125</v>
      </c>
      <c r="O18" s="54">
        <v>45179</v>
      </c>
      <c r="P18" s="54">
        <v>45212</v>
      </c>
      <c r="Q18" s="51" t="s">
        <v>45</v>
      </c>
      <c r="R18" s="52">
        <v>10550</v>
      </c>
      <c r="S18" s="52">
        <v>0</v>
      </c>
      <c r="T18" s="52">
        <v>10550</v>
      </c>
      <c r="U18" s="54">
        <v>45224</v>
      </c>
      <c r="V18" s="52">
        <v>12199.93</v>
      </c>
      <c r="W18" s="52">
        <v>128709261.5</v>
      </c>
      <c r="X18" s="51"/>
      <c r="Y18" s="52">
        <v>128709261.5</v>
      </c>
      <c r="Z18" s="50" t="s">
        <v>126</v>
      </c>
    </row>
    <row r="19" spans="1:26" s="4" customFormat="1" ht="36" x14ac:dyDescent="0.3">
      <c r="A19" s="50">
        <v>15</v>
      </c>
      <c r="B19" s="51" t="s">
        <v>231</v>
      </c>
      <c r="C19" s="51" t="s">
        <v>118</v>
      </c>
      <c r="D19" s="51" t="s">
        <v>173</v>
      </c>
      <c r="E19" s="51" t="s">
        <v>174</v>
      </c>
      <c r="F19" s="51" t="s">
        <v>175</v>
      </c>
      <c r="G19" s="53">
        <v>113184</v>
      </c>
      <c r="H19" s="51" t="s">
        <v>40</v>
      </c>
      <c r="I19" s="50">
        <v>65.331999999999994</v>
      </c>
      <c r="J19" s="52">
        <v>3284</v>
      </c>
      <c r="K19" s="52" t="s">
        <v>44</v>
      </c>
      <c r="L19" s="51" t="s">
        <v>123</v>
      </c>
      <c r="M19" s="51" t="s">
        <v>176</v>
      </c>
      <c r="N19" s="51" t="s">
        <v>125</v>
      </c>
      <c r="O19" s="54">
        <v>45179</v>
      </c>
      <c r="P19" s="54">
        <v>45212</v>
      </c>
      <c r="Q19" s="51" t="s">
        <v>45</v>
      </c>
      <c r="R19" s="52">
        <v>10550</v>
      </c>
      <c r="S19" s="52">
        <v>0</v>
      </c>
      <c r="T19" s="52">
        <v>10550</v>
      </c>
      <c r="U19" s="54">
        <v>45224</v>
      </c>
      <c r="V19" s="52">
        <v>12199.93</v>
      </c>
      <c r="W19" s="52">
        <v>128709261.5</v>
      </c>
      <c r="X19" s="51"/>
      <c r="Y19" s="52">
        <v>128709261.5</v>
      </c>
      <c r="Z19" s="50" t="s">
        <v>126</v>
      </c>
    </row>
    <row r="20" spans="1:26" s="4" customFormat="1" ht="36" x14ac:dyDescent="0.3">
      <c r="A20" s="50">
        <v>16</v>
      </c>
      <c r="B20" s="51" t="s">
        <v>231</v>
      </c>
      <c r="C20" s="51" t="s">
        <v>118</v>
      </c>
      <c r="D20" s="51" t="s">
        <v>177</v>
      </c>
      <c r="E20" s="51" t="s">
        <v>147</v>
      </c>
      <c r="F20" s="51" t="s">
        <v>178</v>
      </c>
      <c r="G20" s="53">
        <v>49993.02</v>
      </c>
      <c r="H20" s="51" t="s">
        <v>40</v>
      </c>
      <c r="I20" s="50">
        <v>69.728999999999999</v>
      </c>
      <c r="J20" s="52">
        <v>11880.4</v>
      </c>
      <c r="K20" s="52" t="s">
        <v>44</v>
      </c>
      <c r="L20" s="51" t="s">
        <v>123</v>
      </c>
      <c r="M20" s="51" t="s">
        <v>179</v>
      </c>
      <c r="N20" s="51" t="s">
        <v>125</v>
      </c>
      <c r="O20" s="54">
        <v>45179</v>
      </c>
      <c r="P20" s="54">
        <v>45212</v>
      </c>
      <c r="Q20" s="51" t="s">
        <v>45</v>
      </c>
      <c r="R20" s="52">
        <v>10550</v>
      </c>
      <c r="S20" s="52">
        <v>0</v>
      </c>
      <c r="T20" s="52">
        <v>10550</v>
      </c>
      <c r="U20" s="54">
        <v>45224</v>
      </c>
      <c r="V20" s="52">
        <v>12199.93</v>
      </c>
      <c r="W20" s="52">
        <v>128709261.5</v>
      </c>
      <c r="X20" s="51"/>
      <c r="Y20" s="52">
        <v>128709261.5</v>
      </c>
      <c r="Z20" s="50" t="s">
        <v>126</v>
      </c>
    </row>
    <row r="21" spans="1:26" s="4" customFormat="1" ht="36" x14ac:dyDescent="0.3">
      <c r="A21" s="50">
        <v>17</v>
      </c>
      <c r="B21" s="51" t="s">
        <v>231</v>
      </c>
      <c r="C21" s="51" t="s">
        <v>118</v>
      </c>
      <c r="D21" s="51" t="s">
        <v>180</v>
      </c>
      <c r="E21" s="51" t="s">
        <v>136</v>
      </c>
      <c r="F21" s="51" t="s">
        <v>137</v>
      </c>
      <c r="G21" s="53">
        <v>129121.2</v>
      </c>
      <c r="H21" s="51" t="s">
        <v>40</v>
      </c>
      <c r="I21" s="50">
        <v>62.57</v>
      </c>
      <c r="J21" s="52">
        <v>22332.92</v>
      </c>
      <c r="K21" s="52" t="s">
        <v>44</v>
      </c>
      <c r="L21" s="51" t="s">
        <v>123</v>
      </c>
      <c r="M21" s="51" t="s">
        <v>138</v>
      </c>
      <c r="N21" s="51" t="s">
        <v>125</v>
      </c>
      <c r="O21" s="54">
        <v>45179</v>
      </c>
      <c r="P21" s="54">
        <v>45212</v>
      </c>
      <c r="Q21" s="51" t="s">
        <v>45</v>
      </c>
      <c r="R21" s="52">
        <v>10550</v>
      </c>
      <c r="S21" s="52">
        <v>0</v>
      </c>
      <c r="T21" s="52">
        <v>10550</v>
      </c>
      <c r="U21" s="54">
        <v>45224</v>
      </c>
      <c r="V21" s="52">
        <v>12199.93</v>
      </c>
      <c r="W21" s="52">
        <v>128709261.5</v>
      </c>
      <c r="X21" s="51"/>
      <c r="Y21" s="52">
        <v>128709261.5</v>
      </c>
      <c r="Z21" s="50" t="s">
        <v>126</v>
      </c>
    </row>
    <row r="22" spans="1:26" s="4" customFormat="1" ht="84" x14ac:dyDescent="0.3">
      <c r="A22" s="50">
        <v>18</v>
      </c>
      <c r="B22" s="51" t="s">
        <v>231</v>
      </c>
      <c r="C22" s="51" t="s">
        <v>118</v>
      </c>
      <c r="D22" s="51" t="s">
        <v>181</v>
      </c>
      <c r="E22" s="51" t="s">
        <v>182</v>
      </c>
      <c r="F22" s="51" t="s">
        <v>183</v>
      </c>
      <c r="G22" s="53">
        <v>321660.59999999998</v>
      </c>
      <c r="H22" s="51" t="s">
        <v>40</v>
      </c>
      <c r="I22" s="50">
        <v>61.518000000000001</v>
      </c>
      <c r="J22" s="52">
        <v>10634.8</v>
      </c>
      <c r="K22" s="52" t="s">
        <v>44</v>
      </c>
      <c r="L22" s="51" t="s">
        <v>123</v>
      </c>
      <c r="M22" s="51" t="s">
        <v>184</v>
      </c>
      <c r="N22" s="51" t="s">
        <v>125</v>
      </c>
      <c r="O22" s="54">
        <v>45179</v>
      </c>
      <c r="P22" s="54">
        <v>45212</v>
      </c>
      <c r="Q22" s="51" t="s">
        <v>45</v>
      </c>
      <c r="R22" s="52">
        <v>10550</v>
      </c>
      <c r="S22" s="52">
        <v>0</v>
      </c>
      <c r="T22" s="52">
        <v>10550</v>
      </c>
      <c r="U22" s="54">
        <v>45224</v>
      </c>
      <c r="V22" s="52">
        <v>12199.93</v>
      </c>
      <c r="W22" s="52">
        <v>128709261.5</v>
      </c>
      <c r="X22" s="51"/>
      <c r="Y22" s="52">
        <v>128709261.5</v>
      </c>
      <c r="Z22" s="50" t="s">
        <v>126</v>
      </c>
    </row>
    <row r="23" spans="1:26" s="4" customFormat="1" ht="36" x14ac:dyDescent="0.3">
      <c r="A23" s="50">
        <v>19</v>
      </c>
      <c r="B23" s="51" t="s">
        <v>231</v>
      </c>
      <c r="C23" s="51" t="s">
        <v>118</v>
      </c>
      <c r="D23" s="51" t="s">
        <v>185</v>
      </c>
      <c r="E23" s="51" t="s">
        <v>136</v>
      </c>
      <c r="F23" s="51" t="s">
        <v>158</v>
      </c>
      <c r="G23" s="53">
        <v>107715.24</v>
      </c>
      <c r="H23" s="51" t="s">
        <v>40</v>
      </c>
      <c r="I23" s="50">
        <v>67.87</v>
      </c>
      <c r="J23" s="52">
        <v>10972.08</v>
      </c>
      <c r="K23" s="52" t="s">
        <v>44</v>
      </c>
      <c r="L23" s="51" t="s">
        <v>123</v>
      </c>
      <c r="M23" s="51" t="s">
        <v>159</v>
      </c>
      <c r="N23" s="51" t="s">
        <v>125</v>
      </c>
      <c r="O23" s="54">
        <v>45179</v>
      </c>
      <c r="P23" s="54">
        <v>45212</v>
      </c>
      <c r="Q23" s="51" t="s">
        <v>45</v>
      </c>
      <c r="R23" s="52">
        <v>10550</v>
      </c>
      <c r="S23" s="52">
        <v>0</v>
      </c>
      <c r="T23" s="52">
        <v>10550</v>
      </c>
      <c r="U23" s="54">
        <v>45224</v>
      </c>
      <c r="V23" s="52">
        <v>12199.93</v>
      </c>
      <c r="W23" s="52">
        <v>128709261.5</v>
      </c>
      <c r="X23" s="51"/>
      <c r="Y23" s="52">
        <v>128709261.5</v>
      </c>
      <c r="Z23" s="50" t="s">
        <v>126</v>
      </c>
    </row>
    <row r="24" spans="1:26" s="4" customFormat="1" ht="36" x14ac:dyDescent="0.3">
      <c r="A24" s="50">
        <v>20</v>
      </c>
      <c r="B24" s="51" t="s">
        <v>231</v>
      </c>
      <c r="C24" s="51" t="s">
        <v>118</v>
      </c>
      <c r="D24" s="51" t="s">
        <v>186</v>
      </c>
      <c r="E24" s="51" t="s">
        <v>147</v>
      </c>
      <c r="F24" s="51" t="s">
        <v>187</v>
      </c>
      <c r="G24" s="53">
        <v>49993.02</v>
      </c>
      <c r="H24" s="51" t="s">
        <v>40</v>
      </c>
      <c r="I24" s="50">
        <v>69.728999999999999</v>
      </c>
      <c r="J24" s="52">
        <v>11880.4</v>
      </c>
      <c r="K24" s="52" t="s">
        <v>44</v>
      </c>
      <c r="L24" s="51" t="s">
        <v>123</v>
      </c>
      <c r="M24" s="51" t="s">
        <v>188</v>
      </c>
      <c r="N24" s="51" t="s">
        <v>125</v>
      </c>
      <c r="O24" s="54">
        <v>45179</v>
      </c>
      <c r="P24" s="54">
        <v>45212</v>
      </c>
      <c r="Q24" s="51" t="s">
        <v>45</v>
      </c>
      <c r="R24" s="52">
        <v>10550</v>
      </c>
      <c r="S24" s="52">
        <v>0</v>
      </c>
      <c r="T24" s="52">
        <v>10550</v>
      </c>
      <c r="U24" s="54">
        <v>45224</v>
      </c>
      <c r="V24" s="52">
        <v>12199.93</v>
      </c>
      <c r="W24" s="52">
        <v>128709261.5</v>
      </c>
      <c r="X24" s="51"/>
      <c r="Y24" s="52">
        <v>128709261.5</v>
      </c>
      <c r="Z24" s="50" t="s">
        <v>126</v>
      </c>
    </row>
    <row r="25" spans="1:26" s="4" customFormat="1" ht="36" x14ac:dyDescent="0.3">
      <c r="A25" s="50">
        <v>21</v>
      </c>
      <c r="B25" s="51" t="s">
        <v>231</v>
      </c>
      <c r="C25" s="51" t="s">
        <v>118</v>
      </c>
      <c r="D25" s="51" t="s">
        <v>189</v>
      </c>
      <c r="E25" s="51" t="s">
        <v>128</v>
      </c>
      <c r="F25" s="51" t="s">
        <v>190</v>
      </c>
      <c r="G25" s="53">
        <v>153354.23999999999</v>
      </c>
      <c r="H25" s="51" t="s">
        <v>40</v>
      </c>
      <c r="I25" s="50">
        <v>68.8</v>
      </c>
      <c r="J25" s="52">
        <v>12636.16</v>
      </c>
      <c r="K25" s="52" t="s">
        <v>44</v>
      </c>
      <c r="L25" s="51" t="s">
        <v>123</v>
      </c>
      <c r="M25" s="51" t="s">
        <v>191</v>
      </c>
      <c r="N25" s="51" t="s">
        <v>125</v>
      </c>
      <c r="O25" s="54">
        <v>45179</v>
      </c>
      <c r="P25" s="54">
        <v>45212</v>
      </c>
      <c r="Q25" s="51" t="s">
        <v>45</v>
      </c>
      <c r="R25" s="52">
        <v>10550</v>
      </c>
      <c r="S25" s="52">
        <v>0</v>
      </c>
      <c r="T25" s="52">
        <v>10550</v>
      </c>
      <c r="U25" s="54">
        <v>45224</v>
      </c>
      <c r="V25" s="52">
        <v>12199.93</v>
      </c>
      <c r="W25" s="52">
        <v>128709261.5</v>
      </c>
      <c r="X25" s="51"/>
      <c r="Y25" s="52">
        <v>128709261.5</v>
      </c>
      <c r="Z25" s="50" t="s">
        <v>126</v>
      </c>
    </row>
    <row r="26" spans="1:26" s="4" customFormat="1" ht="36" x14ac:dyDescent="0.3">
      <c r="A26" s="50">
        <v>22</v>
      </c>
      <c r="B26" s="51" t="s">
        <v>231</v>
      </c>
      <c r="C26" s="51" t="s">
        <v>118</v>
      </c>
      <c r="D26" s="51" t="s">
        <v>192</v>
      </c>
      <c r="E26" s="51" t="s">
        <v>147</v>
      </c>
      <c r="F26" s="51" t="s">
        <v>193</v>
      </c>
      <c r="G26" s="53">
        <v>49993.02</v>
      </c>
      <c r="H26" s="51" t="s">
        <v>40</v>
      </c>
      <c r="I26" s="50">
        <v>69.728999999999999</v>
      </c>
      <c r="J26" s="52">
        <v>11880.4</v>
      </c>
      <c r="K26" s="52" t="s">
        <v>44</v>
      </c>
      <c r="L26" s="51" t="s">
        <v>123</v>
      </c>
      <c r="M26" s="51" t="s">
        <v>194</v>
      </c>
      <c r="N26" s="51" t="s">
        <v>125</v>
      </c>
      <c r="O26" s="54">
        <v>45179</v>
      </c>
      <c r="P26" s="54">
        <v>45212</v>
      </c>
      <c r="Q26" s="51" t="s">
        <v>45</v>
      </c>
      <c r="R26" s="52">
        <v>10550</v>
      </c>
      <c r="S26" s="52">
        <v>0</v>
      </c>
      <c r="T26" s="52">
        <v>10550</v>
      </c>
      <c r="U26" s="54">
        <v>45224</v>
      </c>
      <c r="V26" s="52">
        <v>12199.93</v>
      </c>
      <c r="W26" s="52">
        <v>128709261.5</v>
      </c>
      <c r="X26" s="51"/>
      <c r="Y26" s="52">
        <v>128709261.5</v>
      </c>
      <c r="Z26" s="50" t="s">
        <v>126</v>
      </c>
    </row>
    <row r="27" spans="1:26" s="4" customFormat="1" ht="60" x14ac:dyDescent="0.3">
      <c r="A27" s="50">
        <v>23</v>
      </c>
      <c r="B27" s="51" t="s">
        <v>231</v>
      </c>
      <c r="C27" s="51" t="s">
        <v>118</v>
      </c>
      <c r="D27" s="51" t="s">
        <v>195</v>
      </c>
      <c r="E27" s="51" t="s">
        <v>196</v>
      </c>
      <c r="F27" s="51" t="s">
        <v>197</v>
      </c>
      <c r="G27" s="53">
        <v>131596.20000000001</v>
      </c>
      <c r="H27" s="51" t="s">
        <v>40</v>
      </c>
      <c r="I27" s="50">
        <v>33.655000000000001</v>
      </c>
      <c r="J27" s="52">
        <v>22996.15</v>
      </c>
      <c r="K27" s="52" t="s">
        <v>44</v>
      </c>
      <c r="L27" s="51" t="s">
        <v>123</v>
      </c>
      <c r="M27" s="51" t="s">
        <v>198</v>
      </c>
      <c r="N27" s="51" t="s">
        <v>125</v>
      </c>
      <c r="O27" s="54">
        <v>45179</v>
      </c>
      <c r="P27" s="54">
        <v>45212</v>
      </c>
      <c r="Q27" s="51" t="s">
        <v>45</v>
      </c>
      <c r="R27" s="52">
        <v>10550</v>
      </c>
      <c r="S27" s="52">
        <v>0</v>
      </c>
      <c r="T27" s="52">
        <v>10550</v>
      </c>
      <c r="U27" s="54">
        <v>45224</v>
      </c>
      <c r="V27" s="52">
        <v>12199.93</v>
      </c>
      <c r="W27" s="52">
        <v>128709261.5</v>
      </c>
      <c r="X27" s="51"/>
      <c r="Y27" s="52">
        <v>128709261.5</v>
      </c>
      <c r="Z27" s="50" t="s">
        <v>126</v>
      </c>
    </row>
    <row r="28" spans="1:26" s="4" customFormat="1" ht="36" x14ac:dyDescent="0.3">
      <c r="A28" s="50">
        <v>24</v>
      </c>
      <c r="B28" s="51" t="s">
        <v>231</v>
      </c>
      <c r="C28" s="51" t="s">
        <v>118</v>
      </c>
      <c r="D28" s="51" t="s">
        <v>199</v>
      </c>
      <c r="E28" s="51" t="s">
        <v>200</v>
      </c>
      <c r="F28" s="51" t="s">
        <v>201</v>
      </c>
      <c r="G28" s="53">
        <v>16112.64</v>
      </c>
      <c r="H28" s="51" t="s">
        <v>40</v>
      </c>
      <c r="I28" s="50">
        <v>54.673999999999999</v>
      </c>
      <c r="J28" s="52">
        <v>3815.36</v>
      </c>
      <c r="K28" s="52" t="s">
        <v>44</v>
      </c>
      <c r="L28" s="51" t="s">
        <v>123</v>
      </c>
      <c r="M28" s="51" t="s">
        <v>202</v>
      </c>
      <c r="N28" s="51" t="s">
        <v>125</v>
      </c>
      <c r="O28" s="54">
        <v>45179</v>
      </c>
      <c r="P28" s="54">
        <v>45212</v>
      </c>
      <c r="Q28" s="51" t="s">
        <v>45</v>
      </c>
      <c r="R28" s="52">
        <v>10550</v>
      </c>
      <c r="S28" s="52">
        <v>0</v>
      </c>
      <c r="T28" s="52">
        <v>10550</v>
      </c>
      <c r="U28" s="54">
        <v>45224</v>
      </c>
      <c r="V28" s="52">
        <v>12199.93</v>
      </c>
      <c r="W28" s="52">
        <v>128709261.5</v>
      </c>
      <c r="X28" s="51"/>
      <c r="Y28" s="52">
        <v>128709261.5</v>
      </c>
      <c r="Z28" s="50" t="s">
        <v>126</v>
      </c>
    </row>
    <row r="29" spans="1:26" s="4" customFormat="1" ht="132" x14ac:dyDescent="0.3">
      <c r="A29" s="50">
        <v>25</v>
      </c>
      <c r="B29" s="51" t="s">
        <v>231</v>
      </c>
      <c r="C29" s="51" t="s">
        <v>118</v>
      </c>
      <c r="D29" s="51" t="s">
        <v>203</v>
      </c>
      <c r="E29" s="51" t="s">
        <v>204</v>
      </c>
      <c r="F29" s="51" t="s">
        <v>205</v>
      </c>
      <c r="G29" s="53">
        <v>142819.84</v>
      </c>
      <c r="H29" s="51" t="s">
        <v>40</v>
      </c>
      <c r="I29" s="50">
        <v>61.331000000000003</v>
      </c>
      <c r="J29" s="52">
        <v>20207.88</v>
      </c>
      <c r="K29" s="52" t="s">
        <v>44</v>
      </c>
      <c r="L29" s="51" t="s">
        <v>123</v>
      </c>
      <c r="M29" s="51" t="s">
        <v>206</v>
      </c>
      <c r="N29" s="51" t="s">
        <v>125</v>
      </c>
      <c r="O29" s="54">
        <v>45179</v>
      </c>
      <c r="P29" s="54">
        <v>45212</v>
      </c>
      <c r="Q29" s="51" t="s">
        <v>45</v>
      </c>
      <c r="R29" s="52">
        <v>10550</v>
      </c>
      <c r="S29" s="55">
        <v>-139.32999999999993</v>
      </c>
      <c r="T29" s="52">
        <v>10410.67</v>
      </c>
      <c r="U29" s="54">
        <v>45224</v>
      </c>
      <c r="V29" s="52">
        <v>12199.93</v>
      </c>
      <c r="W29" s="52">
        <v>127009445.25310001</v>
      </c>
      <c r="X29" s="51"/>
      <c r="Y29" s="52">
        <v>127009445.25310001</v>
      </c>
      <c r="Z29" s="50" t="s">
        <v>126</v>
      </c>
    </row>
    <row r="30" spans="1:26" s="4" customFormat="1" ht="144" x14ac:dyDescent="0.3">
      <c r="A30" s="50">
        <v>26</v>
      </c>
      <c r="B30" s="51" t="s">
        <v>231</v>
      </c>
      <c r="C30" s="51" t="s">
        <v>118</v>
      </c>
      <c r="D30" s="51" t="s">
        <v>207</v>
      </c>
      <c r="E30" s="51" t="s">
        <v>208</v>
      </c>
      <c r="F30" s="51" t="s">
        <v>209</v>
      </c>
      <c r="G30" s="53">
        <v>160032.16</v>
      </c>
      <c r="H30" s="51" t="s">
        <v>40</v>
      </c>
      <c r="I30" s="50">
        <v>59.677</v>
      </c>
      <c r="J30" s="52">
        <v>20998.959999999999</v>
      </c>
      <c r="K30" s="52" t="s">
        <v>44</v>
      </c>
      <c r="L30" s="51" t="s">
        <v>123</v>
      </c>
      <c r="M30" s="51" t="s">
        <v>210</v>
      </c>
      <c r="N30" s="51" t="s">
        <v>125</v>
      </c>
      <c r="O30" s="54">
        <v>45179</v>
      </c>
      <c r="P30" s="54">
        <v>45212</v>
      </c>
      <c r="Q30" s="51" t="s">
        <v>45</v>
      </c>
      <c r="R30" s="52">
        <v>10550</v>
      </c>
      <c r="S30" s="55">
        <v>-1854.83</v>
      </c>
      <c r="T30" s="52">
        <v>8695.17</v>
      </c>
      <c r="U30" s="54">
        <v>45224</v>
      </c>
      <c r="V30" s="52">
        <v>12199.93</v>
      </c>
      <c r="W30" s="52">
        <v>106080465.3381</v>
      </c>
      <c r="X30" s="51"/>
      <c r="Y30" s="52">
        <v>106080465.3381</v>
      </c>
      <c r="Z30" s="50" t="s">
        <v>126</v>
      </c>
    </row>
    <row r="31" spans="1:26" s="4" customFormat="1" ht="36" x14ac:dyDescent="0.3">
      <c r="A31" s="50">
        <v>27</v>
      </c>
      <c r="B31" s="51" t="s">
        <v>231</v>
      </c>
      <c r="C31" s="51" t="s">
        <v>118</v>
      </c>
      <c r="D31" s="51" t="s">
        <v>211</v>
      </c>
      <c r="E31" s="51" t="s">
        <v>212</v>
      </c>
      <c r="F31" s="51" t="s">
        <v>213</v>
      </c>
      <c r="G31" s="53">
        <v>16224</v>
      </c>
      <c r="H31" s="51" t="s">
        <v>40</v>
      </c>
      <c r="I31" s="50">
        <v>58.88</v>
      </c>
      <c r="J31" s="52">
        <v>21282</v>
      </c>
      <c r="K31" s="52" t="s">
        <v>44</v>
      </c>
      <c r="L31" s="51" t="s">
        <v>123</v>
      </c>
      <c r="M31" s="51" t="s">
        <v>214</v>
      </c>
      <c r="N31" s="51" t="s">
        <v>125</v>
      </c>
      <c r="O31" s="54">
        <v>45179</v>
      </c>
      <c r="P31" s="54">
        <v>45212</v>
      </c>
      <c r="Q31" s="51" t="s">
        <v>45</v>
      </c>
      <c r="R31" s="52">
        <v>10550</v>
      </c>
      <c r="S31" s="55">
        <v>-7594.46</v>
      </c>
      <c r="T31" s="52">
        <v>2955.54</v>
      </c>
      <c r="U31" s="54">
        <v>45224</v>
      </c>
      <c r="V31" s="52">
        <v>12199.93</v>
      </c>
      <c r="W31" s="52">
        <v>36057381.112199999</v>
      </c>
      <c r="X31" s="51"/>
      <c r="Y31" s="52">
        <v>36057381.112199999</v>
      </c>
      <c r="Z31" s="50" t="s">
        <v>126</v>
      </c>
    </row>
    <row r="32" spans="1:26" s="4" customFormat="1" ht="36" x14ac:dyDescent="0.3">
      <c r="A32" s="50">
        <v>28</v>
      </c>
      <c r="B32" s="51" t="s">
        <v>231</v>
      </c>
      <c r="C32" s="51" t="s">
        <v>118</v>
      </c>
      <c r="D32" s="51" t="s">
        <v>215</v>
      </c>
      <c r="E32" s="51" t="s">
        <v>147</v>
      </c>
      <c r="F32" s="51" t="s">
        <v>216</v>
      </c>
      <c r="G32" s="53">
        <v>49993.02</v>
      </c>
      <c r="H32" s="51" t="s">
        <v>40</v>
      </c>
      <c r="I32" s="50">
        <v>69.728999999999999</v>
      </c>
      <c r="J32" s="52">
        <v>11880.4</v>
      </c>
      <c r="K32" s="52" t="s">
        <v>44</v>
      </c>
      <c r="L32" s="51" t="s">
        <v>123</v>
      </c>
      <c r="M32" s="51" t="s">
        <v>217</v>
      </c>
      <c r="N32" s="51" t="s">
        <v>125</v>
      </c>
      <c r="O32" s="54">
        <v>45179</v>
      </c>
      <c r="P32" s="54">
        <v>45212</v>
      </c>
      <c r="Q32" s="51" t="s">
        <v>45</v>
      </c>
      <c r="R32" s="52">
        <v>10550</v>
      </c>
      <c r="S32" s="52">
        <v>0</v>
      </c>
      <c r="T32" s="52">
        <v>10550</v>
      </c>
      <c r="U32" s="54">
        <v>45224</v>
      </c>
      <c r="V32" s="52">
        <v>12199.93</v>
      </c>
      <c r="W32" s="52">
        <v>128709261.5</v>
      </c>
      <c r="X32" s="51"/>
      <c r="Y32" s="52">
        <v>128709261.5</v>
      </c>
      <c r="Z32" s="50" t="s">
        <v>126</v>
      </c>
    </row>
    <row r="33" spans="1:26" s="4" customFormat="1" ht="36" x14ac:dyDescent="0.3">
      <c r="A33" s="50">
        <v>29</v>
      </c>
      <c r="B33" s="51" t="s">
        <v>231</v>
      </c>
      <c r="C33" s="51" t="s">
        <v>118</v>
      </c>
      <c r="D33" s="51" t="s">
        <v>218</v>
      </c>
      <c r="E33" s="51" t="s">
        <v>147</v>
      </c>
      <c r="F33" s="51" t="s">
        <v>219</v>
      </c>
      <c r="G33" s="53">
        <v>49993.02</v>
      </c>
      <c r="H33" s="51" t="s">
        <v>40</v>
      </c>
      <c r="I33" s="50">
        <v>69.728999999999999</v>
      </c>
      <c r="J33" s="52">
        <v>11880.4</v>
      </c>
      <c r="K33" s="52" t="s">
        <v>44</v>
      </c>
      <c r="L33" s="51" t="s">
        <v>123</v>
      </c>
      <c r="M33" s="51" t="s">
        <v>220</v>
      </c>
      <c r="N33" s="51" t="s">
        <v>125</v>
      </c>
      <c r="O33" s="54">
        <v>45179</v>
      </c>
      <c r="P33" s="54">
        <v>45212</v>
      </c>
      <c r="Q33" s="51" t="s">
        <v>45</v>
      </c>
      <c r="R33" s="52">
        <v>10550</v>
      </c>
      <c r="S33" s="52">
        <v>0</v>
      </c>
      <c r="T33" s="52">
        <v>10550</v>
      </c>
      <c r="U33" s="54">
        <v>45224</v>
      </c>
      <c r="V33" s="52">
        <v>12199.93</v>
      </c>
      <c r="W33" s="52">
        <v>128709261.5</v>
      </c>
      <c r="X33" s="51"/>
      <c r="Y33" s="52">
        <v>128709261.5</v>
      </c>
      <c r="Z33" s="50" t="s">
        <v>126</v>
      </c>
    </row>
    <row r="34" spans="1:26" s="4" customFormat="1" ht="36" x14ac:dyDescent="0.3">
      <c r="A34" s="50">
        <v>30</v>
      </c>
      <c r="B34" s="51" t="s">
        <v>231</v>
      </c>
      <c r="C34" s="51" t="s">
        <v>118</v>
      </c>
      <c r="D34" s="51" t="s">
        <v>221</v>
      </c>
      <c r="E34" s="51" t="s">
        <v>147</v>
      </c>
      <c r="F34" s="51" t="s">
        <v>222</v>
      </c>
      <c r="G34" s="53">
        <v>49993.02</v>
      </c>
      <c r="H34" s="51" t="s">
        <v>40</v>
      </c>
      <c r="I34" s="50">
        <v>69.728999999999999</v>
      </c>
      <c r="J34" s="52">
        <v>11880.4</v>
      </c>
      <c r="K34" s="52" t="s">
        <v>44</v>
      </c>
      <c r="L34" s="51" t="s">
        <v>123</v>
      </c>
      <c r="M34" s="51" t="s">
        <v>223</v>
      </c>
      <c r="N34" s="51" t="s">
        <v>125</v>
      </c>
      <c r="O34" s="54">
        <v>45179</v>
      </c>
      <c r="P34" s="54">
        <v>45212</v>
      </c>
      <c r="Q34" s="51" t="s">
        <v>45</v>
      </c>
      <c r="R34" s="52">
        <v>10550</v>
      </c>
      <c r="S34" s="52">
        <v>0</v>
      </c>
      <c r="T34" s="52">
        <v>10550</v>
      </c>
      <c r="U34" s="54">
        <v>45224</v>
      </c>
      <c r="V34" s="52">
        <v>12199.93</v>
      </c>
      <c r="W34" s="52">
        <v>128709261.5</v>
      </c>
      <c r="X34" s="51"/>
      <c r="Y34" s="52">
        <v>128709261.5</v>
      </c>
      <c r="Z34" s="50" t="s">
        <v>126</v>
      </c>
    </row>
    <row r="35" spans="1:26" s="4" customFormat="1" ht="36" x14ac:dyDescent="0.3">
      <c r="A35" s="50">
        <v>31</v>
      </c>
      <c r="B35" s="51" t="s">
        <v>231</v>
      </c>
      <c r="C35" s="51" t="s">
        <v>118</v>
      </c>
      <c r="D35" s="51" t="s">
        <v>224</v>
      </c>
      <c r="E35" s="51" t="s">
        <v>147</v>
      </c>
      <c r="F35" s="51" t="s">
        <v>225</v>
      </c>
      <c r="G35" s="53">
        <v>49993.02</v>
      </c>
      <c r="H35" s="51" t="s">
        <v>40</v>
      </c>
      <c r="I35" s="50">
        <v>69.728999999999999</v>
      </c>
      <c r="J35" s="52">
        <v>11880.4</v>
      </c>
      <c r="K35" s="52" t="s">
        <v>44</v>
      </c>
      <c r="L35" s="51" t="s">
        <v>123</v>
      </c>
      <c r="M35" s="51" t="s">
        <v>226</v>
      </c>
      <c r="N35" s="51" t="s">
        <v>125</v>
      </c>
      <c r="O35" s="54">
        <v>45179</v>
      </c>
      <c r="P35" s="54">
        <v>45212</v>
      </c>
      <c r="Q35" s="51" t="s">
        <v>45</v>
      </c>
      <c r="R35" s="52">
        <v>10550</v>
      </c>
      <c r="S35" s="52">
        <v>0</v>
      </c>
      <c r="T35" s="52">
        <v>10550</v>
      </c>
      <c r="U35" s="54">
        <v>45224</v>
      </c>
      <c r="V35" s="52">
        <v>12199.93</v>
      </c>
      <c r="W35" s="52">
        <v>128709261.5</v>
      </c>
      <c r="X35" s="51"/>
      <c r="Y35" s="52">
        <v>128709261.5</v>
      </c>
      <c r="Z35" s="50" t="s">
        <v>126</v>
      </c>
    </row>
    <row r="36" spans="1:26" s="4" customFormat="1" ht="36" x14ac:dyDescent="0.3">
      <c r="A36" s="50">
        <v>32</v>
      </c>
      <c r="B36" s="51" t="s">
        <v>231</v>
      </c>
      <c r="C36" s="51" t="s">
        <v>118</v>
      </c>
      <c r="D36" s="51" t="s">
        <v>227</v>
      </c>
      <c r="E36" s="51" t="s">
        <v>136</v>
      </c>
      <c r="F36" s="51" t="s">
        <v>228</v>
      </c>
      <c r="G36" s="53">
        <v>82054.100000000006</v>
      </c>
      <c r="H36" s="51" t="s">
        <v>40</v>
      </c>
      <c r="I36" s="50">
        <v>56.097999999999999</v>
      </c>
      <c r="J36" s="52">
        <v>22370.58</v>
      </c>
      <c r="K36" s="52" t="s">
        <v>44</v>
      </c>
      <c r="L36" s="51" t="s">
        <v>123</v>
      </c>
      <c r="M36" s="51" t="s">
        <v>229</v>
      </c>
      <c r="N36" s="51" t="s">
        <v>125</v>
      </c>
      <c r="O36" s="54">
        <v>45179</v>
      </c>
      <c r="P36" s="54">
        <v>45212</v>
      </c>
      <c r="Q36" s="51" t="s">
        <v>45</v>
      </c>
      <c r="R36" s="52">
        <v>10550</v>
      </c>
      <c r="S36" s="52">
        <v>0</v>
      </c>
      <c r="T36" s="52">
        <v>10550</v>
      </c>
      <c r="U36" s="54">
        <v>45224</v>
      </c>
      <c r="V36" s="52">
        <v>12199.93</v>
      </c>
      <c r="W36" s="52">
        <v>128709261.5</v>
      </c>
      <c r="X36" s="51"/>
      <c r="Y36" s="52">
        <v>128709261.5</v>
      </c>
      <c r="Z36" s="50" t="s">
        <v>126</v>
      </c>
    </row>
    <row r="37" spans="1:26" s="4" customFormat="1" ht="36" x14ac:dyDescent="0.3">
      <c r="A37" s="50">
        <v>33</v>
      </c>
      <c r="B37" s="51" t="s">
        <v>231</v>
      </c>
      <c r="C37" s="51" t="s">
        <v>118</v>
      </c>
      <c r="D37" s="51" t="s">
        <v>230</v>
      </c>
      <c r="E37" s="51" t="s">
        <v>136</v>
      </c>
      <c r="F37" s="51" t="s">
        <v>158</v>
      </c>
      <c r="G37" s="53">
        <v>87794.93</v>
      </c>
      <c r="H37" s="51" t="s">
        <v>40</v>
      </c>
      <c r="I37" s="50">
        <v>62.13</v>
      </c>
      <c r="J37" s="52">
        <v>16293.5</v>
      </c>
      <c r="K37" s="52" t="s">
        <v>44</v>
      </c>
      <c r="L37" s="51" t="s">
        <v>123</v>
      </c>
      <c r="M37" s="51" t="s">
        <v>159</v>
      </c>
      <c r="N37" s="51" t="s">
        <v>125</v>
      </c>
      <c r="O37" s="54">
        <v>45179</v>
      </c>
      <c r="P37" s="54">
        <v>45212</v>
      </c>
      <c r="Q37" s="51" t="s">
        <v>45</v>
      </c>
      <c r="R37" s="52">
        <v>10550</v>
      </c>
      <c r="S37" s="52">
        <v>0</v>
      </c>
      <c r="T37" s="52">
        <v>10550</v>
      </c>
      <c r="U37" s="54">
        <v>45224</v>
      </c>
      <c r="V37" s="52">
        <v>12199.93</v>
      </c>
      <c r="W37" s="52">
        <v>128709261.5</v>
      </c>
      <c r="X37" s="51"/>
      <c r="Y37" s="52">
        <v>128709261.5</v>
      </c>
      <c r="Z37" s="50" t="s">
        <v>126</v>
      </c>
    </row>
    <row r="38" spans="1:26" s="4" customFormat="1" x14ac:dyDescent="0.3"/>
    <row r="39" spans="1:26" s="4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D3" sqref="D3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46</v>
      </c>
      <c r="B1" s="30" t="str" cm="1">
        <f t="array" aca="1" ref="B1" ca="1">CELL("имяфайла")</f>
        <v>C:\Users\z.radjabmukhamedov\Desktop\[CNT-K23090211 gmm.xlsx]Лист1</v>
      </c>
    </row>
    <row r="2" spans="1:2" ht="24" customHeight="1" x14ac:dyDescent="0.3">
      <c r="A2" s="29" t="s">
        <v>74</v>
      </c>
      <c r="B2" s="31" t="str">
        <f ca="1">LEFT(B1,SEARCH("[",B1,1)-1)&amp;B3</f>
        <v>C:\Users\z.radjabmukhamedov\Desktop\CNT-K23090211.xlsx</v>
      </c>
    </row>
    <row r="3" spans="1:2" ht="24" customHeight="1" x14ac:dyDescent="0.3">
      <c r="A3" s="29" t="s">
        <v>73</v>
      </c>
      <c r="B3" s="32" t="s">
        <v>116</v>
      </c>
    </row>
    <row r="4" spans="1:2" ht="31.95" customHeight="1" x14ac:dyDescent="0.3">
      <c r="A4" s="42" t="s">
        <v>103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34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4.4" x14ac:dyDescent="0.3">
      <c r="A2" s="10" t="s">
        <v>117</v>
      </c>
      <c r="B2" s="10" t="s">
        <v>118</v>
      </c>
      <c r="C2" s="10" t="s">
        <v>119</v>
      </c>
      <c r="D2" s="10" t="s">
        <v>120</v>
      </c>
      <c r="E2" s="10" t="s">
        <v>121</v>
      </c>
      <c r="F2" s="10" t="s">
        <v>122</v>
      </c>
      <c r="G2" s="7" t="s">
        <v>123</v>
      </c>
      <c r="H2" s="10"/>
      <c r="I2" s="10" t="s">
        <v>44</v>
      </c>
      <c r="J2" s="10" t="s">
        <v>124</v>
      </c>
      <c r="K2" s="10" t="s">
        <v>125</v>
      </c>
      <c r="L2" s="47">
        <v>45179</v>
      </c>
      <c r="M2" s="47">
        <v>45212</v>
      </c>
      <c r="N2" s="19">
        <v>65.927000000000007</v>
      </c>
      <c r="O2" s="19">
        <v>6260.4</v>
      </c>
      <c r="P2" s="19">
        <v>10550</v>
      </c>
      <c r="Q2" s="19"/>
      <c r="R2" s="19">
        <v>10550</v>
      </c>
      <c r="S2" s="10" t="s">
        <v>45</v>
      </c>
      <c r="T2" s="19">
        <v>102042.72</v>
      </c>
      <c r="U2" s="10" t="s">
        <v>126</v>
      </c>
      <c r="V2" s="9">
        <v>1</v>
      </c>
    </row>
    <row r="3" spans="1:22" ht="14.4" x14ac:dyDescent="0.3">
      <c r="A3" s="10" t="s">
        <v>117</v>
      </c>
      <c r="B3" s="10" t="s">
        <v>118</v>
      </c>
      <c r="C3" s="10" t="s">
        <v>119</v>
      </c>
      <c r="D3" s="10" t="s">
        <v>127</v>
      </c>
      <c r="E3" s="10" t="s">
        <v>128</v>
      </c>
      <c r="F3" s="10" t="s">
        <v>129</v>
      </c>
      <c r="G3" s="7" t="s">
        <v>123</v>
      </c>
      <c r="H3" s="10"/>
      <c r="I3" s="10" t="s">
        <v>44</v>
      </c>
      <c r="J3" s="10" t="s">
        <v>130</v>
      </c>
      <c r="K3" s="10" t="s">
        <v>125</v>
      </c>
      <c r="L3" s="47">
        <v>45179</v>
      </c>
      <c r="M3" s="47">
        <v>45212</v>
      </c>
      <c r="N3" s="19">
        <v>68.8</v>
      </c>
      <c r="O3" s="19">
        <v>12636.16</v>
      </c>
      <c r="P3" s="19">
        <v>10550</v>
      </c>
      <c r="Q3" s="19"/>
      <c r="R3" s="19">
        <v>10550</v>
      </c>
      <c r="S3" s="10" t="s">
        <v>45</v>
      </c>
      <c r="T3" s="19">
        <v>153354.23999999999</v>
      </c>
      <c r="U3" s="10" t="s">
        <v>126</v>
      </c>
      <c r="V3" s="9">
        <v>2</v>
      </c>
    </row>
    <row r="4" spans="1:22" ht="14.4" x14ac:dyDescent="0.3">
      <c r="A4" s="10" t="s">
        <v>117</v>
      </c>
      <c r="B4" s="10" t="s">
        <v>118</v>
      </c>
      <c r="C4" s="10" t="s">
        <v>119</v>
      </c>
      <c r="D4" s="10" t="s">
        <v>131</v>
      </c>
      <c r="E4" s="10" t="s">
        <v>132</v>
      </c>
      <c r="F4" s="10" t="s">
        <v>133</v>
      </c>
      <c r="G4" s="7" t="s">
        <v>123</v>
      </c>
      <c r="H4" s="10"/>
      <c r="I4" s="10" t="s">
        <v>44</v>
      </c>
      <c r="J4" s="10" t="s">
        <v>134</v>
      </c>
      <c r="K4" s="10" t="s">
        <v>125</v>
      </c>
      <c r="L4" s="47">
        <v>45179</v>
      </c>
      <c r="M4" s="47">
        <v>45212</v>
      </c>
      <c r="N4" s="19">
        <v>31.428000000000001</v>
      </c>
      <c r="O4" s="19">
        <v>20509.2</v>
      </c>
      <c r="P4" s="19">
        <v>10550</v>
      </c>
      <c r="Q4" s="19"/>
      <c r="R4" s="19">
        <v>10550</v>
      </c>
      <c r="S4" s="10" t="s">
        <v>45</v>
      </c>
      <c r="T4" s="19">
        <v>138542.39999999999</v>
      </c>
      <c r="U4" s="10" t="s">
        <v>126</v>
      </c>
      <c r="V4" s="9">
        <v>3</v>
      </c>
    </row>
    <row r="5" spans="1:22" ht="14.4" x14ac:dyDescent="0.3">
      <c r="A5" s="10" t="s">
        <v>117</v>
      </c>
      <c r="B5" s="10" t="s">
        <v>118</v>
      </c>
      <c r="C5" s="10" t="s">
        <v>119</v>
      </c>
      <c r="D5" s="10" t="s">
        <v>135</v>
      </c>
      <c r="E5" s="10" t="s">
        <v>136</v>
      </c>
      <c r="F5" s="10" t="s">
        <v>137</v>
      </c>
      <c r="G5" s="7" t="s">
        <v>123</v>
      </c>
      <c r="H5" s="10"/>
      <c r="I5" s="10" t="s">
        <v>44</v>
      </c>
      <c r="J5" s="10" t="s">
        <v>138</v>
      </c>
      <c r="K5" s="10" t="s">
        <v>125</v>
      </c>
      <c r="L5" s="47">
        <v>45179</v>
      </c>
      <c r="M5" s="47">
        <v>45212</v>
      </c>
      <c r="N5" s="19">
        <v>60.86</v>
      </c>
      <c r="O5" s="19">
        <v>21144.51</v>
      </c>
      <c r="P5" s="19">
        <v>10550</v>
      </c>
      <c r="Q5" s="19"/>
      <c r="R5" s="19">
        <v>10550</v>
      </c>
      <c r="S5" s="10" t="s">
        <v>45</v>
      </c>
      <c r="T5" s="19">
        <v>114722.16</v>
      </c>
      <c r="U5" s="10" t="s">
        <v>126</v>
      </c>
      <c r="V5" s="9">
        <v>4</v>
      </c>
    </row>
    <row r="6" spans="1:22" ht="14.4" x14ac:dyDescent="0.3">
      <c r="A6" s="10" t="s">
        <v>117</v>
      </c>
      <c r="B6" s="10" t="s">
        <v>118</v>
      </c>
      <c r="C6" s="10" t="s">
        <v>119</v>
      </c>
      <c r="D6" s="10" t="s">
        <v>139</v>
      </c>
      <c r="E6" s="10" t="s">
        <v>140</v>
      </c>
      <c r="F6" s="10" t="s">
        <v>141</v>
      </c>
      <c r="G6" s="7" t="s">
        <v>123</v>
      </c>
      <c r="H6" s="10"/>
      <c r="I6" s="10" t="s">
        <v>44</v>
      </c>
      <c r="J6" s="10" t="s">
        <v>142</v>
      </c>
      <c r="K6" s="10" t="s">
        <v>125</v>
      </c>
      <c r="L6" s="47">
        <v>45179</v>
      </c>
      <c r="M6" s="47">
        <v>45212</v>
      </c>
      <c r="N6" s="19">
        <v>54.463999999999999</v>
      </c>
      <c r="O6" s="19">
        <v>15975.2</v>
      </c>
      <c r="P6" s="19">
        <v>10550</v>
      </c>
      <c r="Q6" s="19"/>
      <c r="R6" s="19">
        <v>10550</v>
      </c>
      <c r="S6" s="10" t="s">
        <v>45</v>
      </c>
      <c r="T6" s="19">
        <v>65520</v>
      </c>
      <c r="U6" s="10" t="s">
        <v>126</v>
      </c>
      <c r="V6" s="9">
        <v>5</v>
      </c>
    </row>
    <row r="7" spans="1:22" ht="14.4" x14ac:dyDescent="0.3">
      <c r="A7" s="10" t="s">
        <v>117</v>
      </c>
      <c r="B7" s="10" t="s">
        <v>118</v>
      </c>
      <c r="C7" s="10" t="s">
        <v>119</v>
      </c>
      <c r="D7" s="10" t="s">
        <v>143</v>
      </c>
      <c r="E7" s="10" t="s">
        <v>136</v>
      </c>
      <c r="F7" s="10" t="s">
        <v>144</v>
      </c>
      <c r="G7" s="7" t="s">
        <v>123</v>
      </c>
      <c r="H7" s="10"/>
      <c r="I7" s="10" t="s">
        <v>44</v>
      </c>
      <c r="J7" s="10" t="s">
        <v>145</v>
      </c>
      <c r="K7" s="10" t="s">
        <v>125</v>
      </c>
      <c r="L7" s="47">
        <v>45179</v>
      </c>
      <c r="M7" s="47">
        <v>45212</v>
      </c>
      <c r="N7" s="19">
        <v>66.430000000000007</v>
      </c>
      <c r="O7" s="19">
        <v>11352</v>
      </c>
      <c r="P7" s="19">
        <v>10550</v>
      </c>
      <c r="Q7" s="19"/>
      <c r="R7" s="19">
        <v>10550</v>
      </c>
      <c r="S7" s="10" t="s">
        <v>45</v>
      </c>
      <c r="T7" s="19">
        <v>117171.36</v>
      </c>
      <c r="U7" s="10" t="s">
        <v>126</v>
      </c>
      <c r="V7" s="9">
        <v>6</v>
      </c>
    </row>
    <row r="8" spans="1:22" ht="14.4" x14ac:dyDescent="0.3">
      <c r="A8" s="10" t="s">
        <v>117</v>
      </c>
      <c r="B8" s="10" t="s">
        <v>118</v>
      </c>
      <c r="C8" s="10" t="s">
        <v>119</v>
      </c>
      <c r="D8" s="10" t="s">
        <v>146</v>
      </c>
      <c r="E8" s="10" t="s">
        <v>147</v>
      </c>
      <c r="F8" s="10" t="s">
        <v>148</v>
      </c>
      <c r="G8" s="7" t="s">
        <v>123</v>
      </c>
      <c r="H8" s="10"/>
      <c r="I8" s="10" t="s">
        <v>44</v>
      </c>
      <c r="J8" s="10" t="s">
        <v>149</v>
      </c>
      <c r="K8" s="10" t="s">
        <v>125</v>
      </c>
      <c r="L8" s="47">
        <v>45179</v>
      </c>
      <c r="M8" s="47">
        <v>45212</v>
      </c>
      <c r="N8" s="19">
        <v>69.728999999999999</v>
      </c>
      <c r="O8" s="19">
        <v>11880.4</v>
      </c>
      <c r="P8" s="19">
        <v>10550</v>
      </c>
      <c r="Q8" s="19"/>
      <c r="R8" s="19">
        <v>10550</v>
      </c>
      <c r="S8" s="10" t="s">
        <v>45</v>
      </c>
      <c r="T8" s="19">
        <v>49993.02</v>
      </c>
      <c r="U8" s="10" t="s">
        <v>126</v>
      </c>
      <c r="V8" s="9">
        <v>7</v>
      </c>
    </row>
    <row r="9" spans="1:22" ht="14.4" x14ac:dyDescent="0.3">
      <c r="A9" s="10" t="s">
        <v>117</v>
      </c>
      <c r="B9" s="10" t="s">
        <v>118</v>
      </c>
      <c r="C9" s="10" t="s">
        <v>119</v>
      </c>
      <c r="D9" s="10" t="s">
        <v>150</v>
      </c>
      <c r="E9" s="10" t="s">
        <v>121</v>
      </c>
      <c r="F9" s="10" t="s">
        <v>151</v>
      </c>
      <c r="G9" s="7" t="s">
        <v>123</v>
      </c>
      <c r="H9" s="10"/>
      <c r="I9" s="10" t="s">
        <v>44</v>
      </c>
      <c r="J9" s="10" t="s">
        <v>152</v>
      </c>
      <c r="K9" s="10" t="s">
        <v>125</v>
      </c>
      <c r="L9" s="47">
        <v>45179</v>
      </c>
      <c r="M9" s="47">
        <v>45212</v>
      </c>
      <c r="N9" s="19">
        <v>63.37</v>
      </c>
      <c r="O9" s="19">
        <v>5372.4</v>
      </c>
      <c r="P9" s="19">
        <v>10550</v>
      </c>
      <c r="Q9" s="19"/>
      <c r="R9" s="19">
        <v>10550</v>
      </c>
      <c r="S9" s="10" t="s">
        <v>45</v>
      </c>
      <c r="T9" s="19">
        <v>91667.520000000004</v>
      </c>
      <c r="U9" s="10" t="s">
        <v>126</v>
      </c>
      <c r="V9" s="9">
        <v>8</v>
      </c>
    </row>
    <row r="10" spans="1:22" ht="14.4" x14ac:dyDescent="0.3">
      <c r="A10" s="10" t="s">
        <v>117</v>
      </c>
      <c r="B10" s="10" t="s">
        <v>118</v>
      </c>
      <c r="C10" s="10" t="s">
        <v>119</v>
      </c>
      <c r="D10" s="10" t="s">
        <v>153</v>
      </c>
      <c r="E10" s="10" t="s">
        <v>154</v>
      </c>
      <c r="F10" s="10" t="s">
        <v>155</v>
      </c>
      <c r="G10" s="7" t="s">
        <v>123</v>
      </c>
      <c r="H10" s="10"/>
      <c r="I10" s="10" t="s">
        <v>44</v>
      </c>
      <c r="J10" s="10" t="s">
        <v>156</v>
      </c>
      <c r="K10" s="10" t="s">
        <v>125</v>
      </c>
      <c r="L10" s="47">
        <v>45179</v>
      </c>
      <c r="M10" s="47">
        <v>45212</v>
      </c>
      <c r="N10" s="19">
        <v>61.587000000000003</v>
      </c>
      <c r="O10" s="19">
        <v>9787.5</v>
      </c>
      <c r="P10" s="19">
        <v>10550</v>
      </c>
      <c r="Q10" s="19"/>
      <c r="R10" s="19">
        <v>9475.93</v>
      </c>
      <c r="S10" s="10" t="s">
        <v>45</v>
      </c>
      <c r="T10" s="19">
        <v>68801.670000000013</v>
      </c>
      <c r="U10" s="10" t="s">
        <v>126</v>
      </c>
      <c r="V10" s="9">
        <v>9</v>
      </c>
    </row>
    <row r="11" spans="1:22" ht="14.4" x14ac:dyDescent="0.3">
      <c r="A11" s="10" t="s">
        <v>117</v>
      </c>
      <c r="B11" s="10" t="s">
        <v>118</v>
      </c>
      <c r="C11" s="10" t="s">
        <v>119</v>
      </c>
      <c r="D11" s="10" t="s">
        <v>157</v>
      </c>
      <c r="E11" s="10" t="s">
        <v>136</v>
      </c>
      <c r="F11" s="10" t="s">
        <v>158</v>
      </c>
      <c r="G11" s="7" t="s">
        <v>123</v>
      </c>
      <c r="H11" s="10"/>
      <c r="I11" s="10" t="s">
        <v>44</v>
      </c>
      <c r="J11" s="10" t="s">
        <v>159</v>
      </c>
      <c r="K11" s="10" t="s">
        <v>125</v>
      </c>
      <c r="L11" s="47">
        <v>45179</v>
      </c>
      <c r="M11" s="47">
        <v>45212</v>
      </c>
      <c r="N11" s="19">
        <v>62.594999999999999</v>
      </c>
      <c r="O11" s="19">
        <v>16851</v>
      </c>
      <c r="P11" s="19">
        <v>10550</v>
      </c>
      <c r="Q11" s="19"/>
      <c r="R11" s="19">
        <v>10550</v>
      </c>
      <c r="S11" s="10" t="s">
        <v>45</v>
      </c>
      <c r="T11" s="19">
        <v>90887.23</v>
      </c>
      <c r="U11" s="10" t="s">
        <v>126</v>
      </c>
      <c r="V11" s="9">
        <v>10</v>
      </c>
    </row>
    <row r="12" spans="1:22" ht="14.4" x14ac:dyDescent="0.3">
      <c r="A12" s="10" t="s">
        <v>117</v>
      </c>
      <c r="B12" s="10" t="s">
        <v>118</v>
      </c>
      <c r="C12" s="10" t="s">
        <v>119</v>
      </c>
      <c r="D12" s="10" t="s">
        <v>160</v>
      </c>
      <c r="E12" s="10" t="s">
        <v>161</v>
      </c>
      <c r="F12" s="10" t="s">
        <v>162</v>
      </c>
      <c r="G12" s="7" t="s">
        <v>123</v>
      </c>
      <c r="H12" s="10"/>
      <c r="I12" s="10" t="s">
        <v>44</v>
      </c>
      <c r="J12" s="10" t="s">
        <v>163</v>
      </c>
      <c r="K12" s="10" t="s">
        <v>125</v>
      </c>
      <c r="L12" s="47">
        <v>45179</v>
      </c>
      <c r="M12" s="47">
        <v>45212</v>
      </c>
      <c r="N12" s="19">
        <v>60.62</v>
      </c>
      <c r="O12" s="19">
        <v>12091</v>
      </c>
      <c r="P12" s="19">
        <v>10550</v>
      </c>
      <c r="Q12" s="19"/>
      <c r="R12" s="19">
        <v>10550</v>
      </c>
      <c r="S12" s="10" t="s">
        <v>45</v>
      </c>
      <c r="T12" s="19">
        <v>100664.88</v>
      </c>
      <c r="U12" s="10" t="s">
        <v>126</v>
      </c>
      <c r="V12" s="9">
        <v>11</v>
      </c>
    </row>
    <row r="13" spans="1:22" ht="14.4" x14ac:dyDescent="0.3">
      <c r="A13" s="10" t="s">
        <v>117</v>
      </c>
      <c r="B13" s="10" t="s">
        <v>118</v>
      </c>
      <c r="C13" s="10" t="s">
        <v>119</v>
      </c>
      <c r="D13" s="10" t="s">
        <v>164</v>
      </c>
      <c r="E13" s="10" t="s">
        <v>136</v>
      </c>
      <c r="F13" s="10" t="s">
        <v>137</v>
      </c>
      <c r="G13" s="7" t="s">
        <v>123</v>
      </c>
      <c r="H13" s="10"/>
      <c r="I13" s="10" t="s">
        <v>44</v>
      </c>
      <c r="J13" s="10" t="s">
        <v>138</v>
      </c>
      <c r="K13" s="10" t="s">
        <v>125</v>
      </c>
      <c r="L13" s="47">
        <v>45179</v>
      </c>
      <c r="M13" s="47">
        <v>45212</v>
      </c>
      <c r="N13" s="19">
        <v>60.16</v>
      </c>
      <c r="O13" s="19">
        <v>21084.91</v>
      </c>
      <c r="P13" s="19">
        <v>10550</v>
      </c>
      <c r="Q13" s="19"/>
      <c r="R13" s="19">
        <v>10550</v>
      </c>
      <c r="S13" s="10" t="s">
        <v>45</v>
      </c>
      <c r="T13" s="19">
        <v>114229.92</v>
      </c>
      <c r="U13" s="10" t="s">
        <v>126</v>
      </c>
      <c r="V13" s="9">
        <v>12</v>
      </c>
    </row>
    <row r="14" spans="1:22" ht="14.4" x14ac:dyDescent="0.3">
      <c r="A14" s="10" t="s">
        <v>117</v>
      </c>
      <c r="B14" s="10" t="s">
        <v>118</v>
      </c>
      <c r="C14" s="10" t="s">
        <v>119</v>
      </c>
      <c r="D14" s="10" t="s">
        <v>165</v>
      </c>
      <c r="E14" s="10" t="s">
        <v>166</v>
      </c>
      <c r="F14" s="10" t="s">
        <v>167</v>
      </c>
      <c r="G14" s="7" t="s">
        <v>123</v>
      </c>
      <c r="H14" s="10"/>
      <c r="I14" s="10" t="s">
        <v>44</v>
      </c>
      <c r="J14" s="10" t="s">
        <v>168</v>
      </c>
      <c r="K14" s="10" t="s">
        <v>125</v>
      </c>
      <c r="L14" s="47">
        <v>45179</v>
      </c>
      <c r="M14" s="47">
        <v>45212</v>
      </c>
      <c r="N14" s="19">
        <v>55.210999999999999</v>
      </c>
      <c r="O14" s="19">
        <v>4806.1400000000003</v>
      </c>
      <c r="P14" s="19">
        <v>10550</v>
      </c>
      <c r="Q14" s="19"/>
      <c r="R14" s="19">
        <v>10550</v>
      </c>
      <c r="S14" s="10" t="s">
        <v>45</v>
      </c>
      <c r="T14" s="19">
        <v>29801.759999999998</v>
      </c>
      <c r="U14" s="10" t="s">
        <v>126</v>
      </c>
      <c r="V14" s="9">
        <v>13</v>
      </c>
    </row>
    <row r="15" spans="1:22" ht="14.4" x14ac:dyDescent="0.3">
      <c r="A15" s="10" t="s">
        <v>117</v>
      </c>
      <c r="B15" s="10" t="s">
        <v>118</v>
      </c>
      <c r="C15" s="10" t="s">
        <v>119</v>
      </c>
      <c r="D15" s="10" t="s">
        <v>169</v>
      </c>
      <c r="E15" s="10" t="s">
        <v>170</v>
      </c>
      <c r="F15" s="10" t="s">
        <v>171</v>
      </c>
      <c r="G15" s="7" t="s">
        <v>123</v>
      </c>
      <c r="H15" s="10"/>
      <c r="I15" s="10" t="s">
        <v>44</v>
      </c>
      <c r="J15" s="10" t="s">
        <v>172</v>
      </c>
      <c r="K15" s="10" t="s">
        <v>125</v>
      </c>
      <c r="L15" s="47">
        <v>45179</v>
      </c>
      <c r="M15" s="47">
        <v>45212</v>
      </c>
      <c r="N15" s="19">
        <v>58.360999999999997</v>
      </c>
      <c r="O15" s="19">
        <v>12820.31</v>
      </c>
      <c r="P15" s="19">
        <v>10550</v>
      </c>
      <c r="Q15" s="19"/>
      <c r="R15" s="19">
        <v>10550</v>
      </c>
      <c r="S15" s="10" t="s">
        <v>45</v>
      </c>
      <c r="T15" s="19">
        <v>109501.68</v>
      </c>
      <c r="U15" s="10" t="s">
        <v>126</v>
      </c>
      <c r="V15" s="9">
        <v>14</v>
      </c>
    </row>
    <row r="16" spans="1:22" ht="14.4" x14ac:dyDescent="0.3">
      <c r="A16" s="10" t="s">
        <v>117</v>
      </c>
      <c r="B16" s="10" t="s">
        <v>118</v>
      </c>
      <c r="C16" s="10" t="s">
        <v>119</v>
      </c>
      <c r="D16" s="10" t="s">
        <v>173</v>
      </c>
      <c r="E16" s="10" t="s">
        <v>174</v>
      </c>
      <c r="F16" s="10" t="s">
        <v>175</v>
      </c>
      <c r="G16" s="7" t="s">
        <v>123</v>
      </c>
      <c r="H16" s="10"/>
      <c r="I16" s="10" t="s">
        <v>44</v>
      </c>
      <c r="J16" s="10" t="s">
        <v>176</v>
      </c>
      <c r="K16" s="10" t="s">
        <v>125</v>
      </c>
      <c r="L16" s="47">
        <v>45179</v>
      </c>
      <c r="M16" s="47">
        <v>45212</v>
      </c>
      <c r="N16" s="19">
        <v>65.331999999999994</v>
      </c>
      <c r="O16" s="19">
        <v>3284</v>
      </c>
      <c r="P16" s="19">
        <v>10550</v>
      </c>
      <c r="Q16" s="19"/>
      <c r="R16" s="19">
        <v>10550</v>
      </c>
      <c r="S16" s="10" t="s">
        <v>45</v>
      </c>
      <c r="T16" s="19">
        <v>113184</v>
      </c>
      <c r="U16" s="10" t="s">
        <v>126</v>
      </c>
      <c r="V16" s="9">
        <v>15</v>
      </c>
    </row>
    <row r="17" spans="1:22" ht="14.4" x14ac:dyDescent="0.3">
      <c r="A17" s="10" t="s">
        <v>117</v>
      </c>
      <c r="B17" s="10" t="s">
        <v>118</v>
      </c>
      <c r="C17" s="10" t="s">
        <v>119</v>
      </c>
      <c r="D17" s="10" t="s">
        <v>177</v>
      </c>
      <c r="E17" s="10" t="s">
        <v>147</v>
      </c>
      <c r="F17" s="10" t="s">
        <v>178</v>
      </c>
      <c r="G17" s="7" t="s">
        <v>123</v>
      </c>
      <c r="H17" s="10"/>
      <c r="I17" s="10" t="s">
        <v>44</v>
      </c>
      <c r="J17" s="10" t="s">
        <v>179</v>
      </c>
      <c r="K17" s="10" t="s">
        <v>125</v>
      </c>
      <c r="L17" s="47">
        <v>45179</v>
      </c>
      <c r="M17" s="47">
        <v>45212</v>
      </c>
      <c r="N17" s="19">
        <v>69.728999999999999</v>
      </c>
      <c r="O17" s="19">
        <v>11880.4</v>
      </c>
      <c r="P17" s="19">
        <v>10550</v>
      </c>
      <c r="Q17" s="19"/>
      <c r="R17" s="19">
        <v>10550</v>
      </c>
      <c r="S17" s="10" t="s">
        <v>45</v>
      </c>
      <c r="T17" s="19">
        <v>49993.02</v>
      </c>
      <c r="U17" s="10" t="s">
        <v>126</v>
      </c>
      <c r="V17" s="9">
        <v>16</v>
      </c>
    </row>
    <row r="18" spans="1:22" ht="14.4" x14ac:dyDescent="0.3">
      <c r="A18" s="10" t="s">
        <v>117</v>
      </c>
      <c r="B18" s="10" t="s">
        <v>118</v>
      </c>
      <c r="C18" s="10" t="s">
        <v>119</v>
      </c>
      <c r="D18" s="10" t="s">
        <v>180</v>
      </c>
      <c r="E18" s="10" t="s">
        <v>136</v>
      </c>
      <c r="F18" s="10" t="s">
        <v>137</v>
      </c>
      <c r="G18" s="7" t="s">
        <v>123</v>
      </c>
      <c r="H18" s="10"/>
      <c r="I18" s="10" t="s">
        <v>44</v>
      </c>
      <c r="J18" s="10" t="s">
        <v>138</v>
      </c>
      <c r="K18" s="10" t="s">
        <v>125</v>
      </c>
      <c r="L18" s="47">
        <v>45179</v>
      </c>
      <c r="M18" s="47">
        <v>45212</v>
      </c>
      <c r="N18" s="19">
        <v>62.57</v>
      </c>
      <c r="O18" s="19">
        <v>22332.92</v>
      </c>
      <c r="P18" s="19">
        <v>10550</v>
      </c>
      <c r="Q18" s="19"/>
      <c r="R18" s="19">
        <v>10550</v>
      </c>
      <c r="S18" s="10" t="s">
        <v>45</v>
      </c>
      <c r="T18" s="19">
        <v>129121.2</v>
      </c>
      <c r="U18" s="10" t="s">
        <v>126</v>
      </c>
      <c r="V18" s="9">
        <v>17</v>
      </c>
    </row>
    <row r="19" spans="1:22" ht="14.4" x14ac:dyDescent="0.3">
      <c r="A19" s="10" t="s">
        <v>117</v>
      </c>
      <c r="B19" s="10" t="s">
        <v>118</v>
      </c>
      <c r="C19" s="10" t="s">
        <v>119</v>
      </c>
      <c r="D19" s="10" t="s">
        <v>181</v>
      </c>
      <c r="E19" s="10" t="s">
        <v>182</v>
      </c>
      <c r="F19" s="10" t="s">
        <v>183</v>
      </c>
      <c r="G19" s="7" t="s">
        <v>123</v>
      </c>
      <c r="H19" s="10"/>
      <c r="I19" s="10" t="s">
        <v>44</v>
      </c>
      <c r="J19" s="10" t="s">
        <v>184</v>
      </c>
      <c r="K19" s="10" t="s">
        <v>125</v>
      </c>
      <c r="L19" s="47">
        <v>45179</v>
      </c>
      <c r="M19" s="47">
        <v>45212</v>
      </c>
      <c r="N19" s="19">
        <v>61.518000000000001</v>
      </c>
      <c r="O19" s="19">
        <v>10634.8</v>
      </c>
      <c r="P19" s="19">
        <v>10550</v>
      </c>
      <c r="Q19" s="19"/>
      <c r="R19" s="19">
        <v>10550</v>
      </c>
      <c r="S19" s="10" t="s">
        <v>45</v>
      </c>
      <c r="T19" s="19">
        <v>321660.59999999998</v>
      </c>
      <c r="U19" s="10" t="s">
        <v>126</v>
      </c>
      <c r="V19" s="9">
        <v>18</v>
      </c>
    </row>
    <row r="20" spans="1:22" ht="14.4" x14ac:dyDescent="0.3">
      <c r="A20" s="10" t="s">
        <v>117</v>
      </c>
      <c r="B20" s="10" t="s">
        <v>118</v>
      </c>
      <c r="C20" s="10" t="s">
        <v>119</v>
      </c>
      <c r="D20" s="10" t="s">
        <v>185</v>
      </c>
      <c r="E20" s="10" t="s">
        <v>136</v>
      </c>
      <c r="F20" s="10" t="s">
        <v>158</v>
      </c>
      <c r="G20" s="7" t="s">
        <v>123</v>
      </c>
      <c r="H20" s="10"/>
      <c r="I20" s="10" t="s">
        <v>44</v>
      </c>
      <c r="J20" s="10" t="s">
        <v>159</v>
      </c>
      <c r="K20" s="10" t="s">
        <v>125</v>
      </c>
      <c r="L20" s="47">
        <v>45179</v>
      </c>
      <c r="M20" s="47">
        <v>45212</v>
      </c>
      <c r="N20" s="19">
        <v>67.87</v>
      </c>
      <c r="O20" s="19">
        <v>10972.08</v>
      </c>
      <c r="P20" s="19">
        <v>10550</v>
      </c>
      <c r="Q20" s="19"/>
      <c r="R20" s="19">
        <v>10550</v>
      </c>
      <c r="S20" s="10" t="s">
        <v>45</v>
      </c>
      <c r="T20" s="19">
        <v>107715.24</v>
      </c>
      <c r="U20" s="10" t="s">
        <v>126</v>
      </c>
      <c r="V20" s="9">
        <v>19</v>
      </c>
    </row>
    <row r="21" spans="1:22" ht="14.4" x14ac:dyDescent="0.3">
      <c r="A21" s="10" t="s">
        <v>117</v>
      </c>
      <c r="B21" s="10" t="s">
        <v>118</v>
      </c>
      <c r="C21" s="10" t="s">
        <v>119</v>
      </c>
      <c r="D21" s="10" t="s">
        <v>186</v>
      </c>
      <c r="E21" s="10" t="s">
        <v>147</v>
      </c>
      <c r="F21" s="10" t="s">
        <v>187</v>
      </c>
      <c r="G21" s="7" t="s">
        <v>123</v>
      </c>
      <c r="H21" s="10"/>
      <c r="I21" s="10" t="s">
        <v>44</v>
      </c>
      <c r="J21" s="10" t="s">
        <v>188</v>
      </c>
      <c r="K21" s="10" t="s">
        <v>125</v>
      </c>
      <c r="L21" s="47">
        <v>45179</v>
      </c>
      <c r="M21" s="47">
        <v>45212</v>
      </c>
      <c r="N21" s="19">
        <v>69.728999999999999</v>
      </c>
      <c r="O21" s="19">
        <v>11880.4</v>
      </c>
      <c r="P21" s="19">
        <v>10550</v>
      </c>
      <c r="Q21" s="19"/>
      <c r="R21" s="19">
        <v>10550</v>
      </c>
      <c r="S21" s="10" t="s">
        <v>45</v>
      </c>
      <c r="T21" s="19">
        <v>49993.02</v>
      </c>
      <c r="U21" s="10" t="s">
        <v>126</v>
      </c>
      <c r="V21" s="9">
        <v>20</v>
      </c>
    </row>
    <row r="22" spans="1:22" ht="14.4" x14ac:dyDescent="0.3">
      <c r="A22" s="10" t="s">
        <v>117</v>
      </c>
      <c r="B22" s="10" t="s">
        <v>118</v>
      </c>
      <c r="C22" s="10" t="s">
        <v>119</v>
      </c>
      <c r="D22" s="10" t="s">
        <v>189</v>
      </c>
      <c r="E22" s="10" t="s">
        <v>128</v>
      </c>
      <c r="F22" s="10" t="s">
        <v>190</v>
      </c>
      <c r="G22" s="7" t="s">
        <v>123</v>
      </c>
      <c r="H22" s="10"/>
      <c r="I22" s="10" t="s">
        <v>44</v>
      </c>
      <c r="J22" s="10" t="s">
        <v>191</v>
      </c>
      <c r="K22" s="10" t="s">
        <v>125</v>
      </c>
      <c r="L22" s="47">
        <v>45179</v>
      </c>
      <c r="M22" s="47">
        <v>45212</v>
      </c>
      <c r="N22" s="19">
        <v>68.8</v>
      </c>
      <c r="O22" s="19">
        <v>12636.16</v>
      </c>
      <c r="P22" s="19">
        <v>10550</v>
      </c>
      <c r="Q22" s="19"/>
      <c r="R22" s="19">
        <v>10550</v>
      </c>
      <c r="S22" s="10" t="s">
        <v>45</v>
      </c>
      <c r="T22" s="19">
        <v>153354.23999999999</v>
      </c>
      <c r="U22" s="10" t="s">
        <v>126</v>
      </c>
      <c r="V22" s="9">
        <v>21</v>
      </c>
    </row>
    <row r="23" spans="1:22" ht="14.4" x14ac:dyDescent="0.3">
      <c r="A23" s="10" t="s">
        <v>117</v>
      </c>
      <c r="B23" s="10" t="s">
        <v>118</v>
      </c>
      <c r="C23" s="10" t="s">
        <v>119</v>
      </c>
      <c r="D23" s="10" t="s">
        <v>192</v>
      </c>
      <c r="E23" s="10" t="s">
        <v>147</v>
      </c>
      <c r="F23" s="10" t="s">
        <v>193</v>
      </c>
      <c r="G23" s="7" t="s">
        <v>123</v>
      </c>
      <c r="H23" s="10"/>
      <c r="I23" s="10" t="s">
        <v>44</v>
      </c>
      <c r="J23" s="10" t="s">
        <v>194</v>
      </c>
      <c r="K23" s="10" t="s">
        <v>125</v>
      </c>
      <c r="L23" s="47">
        <v>45179</v>
      </c>
      <c r="M23" s="47">
        <v>45212</v>
      </c>
      <c r="N23" s="19">
        <v>69.728999999999999</v>
      </c>
      <c r="O23" s="19">
        <v>11880.4</v>
      </c>
      <c r="P23" s="19">
        <v>10550</v>
      </c>
      <c r="Q23" s="19"/>
      <c r="R23" s="19">
        <v>10550</v>
      </c>
      <c r="S23" s="10" t="s">
        <v>45</v>
      </c>
      <c r="T23" s="19">
        <v>49993.02</v>
      </c>
      <c r="U23" s="10" t="s">
        <v>126</v>
      </c>
      <c r="V23" s="9">
        <v>22</v>
      </c>
    </row>
    <row r="24" spans="1:22" ht="14.4" x14ac:dyDescent="0.3">
      <c r="A24" s="10" t="s">
        <v>117</v>
      </c>
      <c r="B24" s="10" t="s">
        <v>118</v>
      </c>
      <c r="C24" s="10" t="s">
        <v>119</v>
      </c>
      <c r="D24" s="10" t="s">
        <v>195</v>
      </c>
      <c r="E24" s="10" t="s">
        <v>196</v>
      </c>
      <c r="F24" s="10" t="s">
        <v>197</v>
      </c>
      <c r="G24" s="7" t="s">
        <v>123</v>
      </c>
      <c r="H24" s="10"/>
      <c r="I24" s="10" t="s">
        <v>44</v>
      </c>
      <c r="J24" s="10" t="s">
        <v>198</v>
      </c>
      <c r="K24" s="10" t="s">
        <v>125</v>
      </c>
      <c r="L24" s="47">
        <v>45179</v>
      </c>
      <c r="M24" s="47">
        <v>45212</v>
      </c>
      <c r="N24" s="19">
        <v>33.655000000000001</v>
      </c>
      <c r="O24" s="19">
        <v>22996.15</v>
      </c>
      <c r="P24" s="19">
        <v>10550</v>
      </c>
      <c r="Q24" s="19"/>
      <c r="R24" s="19">
        <v>10550</v>
      </c>
      <c r="S24" s="10" t="s">
        <v>45</v>
      </c>
      <c r="T24" s="19">
        <v>131596.20000000001</v>
      </c>
      <c r="U24" s="10" t="s">
        <v>126</v>
      </c>
      <c r="V24" s="9">
        <v>23</v>
      </c>
    </row>
    <row r="25" spans="1:22" ht="14.4" x14ac:dyDescent="0.3">
      <c r="A25" s="10" t="s">
        <v>117</v>
      </c>
      <c r="B25" s="10" t="s">
        <v>118</v>
      </c>
      <c r="C25" s="10" t="s">
        <v>119</v>
      </c>
      <c r="D25" s="10" t="s">
        <v>199</v>
      </c>
      <c r="E25" s="10" t="s">
        <v>200</v>
      </c>
      <c r="F25" s="10" t="s">
        <v>201</v>
      </c>
      <c r="G25" s="7" t="s">
        <v>123</v>
      </c>
      <c r="H25" s="10"/>
      <c r="I25" s="10" t="s">
        <v>44</v>
      </c>
      <c r="J25" s="10" t="s">
        <v>202</v>
      </c>
      <c r="K25" s="10" t="s">
        <v>125</v>
      </c>
      <c r="L25" s="47">
        <v>45179</v>
      </c>
      <c r="M25" s="47">
        <v>45212</v>
      </c>
      <c r="N25" s="19">
        <v>54.673999999999999</v>
      </c>
      <c r="O25" s="19">
        <v>3815.36</v>
      </c>
      <c r="P25" s="19">
        <v>10550</v>
      </c>
      <c r="Q25" s="19"/>
      <c r="R25" s="19">
        <v>10550</v>
      </c>
      <c r="S25" s="10" t="s">
        <v>45</v>
      </c>
      <c r="T25" s="19">
        <v>16112.64</v>
      </c>
      <c r="U25" s="10" t="s">
        <v>126</v>
      </c>
      <c r="V25" s="9">
        <v>24</v>
      </c>
    </row>
    <row r="26" spans="1:22" ht="14.4" x14ac:dyDescent="0.3">
      <c r="A26" s="10" t="s">
        <v>117</v>
      </c>
      <c r="B26" s="10" t="s">
        <v>118</v>
      </c>
      <c r="C26" s="10" t="s">
        <v>119</v>
      </c>
      <c r="D26" s="10" t="s">
        <v>203</v>
      </c>
      <c r="E26" s="10" t="s">
        <v>204</v>
      </c>
      <c r="F26" s="10" t="s">
        <v>205</v>
      </c>
      <c r="G26" s="7" t="s">
        <v>123</v>
      </c>
      <c r="H26" s="10"/>
      <c r="I26" s="10" t="s">
        <v>44</v>
      </c>
      <c r="J26" s="10" t="s">
        <v>206</v>
      </c>
      <c r="K26" s="10" t="s">
        <v>125</v>
      </c>
      <c r="L26" s="47">
        <v>45179</v>
      </c>
      <c r="M26" s="47">
        <v>45212</v>
      </c>
      <c r="N26" s="19">
        <v>61.331000000000003</v>
      </c>
      <c r="O26" s="19">
        <v>20207.88</v>
      </c>
      <c r="P26" s="19">
        <v>10550</v>
      </c>
      <c r="Q26" s="19"/>
      <c r="R26" s="19">
        <v>10410.67</v>
      </c>
      <c r="S26" s="10" t="s">
        <v>45</v>
      </c>
      <c r="T26" s="19">
        <v>142819.84</v>
      </c>
      <c r="U26" s="10" t="s">
        <v>126</v>
      </c>
      <c r="V26" s="9">
        <v>25</v>
      </c>
    </row>
    <row r="27" spans="1:22" ht="14.4" x14ac:dyDescent="0.3">
      <c r="A27" s="10" t="s">
        <v>117</v>
      </c>
      <c r="B27" s="10" t="s">
        <v>118</v>
      </c>
      <c r="C27" s="10" t="s">
        <v>119</v>
      </c>
      <c r="D27" s="10" t="s">
        <v>207</v>
      </c>
      <c r="E27" s="10" t="s">
        <v>208</v>
      </c>
      <c r="F27" s="10" t="s">
        <v>209</v>
      </c>
      <c r="G27" s="7" t="s">
        <v>123</v>
      </c>
      <c r="H27" s="10"/>
      <c r="I27" s="10" t="s">
        <v>44</v>
      </c>
      <c r="J27" s="10" t="s">
        <v>210</v>
      </c>
      <c r="K27" s="10" t="s">
        <v>125</v>
      </c>
      <c r="L27" s="47">
        <v>45179</v>
      </c>
      <c r="M27" s="47">
        <v>45212</v>
      </c>
      <c r="N27" s="19">
        <v>59.677</v>
      </c>
      <c r="O27" s="19">
        <v>20998.959999999999</v>
      </c>
      <c r="P27" s="19">
        <v>10550</v>
      </c>
      <c r="Q27" s="19"/>
      <c r="R27" s="19">
        <v>8695.17</v>
      </c>
      <c r="S27" s="10" t="s">
        <v>45</v>
      </c>
      <c r="T27" s="19">
        <v>160032.16</v>
      </c>
      <c r="U27" s="10" t="s">
        <v>126</v>
      </c>
      <c r="V27" s="9">
        <v>26</v>
      </c>
    </row>
    <row r="28" spans="1:22" ht="14.4" x14ac:dyDescent="0.3">
      <c r="A28" s="10" t="s">
        <v>117</v>
      </c>
      <c r="B28" s="10" t="s">
        <v>118</v>
      </c>
      <c r="C28" s="10" t="s">
        <v>119</v>
      </c>
      <c r="D28" s="10" t="s">
        <v>211</v>
      </c>
      <c r="E28" s="10" t="s">
        <v>212</v>
      </c>
      <c r="F28" s="10" t="s">
        <v>213</v>
      </c>
      <c r="G28" s="7" t="s">
        <v>123</v>
      </c>
      <c r="H28" s="10"/>
      <c r="I28" s="10" t="s">
        <v>44</v>
      </c>
      <c r="J28" s="10" t="s">
        <v>214</v>
      </c>
      <c r="K28" s="10" t="s">
        <v>125</v>
      </c>
      <c r="L28" s="47">
        <v>45179</v>
      </c>
      <c r="M28" s="47">
        <v>45212</v>
      </c>
      <c r="N28" s="19">
        <v>58.88</v>
      </c>
      <c r="O28" s="19">
        <v>21282</v>
      </c>
      <c r="P28" s="19">
        <v>10550</v>
      </c>
      <c r="Q28" s="19"/>
      <c r="R28" s="19">
        <v>2955.54</v>
      </c>
      <c r="S28" s="10" t="s">
        <v>45</v>
      </c>
      <c r="T28" s="19">
        <v>16224</v>
      </c>
      <c r="U28" s="10" t="s">
        <v>126</v>
      </c>
      <c r="V28" s="9">
        <v>27</v>
      </c>
    </row>
    <row r="29" spans="1:22" ht="14.4" x14ac:dyDescent="0.3">
      <c r="A29" s="10" t="s">
        <v>117</v>
      </c>
      <c r="B29" s="10" t="s">
        <v>118</v>
      </c>
      <c r="C29" s="10" t="s">
        <v>119</v>
      </c>
      <c r="D29" s="10" t="s">
        <v>215</v>
      </c>
      <c r="E29" s="10" t="s">
        <v>147</v>
      </c>
      <c r="F29" s="10" t="s">
        <v>216</v>
      </c>
      <c r="G29" s="7" t="s">
        <v>123</v>
      </c>
      <c r="H29" s="10"/>
      <c r="I29" s="10" t="s">
        <v>44</v>
      </c>
      <c r="J29" s="10" t="s">
        <v>217</v>
      </c>
      <c r="K29" s="10" t="s">
        <v>125</v>
      </c>
      <c r="L29" s="47">
        <v>45179</v>
      </c>
      <c r="M29" s="47">
        <v>45212</v>
      </c>
      <c r="N29" s="19">
        <v>69.728999999999999</v>
      </c>
      <c r="O29" s="19">
        <v>11880.4</v>
      </c>
      <c r="P29" s="19">
        <v>10550</v>
      </c>
      <c r="Q29" s="19"/>
      <c r="R29" s="19">
        <v>10550</v>
      </c>
      <c r="S29" s="10" t="s">
        <v>45</v>
      </c>
      <c r="T29" s="19">
        <v>49993.02</v>
      </c>
      <c r="U29" s="10" t="s">
        <v>126</v>
      </c>
      <c r="V29" s="9">
        <v>28</v>
      </c>
    </row>
    <row r="30" spans="1:22" ht="14.4" x14ac:dyDescent="0.3">
      <c r="A30" s="10" t="s">
        <v>117</v>
      </c>
      <c r="B30" s="10" t="s">
        <v>118</v>
      </c>
      <c r="C30" s="10" t="s">
        <v>119</v>
      </c>
      <c r="D30" s="10" t="s">
        <v>218</v>
      </c>
      <c r="E30" s="10" t="s">
        <v>147</v>
      </c>
      <c r="F30" s="10" t="s">
        <v>219</v>
      </c>
      <c r="G30" s="7" t="s">
        <v>123</v>
      </c>
      <c r="H30" s="10"/>
      <c r="I30" s="10" t="s">
        <v>44</v>
      </c>
      <c r="J30" s="10" t="s">
        <v>220</v>
      </c>
      <c r="K30" s="10" t="s">
        <v>125</v>
      </c>
      <c r="L30" s="47">
        <v>45179</v>
      </c>
      <c r="M30" s="47">
        <v>45212</v>
      </c>
      <c r="N30" s="19">
        <v>69.728999999999999</v>
      </c>
      <c r="O30" s="19">
        <v>11880.4</v>
      </c>
      <c r="P30" s="19">
        <v>10550</v>
      </c>
      <c r="Q30" s="19"/>
      <c r="R30" s="19">
        <v>10550</v>
      </c>
      <c r="S30" s="10" t="s">
        <v>45</v>
      </c>
      <c r="T30" s="19">
        <v>49993.02</v>
      </c>
      <c r="U30" s="10" t="s">
        <v>126</v>
      </c>
      <c r="V30" s="9">
        <v>29</v>
      </c>
    </row>
    <row r="31" spans="1:22" ht="14.4" x14ac:dyDescent="0.3">
      <c r="A31" s="10" t="s">
        <v>117</v>
      </c>
      <c r="B31" s="10" t="s">
        <v>118</v>
      </c>
      <c r="C31" s="10" t="s">
        <v>119</v>
      </c>
      <c r="D31" s="10" t="s">
        <v>221</v>
      </c>
      <c r="E31" s="10" t="s">
        <v>147</v>
      </c>
      <c r="F31" s="10" t="s">
        <v>222</v>
      </c>
      <c r="G31" s="7" t="s">
        <v>123</v>
      </c>
      <c r="H31" s="10"/>
      <c r="I31" s="10" t="s">
        <v>44</v>
      </c>
      <c r="J31" s="10" t="s">
        <v>223</v>
      </c>
      <c r="K31" s="10" t="s">
        <v>125</v>
      </c>
      <c r="L31" s="47">
        <v>45179</v>
      </c>
      <c r="M31" s="47">
        <v>45212</v>
      </c>
      <c r="N31" s="19">
        <v>69.728999999999999</v>
      </c>
      <c r="O31" s="19">
        <v>11880.4</v>
      </c>
      <c r="P31" s="19">
        <v>10550</v>
      </c>
      <c r="Q31" s="19"/>
      <c r="R31" s="19">
        <v>10550</v>
      </c>
      <c r="S31" s="10" t="s">
        <v>45</v>
      </c>
      <c r="T31" s="19">
        <v>49993.02</v>
      </c>
      <c r="U31" s="10" t="s">
        <v>126</v>
      </c>
      <c r="V31" s="9">
        <v>30</v>
      </c>
    </row>
    <row r="32" spans="1:22" ht="14.4" x14ac:dyDescent="0.3">
      <c r="A32" s="10" t="s">
        <v>117</v>
      </c>
      <c r="B32" s="10" t="s">
        <v>118</v>
      </c>
      <c r="C32" s="10" t="s">
        <v>119</v>
      </c>
      <c r="D32" s="10" t="s">
        <v>224</v>
      </c>
      <c r="E32" s="10" t="s">
        <v>147</v>
      </c>
      <c r="F32" s="10" t="s">
        <v>225</v>
      </c>
      <c r="G32" s="7" t="s">
        <v>123</v>
      </c>
      <c r="H32" s="10"/>
      <c r="I32" s="10" t="s">
        <v>44</v>
      </c>
      <c r="J32" s="10" t="s">
        <v>226</v>
      </c>
      <c r="K32" s="10" t="s">
        <v>125</v>
      </c>
      <c r="L32" s="47">
        <v>45179</v>
      </c>
      <c r="M32" s="47">
        <v>45212</v>
      </c>
      <c r="N32" s="19">
        <v>69.728999999999999</v>
      </c>
      <c r="O32" s="19">
        <v>11880.4</v>
      </c>
      <c r="P32" s="19">
        <v>10550</v>
      </c>
      <c r="Q32" s="19"/>
      <c r="R32" s="19">
        <v>10550</v>
      </c>
      <c r="S32" s="10" t="s">
        <v>45</v>
      </c>
      <c r="T32" s="19">
        <v>49993.02</v>
      </c>
      <c r="U32" s="10" t="s">
        <v>126</v>
      </c>
      <c r="V32" s="9">
        <v>31</v>
      </c>
    </row>
    <row r="33" spans="1:22" ht="14.4" x14ac:dyDescent="0.3">
      <c r="A33" s="10" t="s">
        <v>117</v>
      </c>
      <c r="B33" s="10" t="s">
        <v>118</v>
      </c>
      <c r="C33" s="10" t="s">
        <v>119</v>
      </c>
      <c r="D33" s="10" t="s">
        <v>227</v>
      </c>
      <c r="E33" s="10" t="s">
        <v>136</v>
      </c>
      <c r="F33" s="10" t="s">
        <v>228</v>
      </c>
      <c r="G33" s="7" t="s">
        <v>123</v>
      </c>
      <c r="H33" s="10"/>
      <c r="I33" s="10" t="s">
        <v>44</v>
      </c>
      <c r="J33" s="10" t="s">
        <v>229</v>
      </c>
      <c r="K33" s="10" t="s">
        <v>125</v>
      </c>
      <c r="L33" s="47">
        <v>45179</v>
      </c>
      <c r="M33" s="47">
        <v>45212</v>
      </c>
      <c r="N33" s="19">
        <v>56.097999999999999</v>
      </c>
      <c r="O33" s="19">
        <v>22370.58</v>
      </c>
      <c r="P33" s="19">
        <v>10550</v>
      </c>
      <c r="Q33" s="19"/>
      <c r="R33" s="19">
        <v>10550</v>
      </c>
      <c r="S33" s="10" t="s">
        <v>45</v>
      </c>
      <c r="T33" s="19">
        <v>82054.100000000006</v>
      </c>
      <c r="U33" s="10" t="s">
        <v>126</v>
      </c>
      <c r="V33" s="9">
        <v>32</v>
      </c>
    </row>
    <row r="34" spans="1:22" ht="14.4" x14ac:dyDescent="0.3">
      <c r="A34" s="10" t="s">
        <v>117</v>
      </c>
      <c r="B34" s="10" t="s">
        <v>118</v>
      </c>
      <c r="C34" s="10" t="s">
        <v>119</v>
      </c>
      <c r="D34" s="10" t="s">
        <v>230</v>
      </c>
      <c r="E34" s="10" t="s">
        <v>136</v>
      </c>
      <c r="F34" s="10" t="s">
        <v>158</v>
      </c>
      <c r="G34" s="7" t="s">
        <v>123</v>
      </c>
      <c r="H34" s="10"/>
      <c r="I34" s="10" t="s">
        <v>44</v>
      </c>
      <c r="J34" s="10" t="s">
        <v>159</v>
      </c>
      <c r="K34" s="10" t="s">
        <v>125</v>
      </c>
      <c r="L34" s="47">
        <v>45179</v>
      </c>
      <c r="M34" s="47">
        <v>45212</v>
      </c>
      <c r="N34" s="19">
        <v>62.13</v>
      </c>
      <c r="O34" s="19">
        <v>16293.5</v>
      </c>
      <c r="P34" s="19">
        <v>10550</v>
      </c>
      <c r="Q34" s="19"/>
      <c r="R34" s="19">
        <v>10550</v>
      </c>
      <c r="S34" s="10" t="s">
        <v>45</v>
      </c>
      <c r="T34" s="19">
        <v>87794.93</v>
      </c>
      <c r="U34" s="10" t="s">
        <v>126</v>
      </c>
      <c r="V34" s="9">
        <v>33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18"/>
  <sheetViews>
    <sheetView workbookViewId="0">
      <selection activeCell="D3" sqref="D3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104</v>
      </c>
      <c r="B1" s="23" t="s">
        <v>68</v>
      </c>
      <c r="C1" s="23" t="s">
        <v>69</v>
      </c>
      <c r="D1" s="23" t="s">
        <v>113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45212</v>
      </c>
      <c r="B2" s="22">
        <f>MAX(Centrum[Date of arrival to Sary-Agach/ Дата прибытия на Сары-Агач])</f>
        <v>45212</v>
      </c>
      <c r="C2" s="22">
        <f ca="1">IF(WORKDAY(A2,15)&gt;=TODAY(),TODAY(),WORKDAY(A2,15))</f>
        <v>45226</v>
      </c>
      <c r="D2" s="48">
        <v>45224</v>
      </c>
      <c r="E2" s="13" t="s">
        <v>40</v>
      </c>
    </row>
    <row r="4" spans="1:5" ht="36" customHeight="1" x14ac:dyDescent="0.3">
      <c r="A4" s="33" t="str">
        <f>IF(B18="","Обновите курсы валюты в Справочнике","")</f>
        <v/>
      </c>
    </row>
    <row r="5" spans="1:5" s="25" customFormat="1" x14ac:dyDescent="0.3">
      <c r="A5" s="25" t="s">
        <v>70</v>
      </c>
      <c r="B5" s="25" t="s">
        <v>71</v>
      </c>
      <c r="C5" s="25" t="s">
        <v>111</v>
      </c>
      <c r="D5" s="23" t="s">
        <v>72</v>
      </c>
    </row>
    <row r="6" spans="1:5" x14ac:dyDescent="0.3">
      <c r="A6" s="24" t="s">
        <v>108</v>
      </c>
      <c r="B6" s="8">
        <v>45212</v>
      </c>
      <c r="C6" s="49">
        <v>12229.01</v>
      </c>
    </row>
    <row r="7" spans="1:5" x14ac:dyDescent="0.3">
      <c r="A7" s="24" t="s">
        <v>109</v>
      </c>
      <c r="B7" s="8">
        <v>45213</v>
      </c>
      <c r="C7" s="49">
        <v>12229.01</v>
      </c>
    </row>
    <row r="8" spans="1:5" x14ac:dyDescent="0.3">
      <c r="A8" s="24" t="s">
        <v>110</v>
      </c>
      <c r="B8" s="8">
        <v>45214</v>
      </c>
      <c r="C8" s="49">
        <v>12229.01</v>
      </c>
    </row>
    <row r="9" spans="1:5" x14ac:dyDescent="0.3">
      <c r="A9" s="24" t="s">
        <v>105</v>
      </c>
      <c r="B9" s="8">
        <v>45215</v>
      </c>
      <c r="C9" s="49">
        <v>12217.85</v>
      </c>
    </row>
    <row r="10" spans="1:5" x14ac:dyDescent="0.3">
      <c r="A10" s="24" t="s">
        <v>76</v>
      </c>
      <c r="B10" s="8">
        <v>45216</v>
      </c>
      <c r="C10" s="49">
        <v>12201.05</v>
      </c>
    </row>
    <row r="11" spans="1:5" x14ac:dyDescent="0.3">
      <c r="A11" s="24" t="s">
        <v>106</v>
      </c>
      <c r="B11" s="8">
        <v>45217</v>
      </c>
      <c r="C11" s="49">
        <v>12195.07</v>
      </c>
    </row>
    <row r="12" spans="1:5" x14ac:dyDescent="0.3">
      <c r="A12" s="24" t="s">
        <v>107</v>
      </c>
      <c r="B12" s="8">
        <v>45218</v>
      </c>
      <c r="C12" s="49">
        <v>12206.93</v>
      </c>
    </row>
    <row r="13" spans="1:5" x14ac:dyDescent="0.3">
      <c r="A13" s="24" t="s">
        <v>108</v>
      </c>
      <c r="B13" s="8">
        <v>45219</v>
      </c>
      <c r="C13" s="49">
        <v>12231.01</v>
      </c>
      <c r="D13" s="4" t="s">
        <v>112</v>
      </c>
    </row>
    <row r="14" spans="1:5" x14ac:dyDescent="0.3">
      <c r="A14" s="24" t="s">
        <v>109</v>
      </c>
      <c r="B14" s="8">
        <v>45220</v>
      </c>
      <c r="C14" s="49">
        <v>12231.01</v>
      </c>
      <c r="D14" s="4" t="s">
        <v>112</v>
      </c>
    </row>
    <row r="15" spans="1:5" x14ac:dyDescent="0.3">
      <c r="A15" s="24" t="s">
        <v>110</v>
      </c>
      <c r="B15" s="8">
        <v>45221</v>
      </c>
      <c r="C15" s="49">
        <v>12231.01</v>
      </c>
      <c r="D15" s="4" t="s">
        <v>112</v>
      </c>
    </row>
    <row r="16" spans="1:5" x14ac:dyDescent="0.3">
      <c r="A16" s="24" t="s">
        <v>105</v>
      </c>
      <c r="B16" s="8">
        <v>45222</v>
      </c>
      <c r="C16" s="49">
        <v>12210</v>
      </c>
    </row>
    <row r="17" spans="1:3" x14ac:dyDescent="0.3">
      <c r="A17" s="24" t="s">
        <v>76</v>
      </c>
      <c r="B17" s="8">
        <v>45223</v>
      </c>
      <c r="C17" s="49">
        <v>12218.04</v>
      </c>
    </row>
    <row r="18" spans="1:3" x14ac:dyDescent="0.3">
      <c r="A18" s="24" t="s">
        <v>106</v>
      </c>
      <c r="B18" s="8">
        <v>45224</v>
      </c>
      <c r="C18" s="49">
        <v>12199.93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5">
        <v>488</v>
      </c>
      <c r="B1" s="65"/>
      <c r="C1" s="65"/>
      <c r="D1" s="66"/>
      <c r="E1" s="66"/>
      <c r="F1" s="66"/>
      <c r="G1" s="66"/>
      <c r="H1" s="67" t="s">
        <v>0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9"/>
    </row>
    <row r="2" spans="1:26" x14ac:dyDescent="0.3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 t="s">
        <v>87</v>
      </c>
      <c r="L2" s="20" t="s">
        <v>88</v>
      </c>
      <c r="M2" s="20" t="s">
        <v>89</v>
      </c>
      <c r="N2" s="20" t="s">
        <v>90</v>
      </c>
      <c r="O2" s="20" t="s">
        <v>91</v>
      </c>
      <c r="P2" s="20" t="s">
        <v>92</v>
      </c>
      <c r="Q2" s="20" t="s">
        <v>93</v>
      </c>
      <c r="R2" s="20" t="s">
        <v>94</v>
      </c>
      <c r="S2" s="20" t="s">
        <v>95</v>
      </c>
      <c r="T2" s="20" t="s">
        <v>96</v>
      </c>
      <c r="U2" s="20" t="s">
        <v>97</v>
      </c>
      <c r="V2" s="20" t="s">
        <v>98</v>
      </c>
      <c r="W2" s="20" t="s">
        <v>99</v>
      </c>
      <c r="X2" s="20" t="s">
        <v>100</v>
      </c>
      <c r="Y2" s="20" t="s">
        <v>101</v>
      </c>
      <c r="Z2" s="20" t="s">
        <v>102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337487.30999999994</v>
      </c>
      <c r="U4" s="3"/>
      <c r="V4" s="26"/>
      <c r="W4" s="26"/>
      <c r="X4" s="5"/>
      <c r="Y4" s="6">
        <f>SUM(Y5:Y1048576)</f>
        <v>4117321557.8882999</v>
      </c>
      <c r="Z4" s="3" t="s">
        <v>114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CA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ULCU5059044</v>
      </c>
      <c r="E5" s="11" t="str">
        <f>_xlfn.XLOOKUP($A5,Centrum[Индекс],Centrum[Supplier/
Поставщик],"",0,1)</f>
        <v>Systro Co., Ltd.</v>
      </c>
      <c r="F5" s="11" t="str">
        <f>_xlfn.XLOOKUP($A5,Centrum[Индекс],Centrum[Shippers invoice no/ 
Номер инвойса поставщика],"",1)</f>
        <v>U230907CO</v>
      </c>
      <c r="G5" s="15">
        <f>_xlfn.XLOOKUP($A5,Centrum[Индекс],Centrum[Invoice value / Стоимость груза в к-ре по инвойсу],"",0,1)</f>
        <v>102042.72</v>
      </c>
      <c r="H5" s="14" t="s">
        <v>40</v>
      </c>
      <c r="I5" s="11">
        <f>_xlfn.XLOOKUP($A5,Centrum[Индекс],Centrum[CBM on the shipper/ 
CBM по поставщику],"",0,1)</f>
        <v>65.927000000000007</v>
      </c>
      <c r="J5" s="16">
        <f>_xlfn.XLOOKUP($A5,Centrum[Индекс],Centrum[Gross weight of cont// 
Гросс.вес по конт.],"",0,1)</f>
        <v>6260.4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BUSAN FOB / P-D</v>
      </c>
      <c r="M5" s="11" t="str">
        <f>_xlfn.XLOOKUP($A5,Centrum[Индекс],Centrum[№ HBL date / 
№/ дата коносамента],"",0,1)</f>
        <v>ULSO23090218</v>
      </c>
      <c r="N5" s="11" t="str">
        <f>_xlfn.XLOOKUP($A5,Centrum[Индекс],Centrum[№ MBL / 
№/ коносамента],"",0,1)</f>
        <v>PCSLBSVSC2300021</v>
      </c>
      <c r="O5" s="8">
        <f>(_xlfn.XLOOKUP($A5,Centrum[Индекс],Centrum[Date on board / Дата погрузки на судно],"",0,1))*1</f>
        <v>45179</v>
      </c>
      <c r="P5" s="8">
        <f>(_xlfn.XLOOKUP($A5,Centrum[Индекс],Centrum[Date of arrival to Sary-Agach/ Дата прибытия на Сары-Агач],"",0,1))*1</f>
        <v>45212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10550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10550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" s="16">
        <f>_xlfn.XLOOKUP(Шаблон_Формулы[[#This Row],[21]],Курс_USD[Дата],Курс_USD[Курс],,0,1)</f>
        <v>12199.93</v>
      </c>
      <c r="W5" s="16">
        <f>Шаблон_Формулы!$T5*Шаблон_Формулы!$V5</f>
        <v>128709261.5</v>
      </c>
      <c r="Y5" s="16">
        <f>Шаблон_Формулы!$W5+Шаблон_Формулы!$X5</f>
        <v>128709261.5</v>
      </c>
      <c r="Z5" s="14" t="str">
        <f>_xlfn.XLOOKUP($A5,Centrum[Индекс],Centrum[Transport co invoice no/ 
Номер инвойса ТК],"",0,1)</f>
        <v>CNT-K23090211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CA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BEAU6467263</v>
      </c>
      <c r="E6" s="11" t="str">
        <f>_xlfn.XLOOKUP($A6,Centrum[Индекс],Centrum[Supplier/
Поставщик],"",0,1)</f>
        <v>HL MANDO CORPORATION</v>
      </c>
      <c r="F6" s="11" t="str">
        <f>_xlfn.XLOOKUP($A6,Centrum[Индекс],Centrum[Shippers invoice no/ 
Номер инвойса поставщика],"",1)</f>
        <v>CKWJ2309012</v>
      </c>
      <c r="G6" s="15">
        <f>_xlfn.XLOOKUP($A6,Centrum[Индекс],Centrum[Invoice value / Стоимость груза в к-ре по инвойсу],"",0,1)</f>
        <v>153354.23999999999</v>
      </c>
      <c r="H6" s="14" t="s">
        <v>40</v>
      </c>
      <c r="I6" s="11">
        <f>_xlfn.XLOOKUP($A6,Centrum[Индекс],Centrum[CBM on the shipper/ 
CBM по поставщику],"",0,1)</f>
        <v>68.8</v>
      </c>
      <c r="J6" s="16">
        <f>_xlfn.XLOOKUP($A6,Centrum[Индекс],Centrum[Gross weight of cont// 
Гросс.вес по конт.],"",0,1)</f>
        <v>12636.16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BUSAN FOB / P-D</v>
      </c>
      <c r="M6" s="11" t="str">
        <f>_xlfn.XLOOKUP($A6,Centrum[Индекс],Centrum[№ HBL date / 
№/ дата коносамента],"",0,1)</f>
        <v>ULSO23090216</v>
      </c>
      <c r="N6" s="11" t="str">
        <f>_xlfn.XLOOKUP($A6,Centrum[Индекс],Centrum[№ MBL / 
№/ коносамента],"",0,1)</f>
        <v>PCSLBSVSC2300021</v>
      </c>
      <c r="O6" s="8">
        <f>(_xlfn.XLOOKUP($A6,Centrum[Индекс],Centrum[Date on board / Дата погрузки на судно],"",0,1))*1</f>
        <v>45179</v>
      </c>
      <c r="P6" s="8">
        <f>(_xlfn.XLOOKUP($A6,Centrum[Индекс],Centrum[Date of arrival to Sary-Agach/ Дата прибытия на Сары-Агач],"",0,1))*1</f>
        <v>45212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10550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10550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" s="16">
        <f>_xlfn.XLOOKUP(Шаблон_Формулы[[#This Row],[21]],Курс_USD[Дата],Курс_USD[Курс],,0,1)</f>
        <v>12199.93</v>
      </c>
      <c r="W6" s="16">
        <f>Шаблон_Формулы!$T6*Шаблон_Формулы!$V6</f>
        <v>128709261.5</v>
      </c>
      <c r="Y6" s="16">
        <f>Шаблон_Формулы!$W6+Шаблон_Формулы!$X6</f>
        <v>128709261.5</v>
      </c>
      <c r="Z6" s="14" t="str">
        <f>_xlfn.XLOOKUP($A6,Centrum[Индекс],Centrum[Transport co invoice no/ 
Номер инвойса ТК],"",0,1)</f>
        <v>CNT-K23090211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CA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FFAU4477376</v>
      </c>
      <c r="E7" s="11" t="str">
        <f>_xlfn.XLOOKUP($A7,Centrum[Индекс],Centrum[Supplier/
Поставщик],"",0,1)</f>
        <v>ILJIN GLOBAL</v>
      </c>
      <c r="F7" s="11" t="str">
        <f>_xlfn.XLOOKUP($A7,Centrum[Индекс],Centrum[Shippers invoice no/ 
Номер инвойса поставщика],"",1)</f>
        <v>IJG-SI06GMUZ1</v>
      </c>
      <c r="G7" s="15">
        <f>_xlfn.XLOOKUP($A7,Centrum[Индекс],Centrum[Invoice value / Стоимость груза в к-ре по инвойсу],"",0,1)</f>
        <v>138542.39999999999</v>
      </c>
      <c r="H7" s="14" t="s">
        <v>40</v>
      </c>
      <c r="I7" s="11">
        <f>_xlfn.XLOOKUP($A7,Centrum[Индекс],Centrum[CBM on the shipper/ 
CBM по поставщику],"",0,1)</f>
        <v>31.428000000000001</v>
      </c>
      <c r="J7" s="16">
        <f>_xlfn.XLOOKUP($A7,Centrum[Индекс],Centrum[Gross weight of cont// 
Гросс.вес по конт.],"",0,1)</f>
        <v>20509.2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BUSAN FOB / P-D</v>
      </c>
      <c r="M7" s="11" t="str">
        <f>_xlfn.XLOOKUP($A7,Centrum[Индекс],Centrum[№ HBL date / 
№/ дата коносамента],"",0,1)</f>
        <v>ULSO23090222</v>
      </c>
      <c r="N7" s="11" t="str">
        <f>_xlfn.XLOOKUP($A7,Centrum[Индекс],Centrum[№ MBL / 
№/ коносамента],"",0,1)</f>
        <v>PCSLBSVSC2300021</v>
      </c>
      <c r="O7" s="8">
        <f>(_xlfn.XLOOKUP($A7,Centrum[Индекс],Centrum[Date on board / Дата погрузки на судно],"",0,1))*1</f>
        <v>45179</v>
      </c>
      <c r="P7" s="8">
        <f>(_xlfn.XLOOKUP($A7,Centrum[Индекс],Centrum[Date of arrival to Sary-Agach/ Дата прибытия на Сары-Агач],"",0,1))*1</f>
        <v>45212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10550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10550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" s="16">
        <f>_xlfn.XLOOKUP(Шаблон_Формулы[[#This Row],[21]],Курс_USD[Дата],Курс_USD[Курс],,0,1)</f>
        <v>12199.93</v>
      </c>
      <c r="W7" s="16">
        <f>Шаблон_Формулы!$T7*Шаблон_Формулы!$V7</f>
        <v>128709261.5</v>
      </c>
      <c r="Y7" s="16">
        <f>Шаблон_Формулы!$W7+Шаблон_Формулы!$X7</f>
        <v>128709261.5</v>
      </c>
      <c r="Z7" s="14" t="str">
        <f>_xlfn.XLOOKUP($A7,Centrum[Индекс],Centrum[Transport co invoice no/ 
Номер инвойса ТК],"",0,1)</f>
        <v>CNT-K23090211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CA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ULCU5053750</v>
      </c>
      <c r="E8" s="11" t="str">
        <f>_xlfn.XLOOKUP($A8,Centrum[Индекс],Centrum[Supplier/
Поставщик],"",0,1)</f>
        <v>UZAUTO KOREA  CO., LTD</v>
      </c>
      <c r="F8" s="11" t="str">
        <f>_xlfn.XLOOKUP($A8,Centrum[Индекс],Centrum[Shippers invoice no/ 
Номер инвойса поставщика],"",1)</f>
        <v>DM239AU01</v>
      </c>
      <c r="G8" s="15">
        <f>_xlfn.XLOOKUP($A8,Centrum[Индекс],Centrum[Invoice value / Стоимость груза в к-ре по инвойсу],"",0,1)</f>
        <v>114722.16</v>
      </c>
      <c r="H8" s="14" t="s">
        <v>40</v>
      </c>
      <c r="I8" s="11">
        <f>_xlfn.XLOOKUP($A8,Centrum[Индекс],Centrum[CBM on the shipper/ 
CBM по поставщику],"",0,1)</f>
        <v>60.86</v>
      </c>
      <c r="J8" s="16">
        <f>_xlfn.XLOOKUP($A8,Centrum[Индекс],Centrum[Gross weight of cont// 
Гросс.вес по конт.],"",0,1)</f>
        <v>21144.51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BUSAN FOB / P-D</v>
      </c>
      <c r="M8" s="11" t="str">
        <f>_xlfn.XLOOKUP($A8,Centrum[Индекс],Centrum[№ HBL date / 
№/ дата коносамента],"",0,1)</f>
        <v>ULSO23090245</v>
      </c>
      <c r="N8" s="11" t="str">
        <f>_xlfn.XLOOKUP($A8,Centrum[Индекс],Centrum[№ MBL / 
№/ коносамента],"",0,1)</f>
        <v>PCSLBSVSC2300021</v>
      </c>
      <c r="O8" s="8">
        <f>(_xlfn.XLOOKUP($A8,Centrum[Индекс],Centrum[Date on board / Дата погрузки на судно],"",0,1))*1</f>
        <v>45179</v>
      </c>
      <c r="P8" s="8">
        <f>(_xlfn.XLOOKUP($A8,Centrum[Индекс],Centrum[Date of arrival to Sary-Agach/ Дата прибытия на Сары-Агач],"",0,1))*1</f>
        <v>45212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10550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10550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" s="16">
        <f>_xlfn.XLOOKUP(Шаблон_Формулы[[#This Row],[21]],Курс_USD[Дата],Курс_USD[Курс],,0,1)</f>
        <v>12199.93</v>
      </c>
      <c r="W8" s="16">
        <f>Шаблон_Формулы!$T8*Шаблон_Формулы!$V8</f>
        <v>128709261.5</v>
      </c>
      <c r="Y8" s="16">
        <f>Шаблон_Формулы!$W8+Шаблон_Формулы!$X8</f>
        <v>128709261.5</v>
      </c>
      <c r="Z8" s="14" t="str">
        <f>_xlfn.XLOOKUP($A8,Centrum[Индекс],Centrum[Transport co invoice no/ 
Номер инвойса ТК],"",0,1)</f>
        <v>CNT-K23090211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CA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ULCU5043330</v>
      </c>
      <c r="E9" s="11" t="str">
        <f>_xlfn.XLOOKUP($A9,Centrum[Индекс],Centrum[Supplier/
Поставщик],"",0,1)</f>
        <v>HL Mando Corporation</v>
      </c>
      <c r="F9" s="11" t="str">
        <f>_xlfn.XLOOKUP($A9,Centrum[Индекс],Centrum[Shippers invoice no/ 
Номер инвойса поставщика],"",1)</f>
        <v>CKIS2309028</v>
      </c>
      <c r="G9" s="15">
        <f>_xlfn.XLOOKUP($A9,Centrum[Индекс],Centrum[Invoice value / Стоимость груза в к-ре по инвойсу],"",0,1)</f>
        <v>65520</v>
      </c>
      <c r="H9" s="14" t="s">
        <v>40</v>
      </c>
      <c r="I9" s="11">
        <f>_xlfn.XLOOKUP($A9,Centrum[Индекс],Centrum[CBM on the shipper/ 
CBM по поставщику],"",0,1)</f>
        <v>54.463999999999999</v>
      </c>
      <c r="J9" s="16">
        <f>_xlfn.XLOOKUP($A9,Centrum[Индекс],Centrum[Gross weight of cont// 
Гросс.вес по конт.],"",0,1)</f>
        <v>15975.2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BUSAN FOB / P-D</v>
      </c>
      <c r="M9" s="11" t="str">
        <f>_xlfn.XLOOKUP($A9,Centrum[Индекс],Centrum[№ HBL date / 
№/ дата коносамента],"",0,1)</f>
        <v>ULSO23090220</v>
      </c>
      <c r="N9" s="11" t="str">
        <f>_xlfn.XLOOKUP($A9,Centrum[Индекс],Centrum[№ MBL / 
№/ коносамента],"",0,1)</f>
        <v>PCSLBSVSC2300021</v>
      </c>
      <c r="O9" s="8">
        <f>(_xlfn.XLOOKUP($A9,Centrum[Индекс],Centrum[Date on board / Дата погрузки на судно],"",0,1))*1</f>
        <v>45179</v>
      </c>
      <c r="P9" s="8">
        <f>(_xlfn.XLOOKUP($A9,Centrum[Индекс],Centrum[Date of arrival to Sary-Agach/ Дата прибытия на Сары-Агач],"",0,1))*1</f>
        <v>45212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10550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10550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" s="16">
        <f>_xlfn.XLOOKUP(Шаблон_Формулы[[#This Row],[21]],Курс_USD[Дата],Курс_USD[Курс],,0,1)</f>
        <v>12199.93</v>
      </c>
      <c r="W9" s="16">
        <f>Шаблон_Формулы!$T9*Шаблон_Формулы!$V9</f>
        <v>128709261.5</v>
      </c>
      <c r="Y9" s="16">
        <f>Шаблон_Формулы!$W9+Шаблон_Формулы!$X9</f>
        <v>128709261.5</v>
      </c>
      <c r="Z9" s="14" t="str">
        <f>_xlfn.XLOOKUP($A9,Centrum[Индекс],Centrum[Transport co invoice no/ 
Номер инвойса ТК],"",0,1)</f>
        <v>CNT-K23090211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CA</v>
      </c>
      <c r="C10" s="11" t="str">
        <f>_xlfn.XLOOKUP($A10,Centrum[Индекс],Centrum[Country /  Страна],"",0,1)</f>
        <v>KR</v>
      </c>
      <c r="D10" s="11" t="str">
        <f>_xlfn.XLOOKUP($A10,Centrum[Индекс],Centrum[Container num./ 
№ контейнера],"",0,1)</f>
        <v>ULCU5010527</v>
      </c>
      <c r="E10" s="11" t="str">
        <f>_xlfn.XLOOKUP($A10,Centrum[Индекс],Centrum[Supplier/
Поставщик],"",0,1)</f>
        <v>UZAUTO KOREA  CO., LTD</v>
      </c>
      <c r="F10" s="11" t="str">
        <f>_xlfn.XLOOKUP($A10,Centrum[Индекс],Centrum[Shippers invoice no/ 
Номер инвойса поставщика],"",1)</f>
        <v>DM239WO01</v>
      </c>
      <c r="G10" s="15">
        <f>_xlfn.XLOOKUP($A10,Centrum[Индекс],Centrum[Invoice value / Стоимость груза в к-ре по инвойсу],"",0,1)</f>
        <v>117171.36</v>
      </c>
      <c r="H10" s="14" t="s">
        <v>40</v>
      </c>
      <c r="I10" s="11">
        <f>_xlfn.XLOOKUP($A10,Centrum[Индекс],Centrum[CBM on the shipper/ 
CBM по поставщику],"",0,1)</f>
        <v>66.430000000000007</v>
      </c>
      <c r="J10" s="16">
        <f>_xlfn.XLOOKUP($A10,Centrum[Индекс],Centrum[Gross weight of cont// 
Гросс.вес по конт.],"",0,1)</f>
        <v>11352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BUSAN FOB / P-D</v>
      </c>
      <c r="M10" s="11" t="str">
        <f>_xlfn.XLOOKUP($A10,Centrum[Индекс],Centrum[№ HBL date / 
№/ дата коносамента],"",0,1)</f>
        <v>ULSO23090246</v>
      </c>
      <c r="N10" s="11" t="str">
        <f>_xlfn.XLOOKUP($A10,Centrum[Индекс],Centrum[№ MBL / 
№/ коносамента],"",0,1)</f>
        <v>PCSLBSVSC2300021</v>
      </c>
      <c r="O10" s="8">
        <f>(_xlfn.XLOOKUP($A10,Centrum[Индекс],Centrum[Date on board / Дата погрузки на судно],"",0,1))*1</f>
        <v>45179</v>
      </c>
      <c r="P10" s="8">
        <f>(_xlfn.XLOOKUP($A10,Centrum[Индекс],Centrum[Date of arrival to Sary-Agach/ Дата прибытия на Сары-Агач],"",0,1))*1</f>
        <v>45212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10550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10550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" s="16">
        <f>_xlfn.XLOOKUP(Шаблон_Формулы[[#This Row],[21]],Курс_USD[Дата],Курс_USD[Курс],,0,1)</f>
        <v>12199.93</v>
      </c>
      <c r="W10" s="16">
        <f>Шаблон_Формулы!$T10*Шаблон_Формулы!$V10</f>
        <v>128709261.5</v>
      </c>
      <c r="Y10" s="16">
        <f>Шаблон_Формулы!$W10+Шаблон_Формулы!$X10</f>
        <v>128709261.5</v>
      </c>
      <c r="Z10" s="14" t="str">
        <f>_xlfn.XLOOKUP($A10,Centrum[Индекс],Centrum[Transport co invoice no/ 
Номер инвойса ТК],"",0,1)</f>
        <v>CNT-K23090211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CA</v>
      </c>
      <c r="C11" s="11" t="str">
        <f>_xlfn.XLOOKUP($A11,Centrum[Индекс],Centrum[Country /  Страна],"",0,1)</f>
        <v>KR</v>
      </c>
      <c r="D11" s="11" t="str">
        <f>_xlfn.XLOOKUP($A11,Centrum[Индекс],Centrum[Container num./ 
№ контейнера],"",0,1)</f>
        <v>ULCU5068690</v>
      </c>
      <c r="E11" s="11" t="str">
        <f>_xlfn.XLOOKUP($A11,Centrum[Индекс],Centrum[Supplier/
Поставщик],"",0,1)</f>
        <v>HANDS CORPORATION LTD</v>
      </c>
      <c r="F11" s="11" t="str">
        <f>_xlfn.XLOOKUP($A11,Centrum[Индекс],Centrum[Shippers invoice no/ 
Номер инвойса поставщика],"",1)</f>
        <v>K23-0902Uz_A7</v>
      </c>
      <c r="G11" s="15">
        <f>_xlfn.XLOOKUP($A11,Centrum[Индекс],Centrum[Invoice value / Стоимость груза в к-ре по инвойсу],"",0,1)</f>
        <v>49993.02</v>
      </c>
      <c r="H11" s="14" t="s">
        <v>40</v>
      </c>
      <c r="I11" s="11">
        <f>_xlfn.XLOOKUP($A11,Centrum[Индекс],Centrum[CBM on the shipper/ 
CBM по поставщику],"",0,1)</f>
        <v>69.728999999999999</v>
      </c>
      <c r="J11" s="16">
        <f>_xlfn.XLOOKUP($A11,Centrum[Индекс],Centrum[Gross weight of cont// 
Гросс.вес по конт.],"",0,1)</f>
        <v>11880.4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BUSAN FOB / P-D</v>
      </c>
      <c r="M11" s="11" t="str">
        <f>_xlfn.XLOOKUP($A11,Centrum[Индекс],Centrum[№ HBL date / 
№/ дата коносамента],"",0,1)</f>
        <v>ULSO23090212</v>
      </c>
      <c r="N11" s="11" t="str">
        <f>_xlfn.XLOOKUP($A11,Centrum[Индекс],Centrum[№ MBL / 
№/ коносамента],"",0,1)</f>
        <v>PCSLBSVSC2300021</v>
      </c>
      <c r="O11" s="8">
        <f>(_xlfn.XLOOKUP($A11,Centrum[Индекс],Centrum[Date on board / Дата погрузки на судно],"",0,1))*1</f>
        <v>45179</v>
      </c>
      <c r="P11" s="8">
        <f>(_xlfn.XLOOKUP($A11,Centrum[Индекс],Centrum[Date of arrival to Sary-Agach/ Дата прибытия на Сары-Агач],"",0,1))*1</f>
        <v>45212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10550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10550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" s="16">
        <f>_xlfn.XLOOKUP(Шаблон_Формулы[[#This Row],[21]],Курс_USD[Дата],Курс_USD[Курс],,0,1)</f>
        <v>12199.93</v>
      </c>
      <c r="W11" s="16">
        <f>Шаблон_Формулы!$T11*Шаблон_Формулы!$V11</f>
        <v>128709261.5</v>
      </c>
      <c r="Y11" s="16">
        <f>Шаблон_Формулы!$W11+Шаблон_Формулы!$X11</f>
        <v>128709261.5</v>
      </c>
      <c r="Z11" s="14" t="str">
        <f>_xlfn.XLOOKUP($A11,Centrum[Индекс],Centrum[Transport co invoice no/ 
Номер инвойса ТК],"",0,1)</f>
        <v>CNT-K23090211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CA</v>
      </c>
      <c r="C12" s="11" t="str">
        <f>_xlfn.XLOOKUP($A12,Centrum[Индекс],Centrum[Country /  Страна],"",0,1)</f>
        <v>KR</v>
      </c>
      <c r="D12" s="11" t="str">
        <f>_xlfn.XLOOKUP($A12,Centrum[Индекс],Centrum[Container num./ 
№ контейнера],"",0,1)</f>
        <v>FFAU4521123</v>
      </c>
      <c r="E12" s="11" t="str">
        <f>_xlfn.XLOOKUP($A12,Centrum[Индекс],Centrum[Supplier/
Поставщик],"",0,1)</f>
        <v>Systro Co., Ltd.</v>
      </c>
      <c r="F12" s="11" t="str">
        <f>_xlfn.XLOOKUP($A12,Centrum[Индекс],Centrum[Shippers invoice no/ 
Номер инвойса поставщика],"",1)</f>
        <v>U230907CO, U230907GE</v>
      </c>
      <c r="G12" s="15">
        <f>_xlfn.XLOOKUP($A12,Centrum[Индекс],Centrum[Invoice value / Стоимость груза в к-ре по инвойсу],"",0,1)</f>
        <v>91667.520000000004</v>
      </c>
      <c r="H12" s="14" t="s">
        <v>40</v>
      </c>
      <c r="I12" s="11">
        <f>_xlfn.XLOOKUP($A12,Centrum[Индекс],Centrum[CBM on the shipper/ 
CBM по поставщику],"",0,1)</f>
        <v>63.37</v>
      </c>
      <c r="J12" s="16">
        <f>_xlfn.XLOOKUP($A12,Centrum[Индекс],Centrum[Gross weight of cont// 
Гросс.вес по конт.],"",0,1)</f>
        <v>5372.4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BUSAN FOB / P-D</v>
      </c>
      <c r="M12" s="11" t="str">
        <f>_xlfn.XLOOKUP($A12,Centrum[Индекс],Centrum[№ HBL date / 
№/ дата коносамента],"",0,1)</f>
        <v>ULSO23090218, ULSO23090219</v>
      </c>
      <c r="N12" s="11" t="str">
        <f>_xlfn.XLOOKUP($A12,Centrum[Индекс],Centrum[№ MBL / 
№/ коносамента],"",0,1)</f>
        <v>PCSLBSVSC2300021</v>
      </c>
      <c r="O12" s="8">
        <f>(_xlfn.XLOOKUP($A12,Centrum[Индекс],Centrum[Date on board / Дата погрузки на судно],"",0,1))*1</f>
        <v>45179</v>
      </c>
      <c r="P12" s="8">
        <f>(_xlfn.XLOOKUP($A12,Centrum[Индекс],Centrum[Date of arrival to Sary-Agach/ Дата прибытия на Сары-Агач],"",0,1))*1</f>
        <v>45212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10550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10550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" s="16">
        <f>_xlfn.XLOOKUP(Шаблон_Формулы[[#This Row],[21]],Курс_USD[Дата],Курс_USD[Курс],,0,1)</f>
        <v>12199.93</v>
      </c>
      <c r="W12" s="16">
        <f>Шаблон_Формулы!$T12*Шаблон_Формулы!$V12</f>
        <v>128709261.5</v>
      </c>
      <c r="Y12" s="16">
        <f>Шаблон_Формулы!$W12+Шаблон_Формулы!$X12</f>
        <v>128709261.5</v>
      </c>
      <c r="Z12" s="14" t="str">
        <f>_xlfn.XLOOKUP($A12,Centrum[Индекс],Centrum[Transport co invoice no/ 
Номер инвойса ТК],"",0,1)</f>
        <v>CNT-K23090211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CA</v>
      </c>
      <c r="C13" s="11" t="str">
        <f>_xlfn.XLOOKUP($A13,Centrum[Индекс],Centrum[Country /  Страна],"",0,1)</f>
        <v>KR</v>
      </c>
      <c r="D13" s="11" t="str">
        <f>_xlfn.XLOOKUP($A13,Centrum[Индекс],Centrum[Container num./ 
№ контейнера],"",0,1)</f>
        <v>ULCU5002136</v>
      </c>
      <c r="E13" s="11" t="str">
        <f>_xlfn.XLOOKUP($A13,Centrum[Индекс],Centrum[Supplier/
Поставщик],"",0,1)</f>
        <v xml:space="preserve">UZAUTO KOREA  CO., LTD, DMC INC, GENON ELECTRIC INC. </v>
      </c>
      <c r="F13" s="11" t="str">
        <f>_xlfn.XLOOKUP($A13,Centrum[Индекс],Centrum[Shippers invoice no/ 
Номер инвойса поставщика],"",1)</f>
        <v>DM239WO01, GMUZ23-025A, GNCI-230901-01</v>
      </c>
      <c r="G13" s="15">
        <f>_xlfn.XLOOKUP($A13,Centrum[Индекс],Centrum[Invoice value / Стоимость груза в к-ре по инвойсу],"",0,1)</f>
        <v>68801.670000000013</v>
      </c>
      <c r="H13" s="14" t="s">
        <v>40</v>
      </c>
      <c r="I13" s="11">
        <f>_xlfn.XLOOKUP($A13,Centrum[Индекс],Centrum[CBM on the shipper/ 
CBM по поставщику],"",0,1)</f>
        <v>61.587000000000003</v>
      </c>
      <c r="J13" s="16">
        <f>_xlfn.XLOOKUP($A13,Centrum[Индекс],Centrum[Gross weight of cont// 
Гросс.вес по конт.],"",0,1)</f>
        <v>9787.5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FOB / P-D</v>
      </c>
      <c r="M13" s="11" t="str">
        <f>_xlfn.XLOOKUP($A13,Centrum[Индекс],Centrum[№ HBL date / 
№/ дата коносамента],"",0,1)</f>
        <v>ULSO23090246, ULSO23090247, ULSO23090248</v>
      </c>
      <c r="N13" s="11" t="str">
        <f>_xlfn.XLOOKUP($A13,Centrum[Индекс],Centrum[№ MBL / 
№/ коносамента],"",0,1)</f>
        <v>PCSLBSVSC2300021</v>
      </c>
      <c r="O13" s="8">
        <f>(_xlfn.XLOOKUP($A13,Centrum[Индекс],Centrum[Date on board / Дата погрузки на судно],"",0,1))*1</f>
        <v>45179</v>
      </c>
      <c r="P13" s="8">
        <f>(_xlfn.XLOOKUP($A13,Centrum[Индекс],Centrum[Date of arrival to Sary-Agach/ Дата прибытия на Сары-Агач],"",0,1))*1</f>
        <v>45212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-1074.0699999999997</v>
      </c>
      <c r="T13" s="16">
        <f>_xlfn.XLOOKUP($A13,Centrum[Индекс],Centrum[Transportation total amount / Общая стоимость перевозки],0,0,1)</f>
        <v>9475.93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" s="16">
        <f>_xlfn.XLOOKUP(Шаблон_Формулы[[#This Row],[21]],Курс_USD[Дата],Курс_USD[Курс],,0,1)</f>
        <v>12199.93</v>
      </c>
      <c r="W13" s="16">
        <f>Шаблон_Формулы!$T13*Шаблон_Формулы!$V13</f>
        <v>115605682.6849</v>
      </c>
      <c r="Y13" s="16">
        <f>Шаблон_Формулы!$W13+Шаблон_Формулы!$X13</f>
        <v>115605682.6849</v>
      </c>
      <c r="Z13" s="14" t="str">
        <f>_xlfn.XLOOKUP($A13,Centrum[Индекс],Centrum[Transport co invoice no/ 
Номер инвойса ТК],"",0,1)</f>
        <v>CNT-K23090211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CA</v>
      </c>
      <c r="C14" s="11" t="str">
        <f>_xlfn.XLOOKUP($A14,Centrum[Индекс],Centrum[Country /  Страна],"",0,1)</f>
        <v>KR</v>
      </c>
      <c r="D14" s="11" t="str">
        <f>_xlfn.XLOOKUP($A14,Centrum[Индекс],Centrum[Container num./ 
№ контейнера],"",0,1)</f>
        <v>FFAU4682792</v>
      </c>
      <c r="E14" s="11" t="str">
        <f>_xlfn.XLOOKUP($A14,Centrum[Индекс],Centrum[Supplier/
Поставщик],"",0,1)</f>
        <v>UZAUTO KOREA  CO., LTD</v>
      </c>
      <c r="F14" s="11" t="str">
        <f>_xlfn.XLOOKUP($A14,Centrum[Индекс],Centrum[Shippers invoice no/ 
Номер инвойса поставщика],"",1)</f>
        <v>DM239AU01, DM239WO01</v>
      </c>
      <c r="G14" s="15">
        <f>_xlfn.XLOOKUP($A14,Centrum[Индекс],Centrum[Invoice value / Стоимость груза в к-ре по инвойсу],"",0,1)</f>
        <v>90887.23</v>
      </c>
      <c r="H14" s="14" t="s">
        <v>40</v>
      </c>
      <c r="I14" s="11">
        <f>_xlfn.XLOOKUP($A14,Centrum[Индекс],Centrum[CBM on the shipper/ 
CBM по поставщику],"",0,1)</f>
        <v>62.594999999999999</v>
      </c>
      <c r="J14" s="16">
        <f>_xlfn.XLOOKUP($A14,Centrum[Индекс],Centrum[Gross weight of cont// 
Гросс.вес по конт.],"",0,1)</f>
        <v>16851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BUSAN FOB / P-D</v>
      </c>
      <c r="M14" s="11" t="str">
        <f>_xlfn.XLOOKUP($A14,Centrum[Индекс],Centrum[№ HBL date / 
№/ дата коносамента],"",0,1)</f>
        <v>ULSO23090245, ULSO23090246</v>
      </c>
      <c r="N14" s="11" t="str">
        <f>_xlfn.XLOOKUP($A14,Centrum[Индекс],Centrum[№ MBL / 
№/ коносамента],"",0,1)</f>
        <v>PCSLBSVSC2300021</v>
      </c>
      <c r="O14" s="8">
        <f>(_xlfn.XLOOKUP($A14,Centrum[Индекс],Centrum[Date on board / Дата погрузки на судно],"",0,1))*1</f>
        <v>45179</v>
      </c>
      <c r="P14" s="8">
        <f>(_xlfn.XLOOKUP($A14,Centrum[Индекс],Centrum[Date of arrival to Sary-Agach/ Дата прибытия на Сары-Агач],"",0,1))*1</f>
        <v>45212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10550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10550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" s="16">
        <f>_xlfn.XLOOKUP(Шаблон_Формулы[[#This Row],[21]],Курс_USD[Дата],Курс_USD[Курс],,0,1)</f>
        <v>12199.93</v>
      </c>
      <c r="W14" s="16">
        <f>Шаблон_Формулы!$T14*Шаблон_Формулы!$V14</f>
        <v>128709261.5</v>
      </c>
      <c r="Y14" s="16">
        <f>Шаблон_Формулы!$W14+Шаблон_Формулы!$X14</f>
        <v>128709261.5</v>
      </c>
      <c r="Z14" s="14" t="str">
        <f>_xlfn.XLOOKUP($A14,Centrum[Индекс],Centrum[Transport co invoice no/ 
Номер инвойса ТК],"",0,1)</f>
        <v>CNT-K23090211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CA</v>
      </c>
      <c r="C15" s="11" t="str">
        <f>_xlfn.XLOOKUP($A15,Centrum[Индекс],Centrum[Country /  Страна],"",0,1)</f>
        <v>KR</v>
      </c>
      <c r="D15" s="11" t="str">
        <f>_xlfn.XLOOKUP($A15,Centrum[Индекс],Centrum[Container num./ 
№ контейнера],"",0,1)</f>
        <v>FFAU4929440</v>
      </c>
      <c r="E15" s="11" t="str">
        <f>_xlfn.XLOOKUP($A15,Centrum[Индекс],Centrum[Supplier/
Поставщик],"",0,1)</f>
        <v>Namyang Nexmo.Co.,Ltd.</v>
      </c>
      <c r="F15" s="11" t="str">
        <f>_xlfn.XLOOKUP($A15,Centrum[Индекс],Centrum[Shippers invoice no/ 
Номер инвойса поставщика],"",1)</f>
        <v>GMUZ467</v>
      </c>
      <c r="G15" s="15">
        <f>_xlfn.XLOOKUP($A15,Centrum[Индекс],Centrum[Invoice value / Стоимость груза в к-ре по инвойсу],"",0,1)</f>
        <v>100664.88</v>
      </c>
      <c r="H15" s="14" t="s">
        <v>40</v>
      </c>
      <c r="I15" s="11">
        <f>_xlfn.XLOOKUP($A15,Centrum[Индекс],Centrum[CBM on the shipper/ 
CBM по поставщику],"",0,1)</f>
        <v>60.62</v>
      </c>
      <c r="J15" s="16">
        <f>_xlfn.XLOOKUP($A15,Centrum[Индекс],Centrum[Gross weight of cont// 
Гросс.вес по конт.],"",0,1)</f>
        <v>12091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BUSAN FOB / P-D</v>
      </c>
      <c r="M15" s="11" t="str">
        <f>_xlfn.XLOOKUP($A15,Centrum[Индекс],Centrum[№ HBL date / 
№/ дата коносамента],"",0,1)</f>
        <v>ULSO23090223</v>
      </c>
      <c r="N15" s="11" t="str">
        <f>_xlfn.XLOOKUP($A15,Centrum[Индекс],Centrum[№ MBL / 
№/ коносамента],"",0,1)</f>
        <v>PCSLBSVSC2300021</v>
      </c>
      <c r="O15" s="8">
        <f>(_xlfn.XLOOKUP($A15,Centrum[Индекс],Centrum[Date on board / Дата погрузки на судно],"",0,1))*1</f>
        <v>45179</v>
      </c>
      <c r="P15" s="8">
        <f>(_xlfn.XLOOKUP($A15,Centrum[Индекс],Centrum[Date of arrival to Sary-Agach/ Дата прибытия на Сары-Агач],"",0,1))*1</f>
        <v>45212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10550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10550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5" s="16">
        <f>_xlfn.XLOOKUP(Шаблон_Формулы[[#This Row],[21]],Курс_USD[Дата],Курс_USD[Курс],,0,1)</f>
        <v>12199.93</v>
      </c>
      <c r="W15" s="16">
        <f>Шаблон_Формулы!$T15*Шаблон_Формулы!$V15</f>
        <v>128709261.5</v>
      </c>
      <c r="Y15" s="16">
        <f>Шаблон_Формулы!$W15+Шаблон_Формулы!$X15</f>
        <v>128709261.5</v>
      </c>
      <c r="Z15" s="14" t="str">
        <f>_xlfn.XLOOKUP($A15,Centrum[Индекс],Centrum[Transport co invoice no/ 
Номер инвойса ТК],"",0,1)</f>
        <v>CNT-K23090211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CA</v>
      </c>
      <c r="C16" s="11" t="str">
        <f>_xlfn.XLOOKUP($A16,Centrum[Индекс],Centrum[Country /  Страна],"",0,1)</f>
        <v>KR</v>
      </c>
      <c r="D16" s="11" t="str">
        <f>_xlfn.XLOOKUP($A16,Centrum[Индекс],Centrum[Container num./ 
№ контейнера],"",0,1)</f>
        <v>ULCU5003596</v>
      </c>
      <c r="E16" s="11" t="str">
        <f>_xlfn.XLOOKUP($A16,Centrum[Индекс],Centrum[Supplier/
Поставщик],"",0,1)</f>
        <v>UZAUTO KOREA  CO., LTD</v>
      </c>
      <c r="F16" s="11" t="str">
        <f>_xlfn.XLOOKUP($A16,Centrum[Индекс],Centrum[Shippers invoice no/ 
Номер инвойса поставщика],"",1)</f>
        <v>DM239AU01</v>
      </c>
      <c r="G16" s="15">
        <f>_xlfn.XLOOKUP($A16,Centrum[Индекс],Centrum[Invoice value / Стоимость груза в к-ре по инвойсу],"",0,1)</f>
        <v>114229.92</v>
      </c>
      <c r="H16" s="14" t="s">
        <v>40</v>
      </c>
      <c r="I16" s="11">
        <f>_xlfn.XLOOKUP($A16,Centrum[Индекс],Centrum[CBM on the shipper/ 
CBM по поставщику],"",0,1)</f>
        <v>60.16</v>
      </c>
      <c r="J16" s="16">
        <f>_xlfn.XLOOKUP($A16,Centrum[Индекс],Centrum[Gross weight of cont// 
Гросс.вес по конт.],"",0,1)</f>
        <v>21084.91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BUSAN FOB / P-D</v>
      </c>
      <c r="M16" s="11" t="str">
        <f>_xlfn.XLOOKUP($A16,Centrum[Индекс],Centrum[№ HBL date / 
№/ дата коносамента],"",0,1)</f>
        <v>ULSO23090245</v>
      </c>
      <c r="N16" s="11" t="str">
        <f>_xlfn.XLOOKUP($A16,Centrum[Индекс],Centrum[№ MBL / 
№/ коносамента],"",0,1)</f>
        <v>PCSLBSVSC2300021</v>
      </c>
      <c r="O16" s="8">
        <f>(_xlfn.XLOOKUP($A16,Centrum[Индекс],Centrum[Date on board / Дата погрузки на судно],"",0,1))*1</f>
        <v>45179</v>
      </c>
      <c r="P16" s="8">
        <f>(_xlfn.XLOOKUP($A16,Centrum[Индекс],Centrum[Date of arrival to Sary-Agach/ Дата прибытия на Сары-Агач],"",0,1))*1</f>
        <v>45212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10550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10550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6" s="16">
        <f>_xlfn.XLOOKUP(Шаблон_Формулы[[#This Row],[21]],Курс_USD[Дата],Курс_USD[Курс],,0,1)</f>
        <v>12199.93</v>
      </c>
      <c r="W16" s="16">
        <f>Шаблон_Формулы!$T16*Шаблон_Формулы!$V16</f>
        <v>128709261.5</v>
      </c>
      <c r="Y16" s="16">
        <f>Шаблон_Формулы!$W16+Шаблон_Формулы!$X16</f>
        <v>128709261.5</v>
      </c>
      <c r="Z16" s="14" t="str">
        <f>_xlfn.XLOOKUP($A16,Centrum[Индекс],Centrum[Transport co invoice no/ 
Номер инвойса ТК],"",0,1)</f>
        <v>CNT-K23090211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CA</v>
      </c>
      <c r="C17" s="11" t="str">
        <f>_xlfn.XLOOKUP($A17,Centrum[Индекс],Centrum[Country /  Страна],"",0,1)</f>
        <v>KR</v>
      </c>
      <c r="D17" s="11" t="str">
        <f>_xlfn.XLOOKUP($A17,Centrum[Индекс],Centrum[Container num./ 
№ контейнера],"",0,1)</f>
        <v>ULCU5300315</v>
      </c>
      <c r="E17" s="11" t="str">
        <f>_xlfn.XLOOKUP($A17,Centrum[Индекс],Centrum[Supplier/
Поставщик],"",0,1)</f>
        <v>COSMOENG CO., LTD , ILJIN GLOBAL</v>
      </c>
      <c r="F17" s="11" t="str">
        <f>_xlfn.XLOOKUP($A17,Centrum[Индекс],Centrum[Shippers invoice no/ 
Номер инвойса поставщика],"",1)</f>
        <v>GUZ230901-2, UZ230901, CU230901, IJG-SI06GMUZ2</v>
      </c>
      <c r="G17" s="15">
        <f>_xlfn.XLOOKUP($A17,Centrum[Индекс],Centrum[Invoice value / Стоимость груза в к-ре по инвойсу],"",0,1)</f>
        <v>29801.759999999998</v>
      </c>
      <c r="H17" s="14" t="s">
        <v>40</v>
      </c>
      <c r="I17" s="11">
        <f>_xlfn.XLOOKUP($A17,Centrum[Индекс],Centrum[CBM on the shipper/ 
CBM по поставщику],"",0,1)</f>
        <v>55.210999999999999</v>
      </c>
      <c r="J17" s="16">
        <f>_xlfn.XLOOKUP($A17,Centrum[Индекс],Centrum[Gross weight of cont// 
Гросс.вес по конт.],"",0,1)</f>
        <v>4806.1400000000003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BUSAN FOB / P-D</v>
      </c>
      <c r="M17" s="11" t="str">
        <f>_xlfn.XLOOKUP($A17,Centrum[Индекс],Centrum[№ HBL date / 
№/ дата коносамента],"",0,1)</f>
        <v>ULSO23090264, ULSO23090265, ULSO23090266, ULSO23090267</v>
      </c>
      <c r="N17" s="11" t="str">
        <f>_xlfn.XLOOKUP($A17,Centrum[Индекс],Centrum[№ MBL / 
№/ коносамента],"",0,1)</f>
        <v>PCSLBSVSC2300021</v>
      </c>
      <c r="O17" s="8">
        <f>(_xlfn.XLOOKUP($A17,Centrum[Индекс],Centrum[Date on board / Дата погрузки на судно],"",0,1))*1</f>
        <v>45179</v>
      </c>
      <c r="P17" s="8">
        <f>(_xlfn.XLOOKUP($A17,Centrum[Индекс],Centrum[Date of arrival to Sary-Agach/ Дата прибытия на Сары-Агач],"",0,1))*1</f>
        <v>45212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10550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10550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7" s="16">
        <f>_xlfn.XLOOKUP(Шаблон_Формулы[[#This Row],[21]],Курс_USD[Дата],Курс_USD[Курс],,0,1)</f>
        <v>12199.93</v>
      </c>
      <c r="W17" s="16">
        <f>Шаблон_Формулы!$T17*Шаблон_Формулы!$V17</f>
        <v>128709261.5</v>
      </c>
      <c r="Y17" s="16">
        <f>Шаблон_Формулы!$W17+Шаблон_Формулы!$X17</f>
        <v>128709261.5</v>
      </c>
      <c r="Z17" s="14" t="str">
        <f>_xlfn.XLOOKUP($A17,Centrum[Индекс],Centrum[Transport co invoice no/ 
Номер инвойса ТК],"",0,1)</f>
        <v>CNT-K23090211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CA</v>
      </c>
      <c r="C18" s="11" t="str">
        <f>_xlfn.XLOOKUP($A18,Centrum[Индекс],Centrum[Country /  Страна],"",0,1)</f>
        <v>KR</v>
      </c>
      <c r="D18" s="11" t="str">
        <f>_xlfn.XLOOKUP($A18,Centrum[Индекс],Centrum[Container num./ 
№ контейнера],"",0,1)</f>
        <v>FFAU4762157</v>
      </c>
      <c r="E18" s="11" t="str">
        <f>_xlfn.XLOOKUP($A18,Centrum[Индекс],Centrum[Supplier/
Поставщик],"",0,1)</f>
        <v>Namyang Nexmo.Co.,Ltd., CTR Co. ,Ltd</v>
      </c>
      <c r="F18" s="11" t="str">
        <f>_xlfn.XLOOKUP($A18,Centrum[Индекс],Centrum[Shippers invoice no/ 
Номер инвойса поставщика],"",1)</f>
        <v>GMUZ466, UZA230907</v>
      </c>
      <c r="G18" s="15">
        <f>_xlfn.XLOOKUP($A18,Centrum[Индекс],Centrum[Invoice value / Стоимость груза в к-ре по инвойсу],"",0,1)</f>
        <v>109501.68</v>
      </c>
      <c r="H18" s="14" t="s">
        <v>40</v>
      </c>
      <c r="I18" s="11">
        <f>_xlfn.XLOOKUP($A18,Centrum[Индекс],Centrum[CBM on the shipper/ 
CBM по поставщику],"",0,1)</f>
        <v>58.360999999999997</v>
      </c>
      <c r="J18" s="16">
        <f>_xlfn.XLOOKUP($A18,Centrum[Индекс],Centrum[Gross weight of cont// 
Гросс.вес по конт.],"",0,1)</f>
        <v>12820.31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BUSAN FOB / P-D</v>
      </c>
      <c r="M18" s="11" t="str">
        <f>_xlfn.XLOOKUP($A18,Centrum[Индекс],Centrum[№ HBL date / 
№/ дата коносамента],"",0,1)</f>
        <v>ULSO23090269, ULSO23090270</v>
      </c>
      <c r="N18" s="11" t="str">
        <f>_xlfn.XLOOKUP($A18,Centrum[Индекс],Centrum[№ MBL / 
№/ коносамента],"",0,1)</f>
        <v>PCSLBSVSC2300021</v>
      </c>
      <c r="O18" s="8">
        <f>(_xlfn.XLOOKUP($A18,Centrum[Индекс],Centrum[Date on board / Дата погрузки на судно],"",0,1))*1</f>
        <v>45179</v>
      </c>
      <c r="P18" s="8">
        <f>(_xlfn.XLOOKUP($A18,Centrum[Индекс],Centrum[Date of arrival to Sary-Agach/ Дата прибытия на Сары-Агач],"",0,1))*1</f>
        <v>45212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10550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10550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8" s="16">
        <f>_xlfn.XLOOKUP(Шаблон_Формулы[[#This Row],[21]],Курс_USD[Дата],Курс_USD[Курс],,0,1)</f>
        <v>12199.93</v>
      </c>
      <c r="W18" s="16">
        <f>Шаблон_Формулы!$T18*Шаблон_Формулы!$V18</f>
        <v>128709261.5</v>
      </c>
      <c r="Y18" s="16">
        <f>Шаблон_Формулы!$W18+Шаблон_Формулы!$X18</f>
        <v>128709261.5</v>
      </c>
      <c r="Z18" s="14" t="str">
        <f>_xlfn.XLOOKUP($A18,Centrum[Индекс],Centrum[Transport co invoice no/ 
Номер инвойса ТК],"",0,1)</f>
        <v>CNT-K23090211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CA</v>
      </c>
      <c r="C19" s="11" t="str">
        <f>_xlfn.XLOOKUP($A19,Centrum[Индекс],Centrum[Country /  Страна],"",0,1)</f>
        <v>KR</v>
      </c>
      <c r="D19" s="11" t="str">
        <f>_xlfn.XLOOKUP($A19,Centrum[Индекс],Centrum[Container num./ 
№ контейнера],"",0,1)</f>
        <v>FFAU4490974</v>
      </c>
      <c r="E19" s="11" t="str">
        <f>_xlfn.XLOOKUP($A19,Centrum[Индекс],Centrum[Supplier/
Поставщик],"",0,1)</f>
        <v xml:space="preserve">MAHLE Donghyun Filter System </v>
      </c>
      <c r="F19" s="11" t="str">
        <f>_xlfn.XLOOKUP($A19,Centrum[Индекс],Centrum[Shippers invoice no/ 
Номер инвойса поставщика],"",1)</f>
        <v>MDFS-GMU230907</v>
      </c>
      <c r="G19" s="15">
        <f>_xlfn.XLOOKUP($A19,Centrum[Индекс],Centrum[Invoice value / Стоимость груза в к-ре по инвойсу],"",0,1)</f>
        <v>113184</v>
      </c>
      <c r="H19" s="14" t="s">
        <v>40</v>
      </c>
      <c r="I19" s="11">
        <f>_xlfn.XLOOKUP($A19,Centrum[Индекс],Centrum[CBM on the shipper/ 
CBM по поставщику],"",0,1)</f>
        <v>65.331999999999994</v>
      </c>
      <c r="J19" s="16">
        <f>_xlfn.XLOOKUP($A19,Centrum[Индекс],Centrum[Gross weight of cont// 
Гросс.вес по конт.],"",0,1)</f>
        <v>3284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BUSAN FOB / P-D</v>
      </c>
      <c r="M19" s="11" t="str">
        <f>_xlfn.XLOOKUP($A19,Centrum[Индекс],Centrum[№ HBL date / 
№/ дата коносамента],"",0,1)</f>
        <v>ULSO23090221</v>
      </c>
      <c r="N19" s="11" t="str">
        <f>_xlfn.XLOOKUP($A19,Centrum[Индекс],Centrum[№ MBL / 
№/ коносамента],"",0,1)</f>
        <v>PCSLBSVSC2300021</v>
      </c>
      <c r="O19" s="8">
        <f>(_xlfn.XLOOKUP($A19,Centrum[Индекс],Centrum[Date on board / Дата погрузки на судно],"",0,1))*1</f>
        <v>45179</v>
      </c>
      <c r="P19" s="8">
        <f>(_xlfn.XLOOKUP($A19,Centrum[Индекс],Centrum[Date of arrival to Sary-Agach/ Дата прибытия на Сары-Агач],"",0,1))*1</f>
        <v>45212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10550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10550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9" s="16">
        <f>_xlfn.XLOOKUP(Шаблон_Формулы[[#This Row],[21]],Курс_USD[Дата],Курс_USD[Курс],,0,1)</f>
        <v>12199.93</v>
      </c>
      <c r="W19" s="16">
        <f>Шаблон_Формулы!$T19*Шаблон_Формулы!$V19</f>
        <v>128709261.5</v>
      </c>
      <c r="Y19" s="16">
        <f>Шаблон_Формулы!$W19+Шаблон_Формулы!$X19</f>
        <v>128709261.5</v>
      </c>
      <c r="Z19" s="14" t="str">
        <f>_xlfn.XLOOKUP($A19,Centrum[Индекс],Centrum[Transport co invoice no/ 
Номер инвойса ТК],"",0,1)</f>
        <v>CNT-K23090211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CA</v>
      </c>
      <c r="C20" s="11" t="str">
        <f>_xlfn.XLOOKUP($A20,Centrum[Индекс],Centrum[Country /  Страна],"",0,1)</f>
        <v>KR</v>
      </c>
      <c r="D20" s="11" t="str">
        <f>_xlfn.XLOOKUP($A20,Centrum[Индекс],Centrum[Container num./ 
№ контейнера],"",0,1)</f>
        <v>FFAU4927684</v>
      </c>
      <c r="E20" s="11" t="str">
        <f>_xlfn.XLOOKUP($A20,Centrum[Индекс],Centrum[Supplier/
Поставщик],"",0,1)</f>
        <v>HANDS CORPORATION LTD</v>
      </c>
      <c r="F20" s="11" t="str">
        <f>_xlfn.XLOOKUP($A20,Centrum[Индекс],Centrum[Shippers invoice no/ 
Номер инвойса поставщика],"",1)</f>
        <v>K23-0902Uz_A6</v>
      </c>
      <c r="G20" s="15">
        <f>_xlfn.XLOOKUP($A20,Centrum[Индекс],Centrum[Invoice value / Стоимость груза в к-ре по инвойсу],"",0,1)</f>
        <v>49993.02</v>
      </c>
      <c r="H20" s="14" t="s">
        <v>40</v>
      </c>
      <c r="I20" s="11">
        <f>_xlfn.XLOOKUP($A20,Centrum[Индекс],Centrum[CBM on the shipper/ 
CBM по поставщику],"",0,1)</f>
        <v>69.728999999999999</v>
      </c>
      <c r="J20" s="16">
        <f>_xlfn.XLOOKUP($A20,Centrum[Индекс],Centrum[Gross weight of cont// 
Гросс.вес по конт.],"",0,1)</f>
        <v>11880.4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BUSAN FOB / P-D</v>
      </c>
      <c r="M20" s="11" t="str">
        <f>_xlfn.XLOOKUP($A20,Centrum[Индекс],Centrum[№ HBL date / 
№/ дата коносамента],"",0,1)</f>
        <v>ULSO23090211</v>
      </c>
      <c r="N20" s="11" t="str">
        <f>_xlfn.XLOOKUP($A20,Centrum[Индекс],Centrum[№ MBL / 
№/ коносамента],"",0,1)</f>
        <v>PCSLBSVSC2300021</v>
      </c>
      <c r="O20" s="8">
        <f>(_xlfn.XLOOKUP($A20,Centrum[Индекс],Centrum[Date on board / Дата погрузки на судно],"",0,1))*1</f>
        <v>45179</v>
      </c>
      <c r="P20" s="8">
        <f>(_xlfn.XLOOKUP($A20,Centrum[Индекс],Centrum[Date of arrival to Sary-Agach/ Дата прибытия на Сары-Агач],"",0,1))*1</f>
        <v>45212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10550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10550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0" s="16">
        <f>_xlfn.XLOOKUP(Шаблон_Формулы[[#This Row],[21]],Курс_USD[Дата],Курс_USD[Курс],,0,1)</f>
        <v>12199.93</v>
      </c>
      <c r="W20" s="16">
        <f>Шаблон_Формулы!$T20*Шаблон_Формулы!$V20</f>
        <v>128709261.5</v>
      </c>
      <c r="Y20" s="16">
        <f>Шаблон_Формулы!$W20+Шаблон_Формулы!$X20</f>
        <v>128709261.5</v>
      </c>
      <c r="Z20" s="14" t="str">
        <f>_xlfn.XLOOKUP($A20,Centrum[Индекс],Centrum[Transport co invoice no/ 
Номер инвойса ТК],"",0,1)</f>
        <v>CNT-K23090211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CA</v>
      </c>
      <c r="C21" s="11" t="str">
        <f>_xlfn.XLOOKUP($A21,Centrum[Индекс],Centrum[Country /  Страна],"",0,1)</f>
        <v>KR</v>
      </c>
      <c r="D21" s="11" t="str">
        <f>_xlfn.XLOOKUP($A21,Centrum[Индекс],Centrum[Container num./ 
№ контейнера],"",0,1)</f>
        <v>DFSU6033875</v>
      </c>
      <c r="E21" s="11" t="str">
        <f>_xlfn.XLOOKUP($A21,Centrum[Индекс],Centrum[Supplier/
Поставщик],"",0,1)</f>
        <v>UZAUTO KOREA  CO., LTD</v>
      </c>
      <c r="F21" s="11" t="str">
        <f>_xlfn.XLOOKUP($A21,Centrum[Индекс],Centrum[Shippers invoice no/ 
Номер инвойса поставщика],"",1)</f>
        <v>DM239AU01</v>
      </c>
      <c r="G21" s="15">
        <f>_xlfn.XLOOKUP($A21,Centrum[Индекс],Centrum[Invoice value / Стоимость груза в к-ре по инвойсу],"",0,1)</f>
        <v>129121.2</v>
      </c>
      <c r="H21" s="14" t="s">
        <v>40</v>
      </c>
      <c r="I21" s="11">
        <f>_xlfn.XLOOKUP($A21,Centrum[Индекс],Centrum[CBM on the shipper/ 
CBM по поставщику],"",0,1)</f>
        <v>62.57</v>
      </c>
      <c r="J21" s="16">
        <f>_xlfn.XLOOKUP($A21,Centrum[Индекс],Centrum[Gross weight of cont// 
Гросс.вес по конт.],"",0,1)</f>
        <v>22332.92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BUSAN FOB / P-D</v>
      </c>
      <c r="M21" s="11" t="str">
        <f>_xlfn.XLOOKUP($A21,Centrum[Индекс],Centrum[№ HBL date / 
№/ дата коносамента],"",0,1)</f>
        <v>ULSO23090245</v>
      </c>
      <c r="N21" s="11" t="str">
        <f>_xlfn.XLOOKUP($A21,Centrum[Индекс],Centrum[№ MBL / 
№/ коносамента],"",0,1)</f>
        <v>PCSLBSVSC2300021</v>
      </c>
      <c r="O21" s="8">
        <f>(_xlfn.XLOOKUP($A21,Centrum[Индекс],Centrum[Date on board / Дата погрузки на судно],"",0,1))*1</f>
        <v>45179</v>
      </c>
      <c r="P21" s="8">
        <f>(_xlfn.XLOOKUP($A21,Centrum[Индекс],Centrum[Date of arrival to Sary-Agach/ Дата прибытия на Сары-Агач],"",0,1))*1</f>
        <v>45212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10550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10550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1" s="16">
        <f>_xlfn.XLOOKUP(Шаблон_Формулы[[#This Row],[21]],Курс_USD[Дата],Курс_USD[Курс],,0,1)</f>
        <v>12199.93</v>
      </c>
      <c r="W21" s="16">
        <f>Шаблон_Формулы!$T21*Шаблон_Формулы!$V21</f>
        <v>128709261.5</v>
      </c>
      <c r="Y21" s="16">
        <f>Шаблон_Формулы!$W21+Шаблон_Формулы!$X21</f>
        <v>128709261.5</v>
      </c>
      <c r="Z21" s="14" t="str">
        <f>_xlfn.XLOOKUP($A21,Centrum[Индекс],Centrum[Transport co invoice no/ 
Номер инвойса ТК],"",0,1)</f>
        <v>CNT-K23090211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CA</v>
      </c>
      <c r="C22" s="11" t="str">
        <f>_xlfn.XLOOKUP($A22,Centrum[Индекс],Centrum[Country /  Страна],"",0,1)</f>
        <v>KR</v>
      </c>
      <c r="D22" s="11" t="str">
        <f>_xlfn.XLOOKUP($A22,Centrum[Индекс],Centrum[Container num./ 
№ контейнера],"",0,1)</f>
        <v>ULCU5900310</v>
      </c>
      <c r="E22" s="11" t="str">
        <f>_xlfn.XLOOKUP($A22,Centrum[Индекс],Centrum[Supplier/
Поставщик],"",0,1)</f>
        <v>UZAUTO KOREA  CO., LTD, KANAVI MOBILITY GWANGGYO BRANCH, INC., ALPS ELECTRIC KOREA CO.,LTD.</v>
      </c>
      <c r="F22" s="11" t="str">
        <f>_xlfn.XLOOKUP($A22,Centrum[Индекс],Centrum[Shippers invoice no/ 
Номер инвойса поставщика],"",1)</f>
        <v>DM239CS01-1, DM239CS01-2, IN80473586, 62158362</v>
      </c>
      <c r="G22" s="15">
        <f>_xlfn.XLOOKUP($A22,Centrum[Индекс],Centrum[Invoice value / Стоимость груза в к-ре по инвойсу],"",0,1)</f>
        <v>321660.59999999998</v>
      </c>
      <c r="H22" s="14" t="s">
        <v>40</v>
      </c>
      <c r="I22" s="11">
        <f>_xlfn.XLOOKUP($A22,Centrum[Индекс],Centrum[CBM on the shipper/ 
CBM по поставщику],"",0,1)</f>
        <v>61.518000000000001</v>
      </c>
      <c r="J22" s="16">
        <f>_xlfn.XLOOKUP($A22,Centrum[Индекс],Centrum[Gross weight of cont// 
Гросс.вес по конт.],"",0,1)</f>
        <v>10634.8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FOB / P-D</v>
      </c>
      <c r="M22" s="11" t="str">
        <f>_xlfn.XLOOKUP($A22,Centrum[Индекс],Centrum[№ HBL date / 
№/ дата коносамента],"",0,1)</f>
        <v>ULSO23090255, ULSO23090256, ULSO23090257, ULSO23090258</v>
      </c>
      <c r="N22" s="11" t="str">
        <f>_xlfn.XLOOKUP($A22,Centrum[Индекс],Centrum[№ MBL / 
№/ коносамента],"",0,1)</f>
        <v>PCSLBSVSC2300021</v>
      </c>
      <c r="O22" s="8">
        <f>(_xlfn.XLOOKUP($A22,Centrum[Индекс],Centrum[Date on board / Дата погрузки на судно],"",0,1))*1</f>
        <v>45179</v>
      </c>
      <c r="P22" s="8">
        <f>(_xlfn.XLOOKUP($A22,Centrum[Индекс],Centrum[Date of arrival to Sary-Agach/ Дата прибытия на Сары-Агач],"",0,1))*1</f>
        <v>45212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2" s="16">
        <f>_xlfn.XLOOKUP(Шаблон_Формулы[[#This Row],[21]],Курс_USD[Дата],Курс_USD[Курс],,0,1)</f>
        <v>12199.93</v>
      </c>
      <c r="W22" s="16">
        <f>Шаблон_Формулы!$T22*Шаблон_Формулы!$V22</f>
        <v>128709261.5</v>
      </c>
      <c r="Y22" s="16">
        <f>Шаблон_Формулы!$W22+Шаблон_Формулы!$X22</f>
        <v>128709261.5</v>
      </c>
      <c r="Z22" s="14" t="str">
        <f>_xlfn.XLOOKUP($A22,Centrum[Индекс],Centrum[Transport co invoice no/ 
Номер инвойса ТК],"",0,1)</f>
        <v>CNT-K23090211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CA</v>
      </c>
      <c r="C23" s="11" t="str">
        <f>_xlfn.XLOOKUP($A23,Centrum[Индекс],Centrum[Country /  Страна],"",0,1)</f>
        <v>KR</v>
      </c>
      <c r="D23" s="11" t="str">
        <f>_xlfn.XLOOKUP($A23,Centrum[Индекс],Centrum[Container num./ 
№ контейнера],"",0,1)</f>
        <v>TGHU9287326</v>
      </c>
      <c r="E23" s="11" t="str">
        <f>_xlfn.XLOOKUP($A23,Centrum[Индекс],Centrum[Supplier/
Поставщик],"",0,1)</f>
        <v>UZAUTO KOREA  CO., LTD</v>
      </c>
      <c r="F23" s="11" t="str">
        <f>_xlfn.XLOOKUP($A23,Centrum[Индекс],Centrum[Shippers invoice no/ 
Номер инвойса поставщика],"",1)</f>
        <v>DM239AU01, DM239WO01</v>
      </c>
      <c r="G23" s="15">
        <f>_xlfn.XLOOKUP($A23,Centrum[Индекс],Centrum[Invoice value / Стоимость груза в к-ре по инвойсу],"",0,1)</f>
        <v>107715.24</v>
      </c>
      <c r="H23" s="14" t="s">
        <v>40</v>
      </c>
      <c r="I23" s="11">
        <f>_xlfn.XLOOKUP($A23,Centrum[Индекс],Centrum[CBM on the shipper/ 
CBM по поставщику],"",0,1)</f>
        <v>67.87</v>
      </c>
      <c r="J23" s="16">
        <f>_xlfn.XLOOKUP($A23,Centrum[Индекс],Centrum[Gross weight of cont// 
Гросс.вес по конт.],"",0,1)</f>
        <v>10972.08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BUSAN FOB / P-D</v>
      </c>
      <c r="M23" s="11" t="str">
        <f>_xlfn.XLOOKUP($A23,Centrum[Индекс],Centrum[№ HBL date / 
№/ дата коносамента],"",0,1)</f>
        <v>ULSO23090245, ULSO23090246</v>
      </c>
      <c r="N23" s="11" t="str">
        <f>_xlfn.XLOOKUP($A23,Centrum[Индекс],Centrum[№ MBL / 
№/ коносамента],"",0,1)</f>
        <v>PCSLBSVSC2300021</v>
      </c>
      <c r="O23" s="8">
        <f>(_xlfn.XLOOKUP($A23,Centrum[Индекс],Centrum[Date on board / Дата погрузки на судно],"",0,1))*1</f>
        <v>45179</v>
      </c>
      <c r="P23" s="8">
        <f>(_xlfn.XLOOKUP($A23,Centrum[Индекс],Centrum[Date of arrival to Sary-Agach/ Дата прибытия на Сары-Агач],"",0,1))*1</f>
        <v>45212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10550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10550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3" s="16">
        <f>_xlfn.XLOOKUP(Шаблон_Формулы[[#This Row],[21]],Курс_USD[Дата],Курс_USD[Курс],,0,1)</f>
        <v>12199.93</v>
      </c>
      <c r="W23" s="16">
        <f>Шаблон_Формулы!$T23*Шаблон_Формулы!$V23</f>
        <v>128709261.5</v>
      </c>
      <c r="Y23" s="16">
        <f>Шаблон_Формулы!$W23+Шаблон_Формулы!$X23</f>
        <v>128709261.5</v>
      </c>
      <c r="Z23" s="14" t="str">
        <f>_xlfn.XLOOKUP($A23,Centrum[Индекс],Centrum[Transport co invoice no/ 
Номер инвойса ТК],"",0,1)</f>
        <v>CNT-K23090211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CA</v>
      </c>
      <c r="C24" s="11" t="str">
        <f>_xlfn.XLOOKUP($A24,Centrum[Индекс],Centrum[Country /  Страна],"",0,1)</f>
        <v>KR</v>
      </c>
      <c r="D24" s="11" t="str">
        <f>_xlfn.XLOOKUP($A24,Centrum[Индекс],Centrum[Container num./ 
№ контейнера],"",0,1)</f>
        <v>FFAU4489823</v>
      </c>
      <c r="E24" s="11" t="str">
        <f>_xlfn.XLOOKUP($A24,Centrum[Индекс],Centrum[Supplier/
Поставщик],"",0,1)</f>
        <v>HANDS CORPORATION LTD</v>
      </c>
      <c r="F24" s="11" t="str">
        <f>_xlfn.XLOOKUP($A24,Centrum[Индекс],Centrum[Shippers invoice no/ 
Номер инвойса поставщика],"",1)</f>
        <v>K23-0902Uz_A10</v>
      </c>
      <c r="G24" s="15">
        <f>_xlfn.XLOOKUP($A24,Centrum[Индекс],Centrum[Invoice value / Стоимость груза в к-ре по инвойсу],"",0,1)</f>
        <v>49993.02</v>
      </c>
      <c r="H24" s="14" t="s">
        <v>40</v>
      </c>
      <c r="I24" s="11">
        <f>_xlfn.XLOOKUP($A24,Centrum[Индекс],Centrum[CBM on the shipper/ 
CBM по поставщику],"",0,1)</f>
        <v>69.728999999999999</v>
      </c>
      <c r="J24" s="16">
        <f>_xlfn.XLOOKUP($A24,Centrum[Индекс],Centrum[Gross weight of cont// 
Гросс.вес по конт.],"",0,1)</f>
        <v>11880.4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BUSAN FOB / P-D</v>
      </c>
      <c r="M24" s="11" t="str">
        <f>_xlfn.XLOOKUP($A24,Centrum[Индекс],Centrum[№ HBL date / 
№/ дата коносамента],"",0,1)</f>
        <v>ULSO23090215</v>
      </c>
      <c r="N24" s="11" t="str">
        <f>_xlfn.XLOOKUP($A24,Centrum[Индекс],Centrum[№ MBL / 
№/ коносамента],"",0,1)</f>
        <v>PCSLBSVSC2300021</v>
      </c>
      <c r="O24" s="8">
        <f>(_xlfn.XLOOKUP($A24,Centrum[Индекс],Centrum[Date on board / Дата погрузки на судно],"",0,1))*1</f>
        <v>45179</v>
      </c>
      <c r="P24" s="8">
        <f>(_xlfn.XLOOKUP($A24,Centrum[Индекс],Centrum[Date of arrival to Sary-Agach/ Дата прибытия на Сары-Агач],"",0,1))*1</f>
        <v>45212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10550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10550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4" s="16">
        <f>_xlfn.XLOOKUP(Шаблон_Формулы[[#This Row],[21]],Курс_USD[Дата],Курс_USD[Курс],,0,1)</f>
        <v>12199.93</v>
      </c>
      <c r="W24" s="16">
        <f>Шаблон_Формулы!$T24*Шаблон_Формулы!$V24</f>
        <v>128709261.5</v>
      </c>
      <c r="Y24" s="16">
        <f>Шаблон_Формулы!$W24+Шаблон_Формулы!$X24</f>
        <v>128709261.5</v>
      </c>
      <c r="Z24" s="14" t="str">
        <f>_xlfn.XLOOKUP($A24,Centrum[Индекс],Centrum[Transport co invoice no/ 
Номер инвойса ТК],"",0,1)</f>
        <v>CNT-K23090211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CA</v>
      </c>
      <c r="C25" s="11" t="str">
        <f>_xlfn.XLOOKUP($A25,Centrum[Индекс],Centrum[Country /  Страна],"",0,1)</f>
        <v>KR</v>
      </c>
      <c r="D25" s="11" t="str">
        <f>_xlfn.XLOOKUP($A25,Centrum[Индекс],Centrum[Container num./ 
№ контейнера],"",0,1)</f>
        <v>ULCU5004268</v>
      </c>
      <c r="E25" s="11" t="str">
        <f>_xlfn.XLOOKUP($A25,Centrum[Индекс],Centrum[Supplier/
Поставщик],"",0,1)</f>
        <v>HL MANDO CORPORATION</v>
      </c>
      <c r="F25" s="11" t="str">
        <f>_xlfn.XLOOKUP($A25,Centrum[Индекс],Centrum[Shippers invoice no/ 
Номер инвойса поставщика],"",1)</f>
        <v>CKWJ2309013</v>
      </c>
      <c r="G25" s="15">
        <f>_xlfn.XLOOKUP($A25,Centrum[Индекс],Centrum[Invoice value / Стоимость груза в к-ре по инвойсу],"",0,1)</f>
        <v>153354.23999999999</v>
      </c>
      <c r="H25" s="14" t="s">
        <v>40</v>
      </c>
      <c r="I25" s="11">
        <f>_xlfn.XLOOKUP($A25,Centrum[Индекс],Centrum[CBM on the shipper/ 
CBM по поставщику],"",0,1)</f>
        <v>68.8</v>
      </c>
      <c r="J25" s="16">
        <f>_xlfn.XLOOKUP($A25,Centrum[Индекс],Centrum[Gross weight of cont// 
Гросс.вес по конт.],"",0,1)</f>
        <v>12636.16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FOB / P-D</v>
      </c>
      <c r="M25" s="11" t="str">
        <f>_xlfn.XLOOKUP($A25,Centrum[Индекс],Centrum[№ HBL date / 
№/ дата коносамента],"",0,1)</f>
        <v>ULSO23090217</v>
      </c>
      <c r="N25" s="11" t="str">
        <f>_xlfn.XLOOKUP($A25,Centrum[Индекс],Centrum[№ MBL / 
№/ коносамента],"",0,1)</f>
        <v>PCSLBSVSC2300021</v>
      </c>
      <c r="O25" s="8">
        <f>(_xlfn.XLOOKUP($A25,Centrum[Индекс],Centrum[Date on board / Дата погрузки на судно],"",0,1))*1</f>
        <v>45179</v>
      </c>
      <c r="P25" s="8">
        <f>(_xlfn.XLOOKUP($A25,Centrum[Индекс],Centrum[Date of arrival to Sary-Agach/ Дата прибытия на Сары-Агач],"",0,1))*1</f>
        <v>45212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5" s="16">
        <f>_xlfn.XLOOKUP(Шаблон_Формулы[[#This Row],[21]],Курс_USD[Дата],Курс_USD[Курс],,0,1)</f>
        <v>12199.93</v>
      </c>
      <c r="W25" s="16">
        <f>Шаблон_Формулы!$T25*Шаблон_Формулы!$V25</f>
        <v>128709261.5</v>
      </c>
      <c r="Y25" s="16">
        <f>Шаблон_Формулы!$W25+Шаблон_Формулы!$X25</f>
        <v>128709261.5</v>
      </c>
      <c r="Z25" s="14" t="str">
        <f>_xlfn.XLOOKUP($A25,Centrum[Индекс],Centrum[Transport co invoice no/ 
Номер инвойса ТК],"",0,1)</f>
        <v>CNT-K23090211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CA</v>
      </c>
      <c r="C26" s="11" t="str">
        <f>_xlfn.XLOOKUP($A26,Centrum[Индекс],Centrum[Country /  Страна],"",0,1)</f>
        <v>KR</v>
      </c>
      <c r="D26" s="11" t="str">
        <f>_xlfn.XLOOKUP($A26,Centrum[Индекс],Centrum[Container num./ 
№ контейнера],"",0,1)</f>
        <v>BEAU6459951</v>
      </c>
      <c r="E26" s="11" t="str">
        <f>_xlfn.XLOOKUP($A26,Centrum[Индекс],Centrum[Supplier/
Поставщик],"",0,1)</f>
        <v>HANDS CORPORATION LTD</v>
      </c>
      <c r="F26" s="11" t="str">
        <f>_xlfn.XLOOKUP($A26,Centrum[Индекс],Centrum[Shippers invoice no/ 
Номер инвойса поставщика],"",1)</f>
        <v>K23-0909Uz_A3</v>
      </c>
      <c r="G26" s="15">
        <f>_xlfn.XLOOKUP($A26,Centrum[Индекс],Centrum[Invoice value / Стоимость груза в к-ре по инвойсу],"",0,1)</f>
        <v>49993.02</v>
      </c>
      <c r="H26" s="14" t="s">
        <v>40</v>
      </c>
      <c r="I26" s="11">
        <f>_xlfn.XLOOKUP($A26,Centrum[Индекс],Centrum[CBM on the shipper/ 
CBM по поставщику],"",0,1)</f>
        <v>69.728999999999999</v>
      </c>
      <c r="J26" s="16">
        <f>_xlfn.XLOOKUP($A26,Centrum[Индекс],Centrum[Gross weight of cont// 
Гросс.вес по конт.],"",0,1)</f>
        <v>11880.4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BUSAN FOB / P-D</v>
      </c>
      <c r="M26" s="11" t="str">
        <f>_xlfn.XLOOKUP($A26,Centrum[Индекс],Centrum[№ HBL date / 
№/ дата коносамента],"",0,1)</f>
        <v>ULSO23090226</v>
      </c>
      <c r="N26" s="11" t="str">
        <f>_xlfn.XLOOKUP($A26,Centrum[Индекс],Centrum[№ MBL / 
№/ коносамента],"",0,1)</f>
        <v>PCSLBSVSC2300021</v>
      </c>
      <c r="O26" s="8">
        <f>(_xlfn.XLOOKUP($A26,Centrum[Индекс],Centrum[Date on board / Дата погрузки на судно],"",0,1))*1</f>
        <v>45179</v>
      </c>
      <c r="P26" s="8">
        <f>(_xlfn.XLOOKUP($A26,Centrum[Индекс],Centrum[Date of arrival to Sary-Agach/ Дата прибытия на Сары-Агач],"",0,1))*1</f>
        <v>45212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10550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10550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6" s="16">
        <f>_xlfn.XLOOKUP(Шаблон_Формулы[[#This Row],[21]],Курс_USD[Дата],Курс_USD[Курс],,0,1)</f>
        <v>12199.93</v>
      </c>
      <c r="W26" s="16">
        <f>Шаблон_Формулы!$T26*Шаблон_Формулы!$V26</f>
        <v>128709261.5</v>
      </c>
      <c r="Y26" s="16">
        <f>Шаблон_Формулы!$W26+Шаблон_Формулы!$X26</f>
        <v>128709261.5</v>
      </c>
      <c r="Z26" s="14" t="str">
        <f>_xlfn.XLOOKUP($A26,Centrum[Индекс],Centrum[Transport co invoice no/ 
Номер инвойса ТК],"",0,1)</f>
        <v>CNT-K23090211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CA</v>
      </c>
      <c r="C27" s="11" t="str">
        <f>_xlfn.XLOOKUP($A27,Centrum[Индекс],Centrum[Country /  Страна],"",0,1)</f>
        <v>KR</v>
      </c>
      <c r="D27" s="11" t="str">
        <f>_xlfn.XLOOKUP($A27,Centrum[Индекс],Centrum[Container num./ 
№ контейнера],"",0,1)</f>
        <v>ECMU9066979</v>
      </c>
      <c r="E27" s="11" t="str">
        <f>_xlfn.XLOOKUP($A27,Centrum[Индекс],Centrum[Supplier/
Поставщик],"",0,1)</f>
        <v>SNT MOTIV CO., LTD.    , GENERAL MOTORS OVERSEAS DISTRIBUTION LLC</v>
      </c>
      <c r="F27" s="11" t="str">
        <f>_xlfn.XLOOKUP($A27,Centrum[Индекс],Centrum[Shippers invoice no/ 
Номер инвойса поставщика],"",1)</f>
        <v>CUZ230907, UZATK0066</v>
      </c>
      <c r="G27" s="15">
        <f>_xlfn.XLOOKUP($A27,Centrum[Индекс],Centrum[Invoice value / Стоимость груза в к-ре по инвойсу],"",0,1)</f>
        <v>131596.20000000001</v>
      </c>
      <c r="H27" s="14" t="s">
        <v>40</v>
      </c>
      <c r="I27" s="11">
        <f>_xlfn.XLOOKUP($A27,Centrum[Индекс],Centrum[CBM on the shipper/ 
CBM по поставщику],"",0,1)</f>
        <v>33.655000000000001</v>
      </c>
      <c r="J27" s="16">
        <f>_xlfn.XLOOKUP($A27,Centrum[Индекс],Centrum[Gross weight of cont// 
Гросс.вес по конт.],"",0,1)</f>
        <v>22996.15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BUSAN FOB / P-D</v>
      </c>
      <c r="M27" s="11" t="str">
        <f>_xlfn.XLOOKUP($A27,Centrum[Индекс],Centrum[№ HBL date / 
№/ дата коносамента],"",0,1)</f>
        <v>ULSO23090271, ULSO23090272</v>
      </c>
      <c r="N27" s="11" t="str">
        <f>_xlfn.XLOOKUP($A27,Centrum[Индекс],Centrum[№ MBL / 
№/ коносамента],"",0,1)</f>
        <v>PCSLBSVSC2300021</v>
      </c>
      <c r="O27" s="8">
        <f>(_xlfn.XLOOKUP($A27,Centrum[Индекс],Centrum[Date on board / Дата погрузки на судно],"",0,1))*1</f>
        <v>45179</v>
      </c>
      <c r="P27" s="8">
        <f>(_xlfn.XLOOKUP($A27,Centrum[Индекс],Centrum[Date of arrival to Sary-Agach/ Дата прибытия на Сары-Агач],"",0,1))*1</f>
        <v>45212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10550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10550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7" s="16">
        <f>_xlfn.XLOOKUP(Шаблон_Формулы[[#This Row],[21]],Курс_USD[Дата],Курс_USD[Курс],,0,1)</f>
        <v>12199.93</v>
      </c>
      <c r="W27" s="16">
        <f>Шаблон_Формулы!$T27*Шаблон_Формулы!$V27</f>
        <v>128709261.5</v>
      </c>
      <c r="Y27" s="16">
        <f>Шаблон_Формулы!$W27+Шаблон_Формулы!$X27</f>
        <v>128709261.5</v>
      </c>
      <c r="Z27" s="14" t="str">
        <f>_xlfn.XLOOKUP($A27,Centrum[Индекс],Centrum[Transport co invoice no/ 
Номер инвойса ТК],"",0,1)</f>
        <v>CNT-K23090211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CA</v>
      </c>
      <c r="C28" s="11" t="str">
        <f>_xlfn.XLOOKUP($A28,Centrum[Индекс],Centrum[Country /  Страна],"",0,1)</f>
        <v>KR</v>
      </c>
      <c r="D28" s="11" t="str">
        <f>_xlfn.XLOOKUP($A28,Centrum[Индекс],Centrum[Container num./ 
№ контейнера],"",0,1)</f>
        <v>CAIU9094933</v>
      </c>
      <c r="E28" s="11" t="str">
        <f>_xlfn.XLOOKUP($A28,Centrum[Индекс],Centrum[Supplier/
Поставщик],"",0,1)</f>
        <v xml:space="preserve">COSMOENG CO., LTD </v>
      </c>
      <c r="F28" s="11" t="str">
        <f>_xlfn.XLOOKUP($A28,Centrum[Индекс],Centrum[Shippers invoice no/ 
Номер инвойса поставщика],"",1)</f>
        <v>GUZ230901-1</v>
      </c>
      <c r="G28" s="15">
        <f>_xlfn.XLOOKUP($A28,Centrum[Индекс],Centrum[Invoice value / Стоимость груза в к-ре по инвойсу],"",0,1)</f>
        <v>16112.64</v>
      </c>
      <c r="H28" s="14" t="s">
        <v>40</v>
      </c>
      <c r="I28" s="11">
        <f>_xlfn.XLOOKUP($A28,Centrum[Индекс],Centrum[CBM on the shipper/ 
CBM по поставщику],"",0,1)</f>
        <v>54.673999999999999</v>
      </c>
      <c r="J28" s="16">
        <f>_xlfn.XLOOKUP($A28,Centrum[Индекс],Centrum[Gross weight of cont// 
Гросс.вес по конт.],"",0,1)</f>
        <v>3815.36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BUSAN FOB / P-D</v>
      </c>
      <c r="M28" s="11" t="str">
        <f>_xlfn.XLOOKUP($A28,Centrum[Индекс],Centrum[№ HBL date / 
№/ дата коносамента],"",0,1)</f>
        <v>ULSO23090263</v>
      </c>
      <c r="N28" s="11" t="str">
        <f>_xlfn.XLOOKUP($A28,Centrum[Индекс],Centrum[№ MBL / 
№/ коносамента],"",0,1)</f>
        <v>PCSLBSVSC2300021</v>
      </c>
      <c r="O28" s="8">
        <f>(_xlfn.XLOOKUP($A28,Centrum[Индекс],Centrum[Date on board / Дата погрузки на судно],"",0,1))*1</f>
        <v>45179</v>
      </c>
      <c r="P28" s="8">
        <f>(_xlfn.XLOOKUP($A28,Centrum[Индекс],Centrum[Date of arrival to Sary-Agach/ Дата прибытия на Сары-Агач],"",0,1))*1</f>
        <v>45212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10550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10550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8" s="16">
        <f>_xlfn.XLOOKUP(Шаблон_Формулы[[#This Row],[21]],Курс_USD[Дата],Курс_USD[Курс],,0,1)</f>
        <v>12199.93</v>
      </c>
      <c r="W28" s="16">
        <f>Шаблон_Формулы!$T28*Шаблон_Формулы!$V28</f>
        <v>128709261.5</v>
      </c>
      <c r="Y28" s="16">
        <f>Шаблон_Формулы!$W28+Шаблон_Формулы!$X28</f>
        <v>128709261.5</v>
      </c>
      <c r="Z28" s="14" t="str">
        <f>_xlfn.XLOOKUP($A28,Centrum[Индекс],Centrum[Transport co invoice no/ 
Номер инвойса ТК],"",0,1)</f>
        <v>CNT-K23090211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CA</v>
      </c>
      <c r="C29" s="11" t="str">
        <f>_xlfn.XLOOKUP($A29,Centrum[Индекс],Centrum[Country /  Страна],"",0,1)</f>
        <v>KR</v>
      </c>
      <c r="D29" s="11" t="str">
        <f>_xlfn.XLOOKUP($A29,Centrum[Индекс],Centrum[Container num./ 
№ контейнера],"",0,1)</f>
        <v>BENU6506180</v>
      </c>
      <c r="E29" s="11" t="str">
        <f>_xlfn.XLOOKUP($A29,Centrum[Индекс],Centrum[Supplier/
Поставщик],"",0,1)</f>
        <v>UZAUTO KOREA  CO., LTD, SAMSONG INDUSTRIES LIMITED, SAMWON PLASTIC CO.,LTD, SAM SHIN CHEMICAL CO.,LTD, SUNGWOO HITECH CO., LTD.</v>
      </c>
      <c r="F29" s="11" t="str">
        <f>_xlfn.XLOOKUP($A29,Centrum[Индекс],Centrum[Shippers invoice no/ 
Номер инвойса поставщика],"",1)</f>
        <v>DS239HF01, GM-UZ-239027, 23-0906-05, SUZ-2023-0907, SW-230915UZ-SPA</v>
      </c>
      <c r="G29" s="15">
        <f>_xlfn.XLOOKUP($A29,Centrum[Индекс],Centrum[Invoice value / Стоимость груза в к-ре по инвойсу],"",0,1)</f>
        <v>142819.84</v>
      </c>
      <c r="H29" s="14" t="s">
        <v>40</v>
      </c>
      <c r="I29" s="11">
        <f>_xlfn.XLOOKUP($A29,Centrum[Индекс],Centrum[CBM on the shipper/ 
CBM по поставщику],"",0,1)</f>
        <v>61.331000000000003</v>
      </c>
      <c r="J29" s="16">
        <f>_xlfn.XLOOKUP($A29,Centrum[Индекс],Centrum[Gross weight of cont// 
Гросс.вес по конт.],"",0,1)</f>
        <v>20207.88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BUSAN FOB / P-D</v>
      </c>
      <c r="M29" s="11" t="str">
        <f>_xlfn.XLOOKUP($A29,Centrum[Индекс],Centrum[№ HBL date / 
№/ дата коносамента],"",0,1)</f>
        <v>ULSO23090259, ULSO23090260, ULSO23090261, ULSO23090262, ULSO23090277</v>
      </c>
      <c r="N29" s="11" t="str">
        <f>_xlfn.XLOOKUP($A29,Centrum[Индекс],Centrum[№ MBL / 
№/ коносамента],"",0,1)</f>
        <v>PCSLBSVSC2300021</v>
      </c>
      <c r="O29" s="8">
        <f>(_xlfn.XLOOKUP($A29,Centrum[Индекс],Centrum[Date on board / Дата погрузки на судно],"",0,1))*1</f>
        <v>45179</v>
      </c>
      <c r="P29" s="8">
        <f>(_xlfn.XLOOKUP($A29,Centrum[Индекс],Centrum[Date of arrival to Sary-Agach/ Дата прибытия на Сары-Агач],"",0,1))*1</f>
        <v>45212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10550</v>
      </c>
      <c r="S29" s="16">
        <f>Шаблон_Формулы!$T29-Шаблон_Формулы!$R29</f>
        <v>-139.32999999999993</v>
      </c>
      <c r="T29" s="16">
        <f>_xlfn.XLOOKUP($A29,Centrum[Индекс],Centrum[Transportation total amount / Общая стоимость перевозки],0,0,1)</f>
        <v>10410.67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29" s="16">
        <f>_xlfn.XLOOKUP(Шаблон_Формулы[[#This Row],[21]],Курс_USD[Дата],Курс_USD[Курс],,0,1)</f>
        <v>12199.93</v>
      </c>
      <c r="W29" s="16">
        <f>Шаблон_Формулы!$T29*Шаблон_Формулы!$V29</f>
        <v>127009445.25310001</v>
      </c>
      <c r="Y29" s="16">
        <f>Шаблон_Формулы!$W29+Шаблон_Формулы!$X29</f>
        <v>127009445.25310001</v>
      </c>
      <c r="Z29" s="14" t="str">
        <f>_xlfn.XLOOKUP($A29,Centrum[Индекс],Centrum[Transport co invoice no/ 
Номер инвойса ТК],"",0,1)</f>
        <v>CNT-K23090211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CA</v>
      </c>
      <c r="C30" s="11" t="str">
        <f>_xlfn.XLOOKUP($A30,Centrum[Индекс],Centrum[Country /  Страна],"",0,1)</f>
        <v>KR</v>
      </c>
      <c r="D30" s="11" t="str">
        <f>_xlfn.XLOOKUP($A30,Centrum[Индекс],Centrum[Container num./ 
№ контейнера],"",0,1)</f>
        <v>CAIU8561817</v>
      </c>
      <c r="E30" s="11" t="str">
        <f>_xlfn.XLOOKUP($A30,Centrum[Индекс],Centrum[Supplier/
Поставщик],"",0,1)</f>
        <v>UZAUTO KOREA  CO., LTD, Henkel Korea Limited. Automotive, PHA Co., Ltd., ERAECS LIMITED, DK&amp;G CO., LTD, DOOWON CORPORATION, Henkel Korea Limited. Automotive</v>
      </c>
      <c r="F30" s="11" t="str">
        <f>_xlfn.XLOOKUP($A30,Centrum[Индекс],Centrum[Shippers invoice no/ 
Номер инвойса поставщика],"",1)</f>
        <v>DM239WO01, UZAUTO-230801, F230907U1, F230907U2, UEA 20230904-C1, DK-SI-2023-08-200, DW-230904, UZAUTO-230901</v>
      </c>
      <c r="G30" s="15">
        <f>_xlfn.XLOOKUP($A30,Centrum[Индекс],Centrum[Invoice value / Стоимость груза в к-ре по инвойсу],"",0,1)</f>
        <v>160032.16</v>
      </c>
      <c r="H30" s="14" t="s">
        <v>40</v>
      </c>
      <c r="I30" s="11">
        <f>_xlfn.XLOOKUP($A30,Centrum[Индекс],Centrum[CBM on the shipper/ 
CBM по поставщику],"",0,1)</f>
        <v>59.677</v>
      </c>
      <c r="J30" s="16">
        <f>_xlfn.XLOOKUP($A30,Centrum[Индекс],Centrum[Gross weight of cont// 
Гросс.вес по конт.],"",0,1)</f>
        <v>20998.959999999999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BUSAN FOB / P-D</v>
      </c>
      <c r="M30" s="11" t="str">
        <f>_xlfn.XLOOKUP($A30,Centrum[Индекс],Centrum[№ HBL date / 
№/ дата коносамента],"",0,1)</f>
        <v>ULSO23090246, ULSO23090249, ULSO23090250, ULSO23090251, ULSO23090252, ULSO23090253, ULSO23090254, ULSO23090312</v>
      </c>
      <c r="N30" s="11" t="str">
        <f>_xlfn.XLOOKUP($A30,Centrum[Индекс],Centrum[№ MBL / 
№/ коносамента],"",0,1)</f>
        <v>PCSLBSVSC2300021</v>
      </c>
      <c r="O30" s="8">
        <f>(_xlfn.XLOOKUP($A30,Centrum[Индекс],Centrum[Date on board / Дата погрузки на судно],"",0,1))*1</f>
        <v>45179</v>
      </c>
      <c r="P30" s="8">
        <f>(_xlfn.XLOOKUP($A30,Centrum[Индекс],Centrum[Date of arrival to Sary-Agach/ Дата прибытия на Сары-Агач],"",0,1))*1</f>
        <v>45212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10550</v>
      </c>
      <c r="S30" s="16">
        <f>Шаблон_Формулы!$T30-Шаблон_Формулы!$R30</f>
        <v>-1854.83</v>
      </c>
      <c r="T30" s="16">
        <f>_xlfn.XLOOKUP($A30,Centrum[Индекс],Centrum[Transportation total amount / Общая стоимость перевозки],0,0,1)</f>
        <v>8695.17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0" s="16">
        <f>_xlfn.XLOOKUP(Шаблон_Формулы[[#This Row],[21]],Курс_USD[Дата],Курс_USD[Курс],,0,1)</f>
        <v>12199.93</v>
      </c>
      <c r="W30" s="16">
        <f>Шаблон_Формулы!$T30*Шаблон_Формулы!$V30</f>
        <v>106080465.3381</v>
      </c>
      <c r="Y30" s="16">
        <f>Шаблон_Формулы!$W30+Шаблон_Формулы!$X30</f>
        <v>106080465.3381</v>
      </c>
      <c r="Z30" s="14" t="str">
        <f>_xlfn.XLOOKUP($A30,Centrum[Индекс],Centrum[Transport co invoice no/ 
Номер инвойса ТК],"",0,1)</f>
        <v>CNT-K23090211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CA</v>
      </c>
      <c r="C31" s="11" t="str">
        <f>_xlfn.XLOOKUP($A31,Centrum[Индекс],Centrum[Country /  Страна],"",0,1)</f>
        <v>KR</v>
      </c>
      <c r="D31" s="11" t="str">
        <f>_xlfn.XLOOKUP($A31,Centrum[Индекс],Centrum[Container num./ 
№ контейнера],"",0,1)</f>
        <v>FFAU4852604</v>
      </c>
      <c r="E31" s="11" t="str">
        <f>_xlfn.XLOOKUP($A31,Centrum[Индекс],Centrum[Supplier/
Поставщик],"",0,1)</f>
        <v xml:space="preserve">DAEDONG SYSTEM CO., LTD., UZAUTO KOREA  CO., LTD, </v>
      </c>
      <c r="F31" s="11" t="str">
        <f>_xlfn.XLOOKUP($A31,Centrum[Индекс],Centrum[Shippers invoice no/ 
Номер инвойса поставщика],"",1)</f>
        <v>UZA23033, UZST-C230901DW, UZST-C230901AK</v>
      </c>
      <c r="G31" s="15">
        <f>_xlfn.XLOOKUP($A31,Centrum[Индекс],Centrum[Invoice value / Стоимость груза в к-ре по инвойсу],"",0,1)</f>
        <v>16224</v>
      </c>
      <c r="H31" s="14" t="s">
        <v>40</v>
      </c>
      <c r="I31" s="11">
        <f>_xlfn.XLOOKUP($A31,Centrum[Индекс],Centrum[CBM on the shipper/ 
CBM по поставщику],"",0,1)</f>
        <v>58.88</v>
      </c>
      <c r="J31" s="16">
        <f>_xlfn.XLOOKUP($A31,Centrum[Индекс],Centrum[Gross weight of cont// 
Гросс.вес по конт.],"",0,1)</f>
        <v>21282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BUSAN FOB / P-D</v>
      </c>
      <c r="M31" s="11" t="str">
        <f>_xlfn.XLOOKUP($A31,Centrum[Индекс],Centrum[№ HBL date / 
№/ дата коносамента],"",0,1)</f>
        <v>ULSO23090268, ULSO23090288, ULSO23090291</v>
      </c>
      <c r="N31" s="11" t="str">
        <f>_xlfn.XLOOKUP($A31,Centrum[Индекс],Centrum[№ MBL / 
№/ коносамента],"",0,1)</f>
        <v>PCSLBSVSC2300021</v>
      </c>
      <c r="O31" s="8">
        <f>(_xlfn.XLOOKUP($A31,Centrum[Индекс],Centrum[Date on board / Дата погрузки на судно],"",0,1))*1</f>
        <v>45179</v>
      </c>
      <c r="P31" s="8">
        <f>(_xlfn.XLOOKUP($A31,Centrum[Индекс],Centrum[Date of arrival to Sary-Agach/ Дата прибытия на Сары-Агач],"",0,1))*1</f>
        <v>45212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10550</v>
      </c>
      <c r="S31" s="16">
        <f>Шаблон_Формулы!$T31-Шаблон_Формулы!$R31</f>
        <v>-7594.46</v>
      </c>
      <c r="T31" s="16">
        <f>_xlfn.XLOOKUP($A31,Centrum[Индекс],Centrum[Transportation total amount / Общая стоимость перевозки],0,0,1)</f>
        <v>2955.54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1" s="16">
        <f>_xlfn.XLOOKUP(Шаблон_Формулы[[#This Row],[21]],Курс_USD[Дата],Курс_USD[Курс],,0,1)</f>
        <v>12199.93</v>
      </c>
      <c r="W31" s="16">
        <f>Шаблон_Формулы!$T31*Шаблон_Формулы!$V31</f>
        <v>36057381.112199999</v>
      </c>
      <c r="Y31" s="16">
        <f>Шаблон_Формулы!$W31+Шаблон_Формулы!$X31</f>
        <v>36057381.112199999</v>
      </c>
      <c r="Z31" s="14" t="str">
        <f>_xlfn.XLOOKUP($A31,Centrum[Индекс],Centrum[Transport co invoice no/ 
Номер инвойса ТК],"",0,1)</f>
        <v>CNT-K23090211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CA</v>
      </c>
      <c r="C32" s="11" t="str">
        <f>_xlfn.XLOOKUP($A32,Centrum[Индекс],Centrum[Country /  Страна],"",0,1)</f>
        <v>KR</v>
      </c>
      <c r="D32" s="11" t="str">
        <f>_xlfn.XLOOKUP($A32,Centrum[Индекс],Centrum[Container num./ 
№ контейнера],"",0,1)</f>
        <v>MWLU7202730</v>
      </c>
      <c r="E32" s="11" t="str">
        <f>_xlfn.XLOOKUP($A32,Centrum[Индекс],Centrum[Supplier/
Поставщик],"",0,1)</f>
        <v>HANDS CORPORATION LTD</v>
      </c>
      <c r="F32" s="11" t="str">
        <f>_xlfn.XLOOKUP($A32,Centrum[Индекс],Centrum[Shippers invoice no/ 
Номер инвойса поставщика],"",1)</f>
        <v>K23-0902Uz_A9</v>
      </c>
      <c r="G32" s="15">
        <f>_xlfn.XLOOKUP($A32,Centrum[Индекс],Centrum[Invoice value / Стоимость груза в к-ре по инвойсу],"",0,1)</f>
        <v>49993.02</v>
      </c>
      <c r="H32" s="14" t="s">
        <v>40</v>
      </c>
      <c r="I32" s="11">
        <f>_xlfn.XLOOKUP($A32,Centrum[Индекс],Centrum[CBM on the shipper/ 
CBM по поставщику],"",0,1)</f>
        <v>69.728999999999999</v>
      </c>
      <c r="J32" s="16">
        <f>_xlfn.XLOOKUP($A32,Centrum[Индекс],Centrum[Gross weight of cont// 
Гросс.вес по конт.],"",0,1)</f>
        <v>11880.4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BUSAN FOB / P-D</v>
      </c>
      <c r="M32" s="11" t="str">
        <f>_xlfn.XLOOKUP($A32,Centrum[Индекс],Centrum[№ HBL date / 
№/ дата коносамента],"",0,1)</f>
        <v>ULSO23090214</v>
      </c>
      <c r="N32" s="11" t="str">
        <f>_xlfn.XLOOKUP($A32,Centrum[Индекс],Centrum[№ MBL / 
№/ коносамента],"",0,1)</f>
        <v>PCSLBSVSC2300021</v>
      </c>
      <c r="O32" s="8">
        <f>(_xlfn.XLOOKUP($A32,Centrum[Индекс],Centrum[Date on board / Дата погрузки на судно],"",0,1))*1</f>
        <v>45179</v>
      </c>
      <c r="P32" s="8">
        <f>(_xlfn.XLOOKUP($A32,Centrum[Индекс],Centrum[Date of arrival to Sary-Agach/ Дата прибытия на Сары-Агач],"",0,1))*1</f>
        <v>45212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10550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10550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2" s="16">
        <f>_xlfn.XLOOKUP(Шаблон_Формулы[[#This Row],[21]],Курс_USD[Дата],Курс_USD[Курс],,0,1)</f>
        <v>12199.93</v>
      </c>
      <c r="W32" s="16">
        <f>Шаблон_Формулы!$T32*Шаблон_Формулы!$V32</f>
        <v>128709261.5</v>
      </c>
      <c r="Y32" s="16">
        <f>Шаблон_Формулы!$W32+Шаблон_Формулы!$X32</f>
        <v>128709261.5</v>
      </c>
      <c r="Z32" s="14" t="str">
        <f>_xlfn.XLOOKUP($A32,Centrum[Индекс],Centrum[Transport co invoice no/ 
Номер инвойса ТК],"",0,1)</f>
        <v>CNT-K23090211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CA</v>
      </c>
      <c r="C33" s="11" t="str">
        <f>_xlfn.XLOOKUP($A33,Centrum[Индекс],Centrum[Country /  Страна],"",0,1)</f>
        <v>KR</v>
      </c>
      <c r="D33" s="11" t="str">
        <f>_xlfn.XLOOKUP($A33,Centrum[Индекс],Centrum[Container num./ 
№ контейнера],"",0,1)</f>
        <v>ULCU5007143</v>
      </c>
      <c r="E33" s="11" t="str">
        <f>_xlfn.XLOOKUP($A33,Centrum[Индекс],Centrum[Supplier/
Поставщик],"",0,1)</f>
        <v>HANDS CORPORATION LTD</v>
      </c>
      <c r="F33" s="11" t="str">
        <f>_xlfn.XLOOKUP($A33,Centrum[Индекс],Centrum[Shippers invoice no/ 
Номер инвойса поставщика],"",1)</f>
        <v>K23-0909Uz_A1</v>
      </c>
      <c r="G33" s="15">
        <f>_xlfn.XLOOKUP($A33,Centrum[Индекс],Centrum[Invoice value / Стоимость груза в к-ре по инвойсу],"",0,1)</f>
        <v>49993.02</v>
      </c>
      <c r="H33" s="14" t="s">
        <v>40</v>
      </c>
      <c r="I33" s="11">
        <f>_xlfn.XLOOKUP($A33,Centrum[Индекс],Centrum[CBM on the shipper/ 
CBM по поставщику],"",0,1)</f>
        <v>69.728999999999999</v>
      </c>
      <c r="J33" s="16">
        <f>_xlfn.XLOOKUP($A33,Centrum[Индекс],Centrum[Gross weight of cont// 
Гросс.вес по конт.],"",0,1)</f>
        <v>11880.4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FOB / P-D</v>
      </c>
      <c r="M33" s="11" t="str">
        <f>_xlfn.XLOOKUP($A33,Centrum[Индекс],Centrum[№ HBL date / 
№/ дата коносамента],"",0,1)</f>
        <v>ULSO23090224</v>
      </c>
      <c r="N33" s="11" t="str">
        <f>_xlfn.XLOOKUP($A33,Centrum[Индекс],Centrum[№ MBL / 
№/ коносамента],"",0,1)</f>
        <v>PCSLBSVSC2300021</v>
      </c>
      <c r="O33" s="8">
        <f>(_xlfn.XLOOKUP($A33,Centrum[Индекс],Centrum[Date on board / Дата погрузки на судно],"",0,1))*1</f>
        <v>45179</v>
      </c>
      <c r="P33" s="8">
        <f>(_xlfn.XLOOKUP($A33,Centrum[Индекс],Centrum[Date of arrival to Sary-Agach/ Дата прибытия на Сары-Агач],"",0,1))*1</f>
        <v>45212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10550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3" s="16">
        <f>_xlfn.XLOOKUP(Шаблон_Формулы[[#This Row],[21]],Курс_USD[Дата],Курс_USD[Курс],,0,1)</f>
        <v>12199.93</v>
      </c>
      <c r="W33" s="16">
        <f>Шаблон_Формулы!$T33*Шаблон_Формулы!$V33</f>
        <v>128709261.5</v>
      </c>
      <c r="Y33" s="16">
        <f>Шаблон_Формулы!$W33+Шаблон_Формулы!$X33</f>
        <v>128709261.5</v>
      </c>
      <c r="Z33" s="14" t="str">
        <f>_xlfn.XLOOKUP($A33,Centrum[Индекс],Centrum[Transport co invoice no/ 
Номер инвойса ТК],"",0,1)</f>
        <v>CNT-K23090211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CA</v>
      </c>
      <c r="C34" s="11" t="str">
        <f>_xlfn.XLOOKUP($A34,Centrum[Индекс],Centrum[Country /  Страна],"",0,1)</f>
        <v>KR</v>
      </c>
      <c r="D34" s="11" t="str">
        <f>_xlfn.XLOOKUP($A34,Centrum[Индекс],Centrum[Container num./ 
№ контейнера],"",0,1)</f>
        <v>ULCU5070676</v>
      </c>
      <c r="E34" s="11" t="str">
        <f>_xlfn.XLOOKUP($A34,Centrum[Индекс],Centrum[Supplier/
Поставщик],"",0,1)</f>
        <v>HANDS CORPORATION LTD</v>
      </c>
      <c r="F34" s="11" t="str">
        <f>_xlfn.XLOOKUP($A34,Centrum[Индекс],Centrum[Shippers invoice no/ 
Номер инвойса поставщика],"",1)</f>
        <v>K23-0909Uz_A2</v>
      </c>
      <c r="G34" s="15">
        <f>_xlfn.XLOOKUP($A34,Centrum[Индекс],Centrum[Invoice value / Стоимость груза в к-ре по инвойсу],"",0,1)</f>
        <v>49993.02</v>
      </c>
      <c r="H34" s="14" t="s">
        <v>40</v>
      </c>
      <c r="I34" s="11">
        <f>_xlfn.XLOOKUP($A34,Centrum[Индекс],Centrum[CBM on the shipper/ 
CBM по поставщику],"",0,1)</f>
        <v>69.728999999999999</v>
      </c>
      <c r="J34" s="16">
        <f>_xlfn.XLOOKUP($A34,Centrum[Индекс],Centrum[Gross weight of cont// 
Гросс.вес по конт.],"",0,1)</f>
        <v>11880.4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BUSAN FOB / P-D</v>
      </c>
      <c r="M34" s="11" t="str">
        <f>_xlfn.XLOOKUP($A34,Centrum[Индекс],Centrum[№ HBL date / 
№/ дата коносамента],"",0,1)</f>
        <v>ULSO23090225</v>
      </c>
      <c r="N34" s="11" t="str">
        <f>_xlfn.XLOOKUP($A34,Centrum[Индекс],Centrum[№ MBL / 
№/ коносамента],"",0,1)</f>
        <v>PCSLBSVSC2300021</v>
      </c>
      <c r="O34" s="8">
        <f>(_xlfn.XLOOKUP($A34,Centrum[Индекс],Centrum[Date on board / Дата погрузки на судно],"",0,1))*1</f>
        <v>45179</v>
      </c>
      <c r="P34" s="8">
        <f>(_xlfn.XLOOKUP($A34,Centrum[Индекс],Centrum[Date of arrival to Sary-Agach/ Дата прибытия на Сары-Агач],"",0,1))*1</f>
        <v>45212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10550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10550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4" s="16">
        <f>_xlfn.XLOOKUP(Шаблон_Формулы[[#This Row],[21]],Курс_USD[Дата],Курс_USD[Курс],,0,1)</f>
        <v>12199.93</v>
      </c>
      <c r="W34" s="16">
        <f>Шаблон_Формулы!$T34*Шаблон_Формулы!$V34</f>
        <v>128709261.5</v>
      </c>
      <c r="Y34" s="16">
        <f>Шаблон_Формулы!$W34+Шаблон_Формулы!$X34</f>
        <v>128709261.5</v>
      </c>
      <c r="Z34" s="14" t="str">
        <f>_xlfn.XLOOKUP($A34,Centrum[Индекс],Centrum[Transport co invoice no/ 
Номер инвойса ТК],"",0,1)</f>
        <v>CNT-K23090211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CA</v>
      </c>
      <c r="C35" s="11" t="str">
        <f>_xlfn.XLOOKUP($A35,Centrum[Индекс],Centrum[Country /  Страна],"",0,1)</f>
        <v>KR</v>
      </c>
      <c r="D35" s="11" t="str">
        <f>_xlfn.XLOOKUP($A35,Centrum[Индекс],Centrum[Container num./ 
№ контейнера],"",0,1)</f>
        <v>ULCU5040012</v>
      </c>
      <c r="E35" s="11" t="str">
        <f>_xlfn.XLOOKUP($A35,Centrum[Индекс],Centrum[Supplier/
Поставщик],"",0,1)</f>
        <v>HANDS CORPORATION LTD</v>
      </c>
      <c r="F35" s="11" t="str">
        <f>_xlfn.XLOOKUP($A35,Centrum[Индекс],Centrum[Shippers invoice no/ 
Номер инвойса поставщика],"",1)</f>
        <v>K23-0902Uz_A8</v>
      </c>
      <c r="G35" s="15">
        <f>_xlfn.XLOOKUP($A35,Centrum[Индекс],Centrum[Invoice value / Стоимость груза в к-ре по инвойсу],"",0,1)</f>
        <v>49993.02</v>
      </c>
      <c r="H35" s="14" t="s">
        <v>40</v>
      </c>
      <c r="I35" s="11">
        <f>_xlfn.XLOOKUP($A35,Centrum[Индекс],Centrum[CBM on the shipper/ 
CBM по поставщику],"",0,1)</f>
        <v>69.728999999999999</v>
      </c>
      <c r="J35" s="16">
        <f>_xlfn.XLOOKUP($A35,Centrum[Индекс],Centrum[Gross weight of cont// 
Гросс.вес по конт.],"",0,1)</f>
        <v>11880.4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FOB / P-D</v>
      </c>
      <c r="M35" s="11" t="str">
        <f>_xlfn.XLOOKUP($A35,Centrum[Индекс],Centrum[№ HBL date / 
№/ дата коносамента],"",0,1)</f>
        <v>ULSO23090213</v>
      </c>
      <c r="N35" s="11" t="str">
        <f>_xlfn.XLOOKUP($A35,Centrum[Индекс],Centrum[№ MBL / 
№/ коносамента],"",0,1)</f>
        <v>PCSLBSVSC2300021</v>
      </c>
      <c r="O35" s="8">
        <f>(_xlfn.XLOOKUP($A35,Centrum[Индекс],Centrum[Date on board / Дата погрузки на судно],"",0,1))*1</f>
        <v>45179</v>
      </c>
      <c r="P35" s="8">
        <f>(_xlfn.XLOOKUP($A35,Centrum[Индекс],Centrum[Date of arrival to Sary-Agach/ Дата прибытия на Сары-Агач],"",0,1))*1</f>
        <v>45212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5" s="16">
        <f>_xlfn.XLOOKUP(Шаблон_Формулы[[#This Row],[21]],Курс_USD[Дата],Курс_USD[Курс],,0,1)</f>
        <v>12199.93</v>
      </c>
      <c r="W35" s="16">
        <f>Шаблон_Формулы!$T35*Шаблон_Формулы!$V35</f>
        <v>128709261.5</v>
      </c>
      <c r="Y35" s="16">
        <f>Шаблон_Формулы!$W35+Шаблон_Формулы!$X35</f>
        <v>128709261.5</v>
      </c>
      <c r="Z35" s="14" t="str">
        <f>_xlfn.XLOOKUP($A35,Centrum[Индекс],Centrum[Transport co invoice no/ 
Номер инвойса ТК],"",0,1)</f>
        <v>CNT-K23090211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CA</v>
      </c>
      <c r="C36" s="11" t="str">
        <f>_xlfn.XLOOKUP($A36,Centrum[Индекс],Centrum[Country /  Страна],"",0,1)</f>
        <v>KR</v>
      </c>
      <c r="D36" s="11" t="str">
        <f>_xlfn.XLOOKUP($A36,Centrum[Индекс],Centrum[Container num./ 
№ контейнера],"",0,1)</f>
        <v>FFAU4489192</v>
      </c>
      <c r="E36" s="11" t="str">
        <f>_xlfn.XLOOKUP($A36,Centrum[Индекс],Centrum[Supplier/
Поставщик],"",0,1)</f>
        <v>UZAUTO KOREA  CO., LTD</v>
      </c>
      <c r="F36" s="11" t="str">
        <f>_xlfn.XLOOKUP($A36,Centrum[Индекс],Centrum[Shippers invoice no/ 
Номер инвойса поставщика],"",1)</f>
        <v>DM239SA01, DM239AU01</v>
      </c>
      <c r="G36" s="15">
        <f>_xlfn.XLOOKUP($A36,Centrum[Индекс],Centrum[Invoice value / Стоимость груза в к-ре по инвойсу],"",0,1)</f>
        <v>82054.100000000006</v>
      </c>
      <c r="H36" s="14" t="s">
        <v>40</v>
      </c>
      <c r="I36" s="11">
        <f>_xlfn.XLOOKUP($A36,Centrum[Индекс],Centrum[CBM on the shipper/ 
CBM по поставщику],"",0,1)</f>
        <v>56.097999999999999</v>
      </c>
      <c r="J36" s="16">
        <f>_xlfn.XLOOKUP($A36,Centrum[Индекс],Centrum[Gross weight of cont// 
Гросс.вес по конт.],"",0,1)</f>
        <v>22370.58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BUSAN FOB / P-D</v>
      </c>
      <c r="M36" s="11" t="str">
        <f>_xlfn.XLOOKUP($A36,Centrum[Индекс],Centrum[№ HBL date / 
№/ дата коносамента],"",0,1)</f>
        <v>ULSO23090244, ULSO23090245</v>
      </c>
      <c r="N36" s="11" t="str">
        <f>_xlfn.XLOOKUP($A36,Centrum[Индекс],Centrum[№ MBL / 
№/ коносамента],"",0,1)</f>
        <v>PCSLBSVSC2300021</v>
      </c>
      <c r="O36" s="8">
        <f>(_xlfn.XLOOKUP($A36,Centrum[Индекс],Centrum[Date on board / Дата погрузки на судно],"",0,1))*1</f>
        <v>45179</v>
      </c>
      <c r="P36" s="8">
        <f>(_xlfn.XLOOKUP($A36,Centrum[Индекс],Centrum[Date of arrival to Sary-Agach/ Дата прибытия на Сары-Агач],"",0,1))*1</f>
        <v>45212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10550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10550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6" s="16">
        <f>_xlfn.XLOOKUP(Шаблон_Формулы[[#This Row],[21]],Курс_USD[Дата],Курс_USD[Курс],,0,1)</f>
        <v>12199.93</v>
      </c>
      <c r="W36" s="16">
        <f>Шаблон_Формулы!$T36*Шаблон_Формулы!$V36</f>
        <v>128709261.5</v>
      </c>
      <c r="Y36" s="16">
        <f>Шаблон_Формулы!$W36+Шаблон_Формулы!$X36</f>
        <v>128709261.5</v>
      </c>
      <c r="Z36" s="14" t="str">
        <f>_xlfn.XLOOKUP($A36,Centrum[Индекс],Centrum[Transport co invoice no/ 
Номер инвойса ТК],"",0,1)</f>
        <v>CNT-K23090211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CA</v>
      </c>
      <c r="C37" s="11" t="str">
        <f>_xlfn.XLOOKUP($A37,Centrum[Индекс],Centrum[Country /  Страна],"",0,1)</f>
        <v>KR</v>
      </c>
      <c r="D37" s="11" t="str">
        <f>_xlfn.XLOOKUP($A37,Centrum[Индекс],Centrum[Container num./ 
№ контейнера],"",0,1)</f>
        <v>SEGU6345673</v>
      </c>
      <c r="E37" s="11" t="str">
        <f>_xlfn.XLOOKUP($A37,Centrum[Индекс],Centrum[Supplier/
Поставщик],"",0,1)</f>
        <v>UZAUTO KOREA  CO., LTD</v>
      </c>
      <c r="F37" s="11" t="str">
        <f>_xlfn.XLOOKUP($A37,Centrum[Индекс],Centrum[Shippers invoice no/ 
Номер инвойса поставщика],"",1)</f>
        <v>DM239AU01, DM239WO01</v>
      </c>
      <c r="G37" s="15">
        <f>_xlfn.XLOOKUP($A37,Centrum[Индекс],Centrum[Invoice value / Стоимость груза в к-ре по инвойсу],"",0,1)</f>
        <v>87794.93</v>
      </c>
      <c r="H37" s="14" t="s">
        <v>40</v>
      </c>
      <c r="I37" s="11">
        <f>_xlfn.XLOOKUP($A37,Centrum[Индекс],Centrum[CBM on the shipper/ 
CBM по поставщику],"",0,1)</f>
        <v>62.13</v>
      </c>
      <c r="J37" s="16">
        <f>_xlfn.XLOOKUP($A37,Centrum[Индекс],Centrum[Gross weight of cont// 
Гросс.вес по конт.],"",0,1)</f>
        <v>16293.5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BUSAN FOB / P-D</v>
      </c>
      <c r="M37" s="11" t="str">
        <f>_xlfn.XLOOKUP($A37,Centrum[Индекс],Centrum[№ HBL date / 
№/ дата коносамента],"",0,1)</f>
        <v>ULSO23090245, ULSO23090246</v>
      </c>
      <c r="N37" s="11" t="str">
        <f>_xlfn.XLOOKUP($A37,Centrum[Индекс],Centrum[№ MBL / 
№/ коносамента],"",0,1)</f>
        <v>PCSLBSVSC2300021</v>
      </c>
      <c r="O37" s="8">
        <f>(_xlfn.XLOOKUP($A37,Centrum[Индекс],Centrum[Date on board / Дата погрузки на судно],"",0,1))*1</f>
        <v>45179</v>
      </c>
      <c r="P37" s="8">
        <f>(_xlfn.XLOOKUP($A37,Centrum[Индекс],Centrum[Date of arrival to Sary-Agach/ Дата прибытия на Сары-Агач],"",0,1))*1</f>
        <v>45212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10550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10550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7" s="16">
        <f>_xlfn.XLOOKUP(Шаблон_Формулы[[#This Row],[21]],Курс_USD[Дата],Курс_USD[Курс],,0,1)</f>
        <v>12199.93</v>
      </c>
      <c r="W37" s="16">
        <f>Шаблон_Формулы!$T37*Шаблон_Формулы!$V37</f>
        <v>128709261.5</v>
      </c>
      <c r="Y37" s="16">
        <f>Шаблон_Формулы!$W37+Шаблон_Формулы!$X37</f>
        <v>128709261.5</v>
      </c>
      <c r="Z37" s="14" t="str">
        <f>_xlfn.XLOOKUP($A37,Centrum[Индекс],Centrum[Transport co invoice no/ 
Номер инвойса ТК],"",0,1)</f>
        <v>CNT-K23090211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8" s="16">
        <f>_xlfn.XLOOKUP(Шаблон_Формулы[[#This Row],[21]],Курс_USD[Дата],Курс_USD[Курс],,0,1)</f>
        <v>12199.93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39" s="16">
        <f>_xlfn.XLOOKUP(Шаблон_Формулы[[#This Row],[21]],Курс_USD[Дата],Курс_USD[Курс],,0,1)</f>
        <v>12199.93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0" s="16">
        <f>_xlfn.XLOOKUP(Шаблон_Формулы[[#This Row],[21]],Курс_USD[Дата],Курс_USD[Курс],,0,1)</f>
        <v>12199.93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1" s="16">
        <f>_xlfn.XLOOKUP(Шаблон_Формулы[[#This Row],[21]],Курс_USD[Дата],Курс_USD[Курс],,0,1)</f>
        <v>12199.93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2" s="16">
        <f>_xlfn.XLOOKUP(Шаблон_Формулы[[#This Row],[21]],Курс_USD[Дата],Курс_USD[Курс],,0,1)</f>
        <v>12199.93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3" s="16">
        <f>_xlfn.XLOOKUP(Шаблон_Формулы[[#This Row],[21]],Курс_USD[Дата],Курс_USD[Курс],,0,1)</f>
        <v>12199.93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4" s="16">
        <f>_xlfn.XLOOKUP(Шаблон_Формулы[[#This Row],[21]],Курс_USD[Дата],Курс_USD[Курс],,0,1)</f>
        <v>12199.93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5" s="16">
        <f>_xlfn.XLOOKUP(Шаблон_Формулы[[#This Row],[21]],Курс_USD[Дата],Курс_USD[Курс],,0,1)</f>
        <v>12199.93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6" s="16">
        <f>_xlfn.XLOOKUP(Шаблон_Формулы[[#This Row],[21]],Курс_USD[Дата],Курс_USD[Курс],,0,1)</f>
        <v>12199.93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7" s="16">
        <f>_xlfn.XLOOKUP(Шаблон_Формулы[[#This Row],[21]],Курс_USD[Дата],Курс_USD[Курс],,0,1)</f>
        <v>12199.93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8" s="16">
        <f>_xlfn.XLOOKUP(Шаблон_Формулы[[#This Row],[21]],Курс_USD[Дата],Курс_USD[Курс],,0,1)</f>
        <v>12199.93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49" s="16">
        <f>_xlfn.XLOOKUP(Шаблон_Формулы[[#This Row],[21]],Курс_USD[Дата],Курс_USD[Курс],,0,1)</f>
        <v>12199.93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0" s="16">
        <f>_xlfn.XLOOKUP(Шаблон_Формулы[[#This Row],[21]],Курс_USD[Дата],Курс_USD[Курс],,0,1)</f>
        <v>12199.93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1" s="16">
        <f>_xlfn.XLOOKUP(Шаблон_Формулы[[#This Row],[21]],Курс_USD[Дата],Курс_USD[Курс],,0,1)</f>
        <v>12199.93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2" s="16">
        <f>_xlfn.XLOOKUP(Шаблон_Формулы[[#This Row],[21]],Курс_USD[Дата],Курс_USD[Курс],,0,1)</f>
        <v>12199.93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3" s="16">
        <f>_xlfn.XLOOKUP(Шаблон_Формулы[[#This Row],[21]],Курс_USD[Дата],Курс_USD[Курс],,0,1)</f>
        <v>12199.93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4" s="16">
        <f>_xlfn.XLOOKUP(Шаблон_Формулы[[#This Row],[21]],Курс_USD[Дата],Курс_USD[Курс],,0,1)</f>
        <v>12199.93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5" s="16">
        <f>_xlfn.XLOOKUP(Шаблон_Формулы[[#This Row],[21]],Курс_USD[Дата],Курс_USD[Курс],,0,1)</f>
        <v>12199.93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6" s="16">
        <f>_xlfn.XLOOKUP(Шаблон_Формулы[[#This Row],[21]],Курс_USD[Дата],Курс_USD[Курс],,0,1)</f>
        <v>12199.93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7" s="16">
        <f>_xlfn.XLOOKUP(Шаблон_Формулы[[#This Row],[21]],Курс_USD[Дата],Курс_USD[Курс],,0,1)</f>
        <v>12199.93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8" s="16">
        <f>_xlfn.XLOOKUP(Шаблон_Формулы[[#This Row],[21]],Курс_USD[Дата],Курс_USD[Курс],,0,1)</f>
        <v>12199.93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59" s="16">
        <f>_xlfn.XLOOKUP(Шаблон_Формулы[[#This Row],[21]],Курс_USD[Дата],Курс_USD[Курс],,0,1)</f>
        <v>12199.93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0" s="16">
        <f>_xlfn.XLOOKUP(Шаблон_Формулы[[#This Row],[21]],Курс_USD[Дата],Курс_USD[Курс],,0,1)</f>
        <v>12199.93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1" s="16">
        <f>_xlfn.XLOOKUP(Шаблон_Формулы[[#This Row],[21]],Курс_USD[Дата],Курс_USD[Курс],,0,1)</f>
        <v>12199.93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2" s="16">
        <f>_xlfn.XLOOKUP(Шаблон_Формулы[[#This Row],[21]],Курс_USD[Дата],Курс_USD[Курс],,0,1)</f>
        <v>12199.93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3" s="16">
        <f>_xlfn.XLOOKUP(Шаблон_Формулы[[#This Row],[21]],Курс_USD[Дата],Курс_USD[Курс],,0,1)</f>
        <v>12199.93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4" s="16">
        <f>_xlfn.XLOOKUP(Шаблон_Формулы[[#This Row],[21]],Курс_USD[Дата],Курс_USD[Курс],,0,1)</f>
        <v>12199.93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5" s="16">
        <f>_xlfn.XLOOKUP(Шаблон_Формулы[[#This Row],[21]],Курс_USD[Дата],Курс_USD[Курс],,0,1)</f>
        <v>12199.93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6" s="16">
        <f>_xlfn.XLOOKUP(Шаблон_Формулы[[#This Row],[21]],Курс_USD[Дата],Курс_USD[Курс],,0,1)</f>
        <v>12199.93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7" s="16">
        <f>_xlfn.XLOOKUP(Шаблон_Формулы[[#This Row],[21]],Курс_USD[Дата],Курс_USD[Курс],,0,1)</f>
        <v>12199.93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8" s="16">
        <f>_xlfn.XLOOKUP(Шаблон_Формулы[[#This Row],[21]],Курс_USD[Дата],Курс_USD[Курс],,0,1)</f>
        <v>12199.93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69" s="16">
        <f>_xlfn.XLOOKUP(Шаблон_Формулы[[#This Row],[21]],Курс_USD[Дата],Курс_USD[Курс],,0,1)</f>
        <v>12199.93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0" s="16">
        <f>_xlfn.XLOOKUP(Шаблон_Формулы[[#This Row],[21]],Курс_USD[Дата],Курс_USD[Курс],,0,1)</f>
        <v>12199.93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1" s="16">
        <f>_xlfn.XLOOKUP(Шаблон_Формулы[[#This Row],[21]],Курс_USD[Дата],Курс_USD[Курс],,0,1)</f>
        <v>12199.93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2" s="16">
        <f>_xlfn.XLOOKUP(Шаблон_Формулы[[#This Row],[21]],Курс_USD[Дата],Курс_USD[Курс],,0,1)</f>
        <v>12199.93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3" s="16">
        <f>_xlfn.XLOOKUP(Шаблон_Формулы[[#This Row],[21]],Курс_USD[Дата],Курс_USD[Курс],,0,1)</f>
        <v>12199.93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4" s="16">
        <f>_xlfn.XLOOKUP(Шаблон_Формулы[[#This Row],[21]],Курс_USD[Дата],Курс_USD[Курс],,0,1)</f>
        <v>12199.93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5" s="16">
        <f>_xlfn.XLOOKUP(Шаблон_Формулы[[#This Row],[21]],Курс_USD[Дата],Курс_USD[Курс],,0,1)</f>
        <v>12199.93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6" s="16">
        <f>_xlfn.XLOOKUP(Шаблон_Формулы[[#This Row],[21]],Курс_USD[Дата],Курс_USD[Курс],,0,1)</f>
        <v>12199.93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7" s="16">
        <f>_xlfn.XLOOKUP(Шаблон_Формулы[[#This Row],[21]],Курс_USD[Дата],Курс_USD[Курс],,0,1)</f>
        <v>12199.93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8" s="16">
        <f>_xlfn.XLOOKUP(Шаблон_Формулы[[#This Row],[21]],Курс_USD[Дата],Курс_USD[Курс],,0,1)</f>
        <v>12199.93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79" s="16">
        <f>_xlfn.XLOOKUP(Шаблон_Формулы[[#This Row],[21]],Курс_USD[Дата],Курс_USD[Курс],,0,1)</f>
        <v>12199.93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0" s="16">
        <f>_xlfn.XLOOKUP(Шаблон_Формулы[[#This Row],[21]],Курс_USD[Дата],Курс_USD[Курс],,0,1)</f>
        <v>12199.93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1" s="16">
        <f>_xlfn.XLOOKUP(Шаблон_Формулы[[#This Row],[21]],Курс_USD[Дата],Курс_USD[Курс],,0,1)</f>
        <v>12199.93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2" s="16">
        <f>_xlfn.XLOOKUP(Шаблон_Формулы[[#This Row],[21]],Курс_USD[Дата],Курс_USD[Курс],,0,1)</f>
        <v>12199.93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3" s="16">
        <f>_xlfn.XLOOKUP(Шаблон_Формулы[[#This Row],[21]],Курс_USD[Дата],Курс_USD[Курс],,0,1)</f>
        <v>12199.93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4" s="16">
        <f>_xlfn.XLOOKUP(Шаблон_Формулы[[#This Row],[21]],Курс_USD[Дата],Курс_USD[Курс],,0,1)</f>
        <v>12199.93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5" s="16">
        <f>_xlfn.XLOOKUP(Шаблон_Формулы[[#This Row],[21]],Курс_USD[Дата],Курс_USD[Курс],,0,1)</f>
        <v>12199.93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6" s="16">
        <f>_xlfn.XLOOKUP(Шаблон_Формулы[[#This Row],[21]],Курс_USD[Дата],Курс_USD[Курс],,0,1)</f>
        <v>12199.93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7" s="16">
        <f>_xlfn.XLOOKUP(Шаблон_Формулы[[#This Row],[21]],Курс_USD[Дата],Курс_USD[Курс],,0,1)</f>
        <v>12199.93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8" s="16">
        <f>_xlfn.XLOOKUP(Шаблон_Формулы[[#This Row],[21]],Курс_USD[Дата],Курс_USD[Курс],,0,1)</f>
        <v>12199.93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89" s="16">
        <f>_xlfn.XLOOKUP(Шаблон_Формулы[[#This Row],[21]],Курс_USD[Дата],Курс_USD[Курс],,0,1)</f>
        <v>12199.93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0" s="16">
        <f>_xlfn.XLOOKUP(Шаблон_Формулы[[#This Row],[21]],Курс_USD[Дата],Курс_USD[Курс],,0,1)</f>
        <v>12199.93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1" s="16">
        <f>_xlfn.XLOOKUP(Шаблон_Формулы[[#This Row],[21]],Курс_USD[Дата],Курс_USD[Курс],,0,1)</f>
        <v>12199.93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2" s="16">
        <f>_xlfn.XLOOKUP(Шаблон_Формулы[[#This Row],[21]],Курс_USD[Дата],Курс_USD[Курс],,0,1)</f>
        <v>12199.93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3" s="16">
        <f>_xlfn.XLOOKUP(Шаблон_Формулы[[#This Row],[21]],Курс_USD[Дата],Курс_USD[Курс],,0,1)</f>
        <v>12199.93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4" s="16">
        <f>_xlfn.XLOOKUP(Шаблон_Формулы[[#This Row],[21]],Курс_USD[Дата],Курс_USD[Курс],,0,1)</f>
        <v>12199.93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5" s="16">
        <f>_xlfn.XLOOKUP(Шаблон_Формулы[[#This Row],[21]],Курс_USD[Дата],Курс_USD[Курс],,0,1)</f>
        <v>12199.93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6" s="16">
        <f>_xlfn.XLOOKUP(Шаблон_Формулы[[#This Row],[21]],Курс_USD[Дата],Курс_USD[Курс],,0,1)</f>
        <v>12199.93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7" s="16">
        <f>_xlfn.XLOOKUP(Шаблон_Формулы[[#This Row],[21]],Курс_USD[Дата],Курс_USD[Курс],,0,1)</f>
        <v>12199.93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8" s="16">
        <f>_xlfn.XLOOKUP(Шаблон_Формулы[[#This Row],[21]],Курс_USD[Дата],Курс_USD[Курс],,0,1)</f>
        <v>12199.93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99" s="16">
        <f>_xlfn.XLOOKUP(Шаблон_Формулы[[#This Row],[21]],Курс_USD[Дата],Курс_USD[Курс],,0,1)</f>
        <v>12199.93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0" s="16">
        <f>_xlfn.XLOOKUP(Шаблон_Формулы[[#This Row],[21]],Курс_USD[Дата],Курс_USD[Курс],,0,1)</f>
        <v>12199.93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1" s="16">
        <f>_xlfn.XLOOKUP(Шаблон_Формулы[[#This Row],[21]],Курс_USD[Дата],Курс_USD[Курс],,0,1)</f>
        <v>12199.93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2" s="16">
        <f>_xlfn.XLOOKUP(Шаблон_Формулы[[#This Row],[21]],Курс_USD[Дата],Курс_USD[Курс],,0,1)</f>
        <v>12199.93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3" s="16">
        <f>_xlfn.XLOOKUP(Шаблон_Формулы[[#This Row],[21]],Курс_USD[Дата],Курс_USD[Курс],,0,1)</f>
        <v>12199.93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4" s="16">
        <f>_xlfn.XLOOKUP(Шаблон_Формулы[[#This Row],[21]],Курс_USD[Дата],Курс_USD[Курс],,0,1)</f>
        <v>12199.93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5" s="16">
        <f>_xlfn.XLOOKUP(Шаблон_Формулы[[#This Row],[21]],Курс_USD[Дата],Курс_USD[Курс],,0,1)</f>
        <v>12199.93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6" s="16">
        <f>_xlfn.XLOOKUP(Шаблон_Формулы[[#This Row],[21]],Курс_USD[Дата],Курс_USD[Курс],,0,1)</f>
        <v>12199.93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7" s="16">
        <f>_xlfn.XLOOKUP(Шаблон_Формулы[[#This Row],[21]],Курс_USD[Дата],Курс_USD[Курс],,0,1)</f>
        <v>12199.93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8" s="16">
        <f>_xlfn.XLOOKUP(Шаблон_Формулы[[#This Row],[21]],Курс_USD[Дата],Курс_USD[Курс],,0,1)</f>
        <v>12199.93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09" s="16">
        <f>_xlfn.XLOOKUP(Шаблон_Формулы[[#This Row],[21]],Курс_USD[Дата],Курс_USD[Курс],,0,1)</f>
        <v>12199.93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0" s="16">
        <f>_xlfn.XLOOKUP(Шаблон_Формулы[[#This Row],[21]],Курс_USD[Дата],Курс_USD[Курс],,0,1)</f>
        <v>12199.93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1" s="16">
        <f>_xlfn.XLOOKUP(Шаблон_Формулы[[#This Row],[21]],Курс_USD[Дата],Курс_USD[Курс],,0,1)</f>
        <v>12199.93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2" s="16">
        <f>_xlfn.XLOOKUP(Шаблон_Формулы[[#This Row],[21]],Курс_USD[Дата],Курс_USD[Курс],,0,1)</f>
        <v>12199.93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3" s="16">
        <f>_xlfn.XLOOKUP(Шаблон_Формулы[[#This Row],[21]],Курс_USD[Дата],Курс_USD[Курс],,0,1)</f>
        <v>12199.93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4" s="16">
        <f>_xlfn.XLOOKUP(Шаблон_Формулы[[#This Row],[21]],Курс_USD[Дата],Курс_USD[Курс],,0,1)</f>
        <v>12199.93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5" s="16">
        <f>_xlfn.XLOOKUP(Шаблон_Формулы[[#This Row],[21]],Курс_USD[Дата],Курс_USD[Курс],,0,1)</f>
        <v>12199.93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6" s="16">
        <f>_xlfn.XLOOKUP(Шаблон_Формулы[[#This Row],[21]],Курс_USD[Дата],Курс_USD[Курс],,0,1)</f>
        <v>12199.93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7" s="16">
        <f>_xlfn.XLOOKUP(Шаблон_Формулы[[#This Row],[21]],Курс_USD[Дата],Курс_USD[Курс],,0,1)</f>
        <v>12199.93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8" s="16">
        <f>_xlfn.XLOOKUP(Шаблон_Формулы[[#This Row],[21]],Курс_USD[Дата],Курс_USD[Курс],,0,1)</f>
        <v>12199.93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19" s="16">
        <f>_xlfn.XLOOKUP(Шаблон_Формулы[[#This Row],[21]],Курс_USD[Дата],Курс_USD[Курс],,0,1)</f>
        <v>12199.93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0" s="16">
        <f>_xlfn.XLOOKUP(Шаблон_Формулы[[#This Row],[21]],Курс_USD[Дата],Курс_USD[Курс],,0,1)</f>
        <v>12199.93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1" s="16">
        <f>_xlfn.XLOOKUP(Шаблон_Формулы[[#This Row],[21]],Курс_USD[Дата],Курс_USD[Курс],,0,1)</f>
        <v>12199.93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2" s="16">
        <f>_xlfn.XLOOKUP(Шаблон_Формулы[[#This Row],[21]],Курс_USD[Дата],Курс_USD[Курс],,0,1)</f>
        <v>12199.93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3" s="16">
        <f>_xlfn.XLOOKUP(Шаблон_Формулы[[#This Row],[21]],Курс_USD[Дата],Курс_USD[Курс],,0,1)</f>
        <v>12199.93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4" s="16">
        <f>_xlfn.XLOOKUP(Шаблон_Формулы[[#This Row],[21]],Курс_USD[Дата],Курс_USD[Курс],,0,1)</f>
        <v>12199.93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5" s="16">
        <f>_xlfn.XLOOKUP(Шаблон_Формулы[[#This Row],[21]],Курс_USD[Дата],Курс_USD[Курс],,0,1)</f>
        <v>12199.93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6" s="16">
        <f>_xlfn.XLOOKUP(Шаблон_Формулы[[#This Row],[21]],Курс_USD[Дата],Курс_USD[Курс],,0,1)</f>
        <v>12199.93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7" s="16">
        <f>_xlfn.XLOOKUP(Шаблон_Формулы[[#This Row],[21]],Курс_USD[Дата],Курс_USD[Курс],,0,1)</f>
        <v>12199.93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8" s="16">
        <f>_xlfn.XLOOKUP(Шаблон_Формулы[[#This Row],[21]],Курс_USD[Дата],Курс_USD[Курс],,0,1)</f>
        <v>12199.93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29" s="16">
        <f>_xlfn.XLOOKUP(Шаблон_Формулы[[#This Row],[21]],Курс_USD[Дата],Курс_USD[Курс],,0,1)</f>
        <v>12199.93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0" s="16">
        <f>_xlfn.XLOOKUP(Шаблон_Формулы[[#This Row],[21]],Курс_USD[Дата],Курс_USD[Курс],,0,1)</f>
        <v>12199.93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1" s="16">
        <f>_xlfn.XLOOKUP(Шаблон_Формулы[[#This Row],[21]],Курс_USD[Дата],Курс_USD[Курс],,0,1)</f>
        <v>12199.93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2" s="16">
        <f>_xlfn.XLOOKUP(Шаблон_Формулы[[#This Row],[21]],Курс_USD[Дата],Курс_USD[Курс],,0,1)</f>
        <v>12199.93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3" s="16">
        <f>_xlfn.XLOOKUP(Шаблон_Формулы[[#This Row],[21]],Курс_USD[Дата],Курс_USD[Курс],,0,1)</f>
        <v>12199.93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4" s="16">
        <f>_xlfn.XLOOKUP(Шаблон_Формулы[[#This Row],[21]],Курс_USD[Дата],Курс_USD[Курс],,0,1)</f>
        <v>12199.93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5" s="16">
        <f>_xlfn.XLOOKUP(Шаблон_Формулы[[#This Row],[21]],Курс_USD[Дата],Курс_USD[Курс],,0,1)</f>
        <v>12199.93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6" s="16">
        <f>_xlfn.XLOOKUP(Шаблон_Формулы[[#This Row],[21]],Курс_USD[Дата],Курс_USD[Курс],,0,1)</f>
        <v>12199.93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7" s="16">
        <f>_xlfn.XLOOKUP(Шаблон_Формулы[[#This Row],[21]],Курс_USD[Дата],Курс_USD[Курс],,0,1)</f>
        <v>12199.93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8" s="16">
        <f>_xlfn.XLOOKUP(Шаблон_Формулы[[#This Row],[21]],Курс_USD[Дата],Курс_USD[Курс],,0,1)</f>
        <v>12199.93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39" s="16">
        <f>_xlfn.XLOOKUP(Шаблон_Формулы[[#This Row],[21]],Курс_USD[Дата],Курс_USD[Курс],,0,1)</f>
        <v>12199.93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0" s="16">
        <f>_xlfn.XLOOKUP(Шаблон_Формулы[[#This Row],[21]],Курс_USD[Дата],Курс_USD[Курс],,0,1)</f>
        <v>12199.93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1" s="16">
        <f>_xlfn.XLOOKUP(Шаблон_Формулы[[#This Row],[21]],Курс_USD[Дата],Курс_USD[Курс],,0,1)</f>
        <v>12199.93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2" s="16">
        <f>_xlfn.XLOOKUP(Шаблон_Формулы[[#This Row],[21]],Курс_USD[Дата],Курс_USD[Курс],,0,1)</f>
        <v>12199.93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3" s="16">
        <f>_xlfn.XLOOKUP(Шаблон_Формулы[[#This Row],[21]],Курс_USD[Дата],Курс_USD[Курс],,0,1)</f>
        <v>12199.93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4" s="16">
        <f>_xlfn.XLOOKUP(Шаблон_Формулы[[#This Row],[21]],Курс_USD[Дата],Курс_USD[Курс],,0,1)</f>
        <v>12199.93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5" s="16">
        <f>_xlfn.XLOOKUP(Шаблон_Формулы[[#This Row],[21]],Курс_USD[Дата],Курс_USD[Курс],,0,1)</f>
        <v>12199.93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6" s="16">
        <f>_xlfn.XLOOKUP(Шаблон_Формулы[[#This Row],[21]],Курс_USD[Дата],Курс_USD[Курс],,0,1)</f>
        <v>12199.93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7" s="16">
        <f>_xlfn.XLOOKUP(Шаблон_Формулы[[#This Row],[21]],Курс_USD[Дата],Курс_USD[Курс],,0,1)</f>
        <v>12199.93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8" s="16">
        <f>_xlfn.XLOOKUP(Шаблон_Формулы[[#This Row],[21]],Курс_USD[Дата],Курс_USD[Курс],,0,1)</f>
        <v>12199.93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49" s="16">
        <f>_xlfn.XLOOKUP(Шаблон_Формулы[[#This Row],[21]],Курс_USD[Дата],Курс_USD[Курс],,0,1)</f>
        <v>12199.93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50" s="16">
        <f>_xlfn.XLOOKUP(Шаблон_Формулы[[#This Row],[21]],Курс_USD[Дата],Курс_USD[Курс],,0,1)</f>
        <v>12199.93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51" s="16">
        <f>_xlfn.XLOOKUP(Шаблон_Формулы[[#This Row],[21]],Курс_USD[Дата],Курс_USD[Курс],,0,1)</f>
        <v>12199.93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52" s="16">
        <f>_xlfn.XLOOKUP(Шаблон_Формулы[[#This Row],[21]],Курс_USD[Дата],Курс_USD[Курс],,0,1)</f>
        <v>12199.93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53" s="16">
        <f>_xlfn.XLOOKUP(Шаблон_Формулы[[#This Row],[21]],Курс_USD[Дата],Курс_USD[Курс],,0,1)</f>
        <v>12199.93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45224</v>
      </c>
      <c r="V154" s="16">
        <f>_xlfn.XLOOKUP(Шаблон_Формулы[[#This Row],[21]],Курс_USD[Дата],Курс_USD[Курс],,0,1)</f>
        <v>12199.93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2023-10-27T11:52:26Z</dcterms:modified>
</cp:coreProperties>
</file>